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928"/>
  <workbookPr filterPrivacy="1" codeName="ThisWorkbook" defaultThemeVersion="166925"/>
  <xr:revisionPtr revIDLastSave="0" documentId="13_ncr:1_{DE5CF01A-7384-43D5-90DF-0DB569146D0D}" xr6:coauthVersionLast="47" xr6:coauthVersionMax="47" xr10:uidLastSave="{00000000-0000-0000-0000-000000000000}"/>
  <bookViews>
    <workbookView xWindow="-120" yWindow="-120" windowWidth="29040" windowHeight="15720" tabRatio="943" xr2:uid="{BCF099EC-A1BE-4526-8C7E-DDF6153393B8}"/>
  </bookViews>
  <sheets>
    <sheet name="INDICADORES" sheetId="1" r:id="rId1"/>
    <sheet name="DISTRITOS" sheetId="23" r:id="rId2"/>
    <sheet name="FICHA TÉCNICA" sheetId="26" r:id="rId3"/>
    <sheet name="CENTRO" sheetId="2" r:id="rId4"/>
    <sheet name="ARGANZUELA" sheetId="5" r:id="rId5"/>
    <sheet name="RETIRO" sheetId="6" r:id="rId6"/>
    <sheet name="SALAMANCA" sheetId="7" r:id="rId7"/>
    <sheet name="CHAMARTÍN" sheetId="8" r:id="rId8"/>
    <sheet name="TETUÁN" sheetId="24" r:id="rId9"/>
    <sheet name="CHAMBERÍ" sheetId="25" r:id="rId10"/>
    <sheet name="FUENCARRAL-EL PARDO" sheetId="9" r:id="rId11"/>
    <sheet name="MONCLOA-ARAVACA" sheetId="10" r:id="rId12"/>
    <sheet name="LATINA" sheetId="11" r:id="rId13"/>
    <sheet name="CARABANCHEL" sheetId="12" r:id="rId14"/>
    <sheet name="USERA" sheetId="13" r:id="rId15"/>
    <sheet name="PUENTE DE VALLECAS" sheetId="14" r:id="rId16"/>
    <sheet name="MORATALAZ" sheetId="15" r:id="rId17"/>
    <sheet name="CIUDAD LINEAL" sheetId="16" r:id="rId18"/>
    <sheet name="HORTALEZA" sheetId="17" r:id="rId19"/>
    <sheet name="VILLAVERDE" sheetId="18" r:id="rId20"/>
    <sheet name="VILLA DE VALLECAS" sheetId="19" r:id="rId21"/>
    <sheet name="VICÁLVARO" sheetId="20" r:id="rId22"/>
    <sheet name="SAN BLAS-CANILLEJAS" sheetId="21" r:id="rId23"/>
    <sheet name="BARAJAS" sheetId="22" r:id="rId24"/>
  </sheets>
  <definedNames>
    <definedName name="I.20" localSheetId="3">INDICADORES!$E$24</definedName>
    <definedName name="I.20">INDICADORES!$E$24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50" i="22" l="1"/>
  <c r="L449" i="22"/>
  <c r="L448" i="22"/>
  <c r="L447" i="22"/>
  <c r="L506" i="21"/>
  <c r="L505" i="21"/>
  <c r="L504" i="21"/>
  <c r="L503" i="21"/>
  <c r="L446" i="20"/>
  <c r="L445" i="20"/>
  <c r="L444" i="20"/>
  <c r="L443" i="20"/>
  <c r="L458" i="19"/>
  <c r="L457" i="19"/>
  <c r="L456" i="19"/>
  <c r="L455" i="19"/>
  <c r="L454" i="18"/>
  <c r="L453" i="18"/>
  <c r="L452" i="18"/>
  <c r="L451" i="18"/>
  <c r="L486" i="17"/>
  <c r="L485" i="17"/>
  <c r="L484" i="17"/>
  <c r="L483" i="17"/>
  <c r="L510" i="16"/>
  <c r="L509" i="16"/>
  <c r="L508" i="16"/>
  <c r="L507" i="16"/>
  <c r="L458" i="15"/>
  <c r="L457" i="15"/>
  <c r="L456" i="15"/>
  <c r="L455" i="15"/>
  <c r="L502" i="13"/>
  <c r="L501" i="13"/>
  <c r="L500" i="13"/>
  <c r="L499" i="13"/>
  <c r="L526" i="12"/>
  <c r="L525" i="12"/>
  <c r="L524" i="12"/>
  <c r="L523" i="12"/>
  <c r="L510" i="11"/>
  <c r="L509" i="11"/>
  <c r="L508" i="11"/>
  <c r="L507" i="11"/>
  <c r="L558" i="10"/>
  <c r="L557" i="10"/>
  <c r="L556" i="10"/>
  <c r="L555" i="10"/>
  <c r="L498" i="14"/>
  <c r="L497" i="14"/>
  <c r="L496" i="14"/>
  <c r="L495" i="14"/>
  <c r="K497" i="5"/>
  <c r="L534" i="9" l="1"/>
  <c r="L533" i="9"/>
  <c r="L532" i="9"/>
  <c r="L531" i="9"/>
  <c r="L502" i="25"/>
  <c r="L501" i="25"/>
  <c r="L500" i="25"/>
  <c r="L499" i="25"/>
  <c r="L462" i="24"/>
  <c r="L461" i="24"/>
  <c r="L460" i="24"/>
  <c r="L459" i="24"/>
  <c r="L458" i="8" l="1"/>
  <c r="L457" i="8"/>
  <c r="L456" i="8"/>
  <c r="L455" i="8"/>
  <c r="L466" i="7"/>
  <c r="L465" i="7"/>
  <c r="L464" i="7"/>
  <c r="L463" i="7"/>
  <c r="L434" i="6"/>
  <c r="L433" i="6"/>
  <c r="L432" i="6"/>
  <c r="L431" i="6"/>
  <c r="L497" i="5"/>
  <c r="L498" i="5"/>
  <c r="L496" i="5"/>
  <c r="L495" i="5"/>
  <c r="L487" i="2"/>
  <c r="L486" i="2"/>
  <c r="L485" i="2"/>
  <c r="L484" i="2"/>
  <c r="L335" i="20" l="1"/>
  <c r="L334" i="20"/>
  <c r="L330" i="20"/>
  <c r="L329" i="20"/>
  <c r="L335" i="19"/>
  <c r="L334" i="19"/>
  <c r="L330" i="19"/>
  <c r="L329" i="19"/>
  <c r="L330" i="18"/>
  <c r="L329" i="18"/>
  <c r="L335" i="18"/>
  <c r="L334" i="18"/>
  <c r="L330" i="17"/>
  <c r="L329" i="17"/>
  <c r="L335" i="17"/>
  <c r="L334" i="17"/>
  <c r="L335" i="16"/>
  <c r="L334" i="16"/>
  <c r="L330" i="16"/>
  <c r="L329" i="16"/>
  <c r="L335" i="15"/>
  <c r="L334" i="15"/>
  <c r="L330" i="15"/>
  <c r="L329" i="15"/>
  <c r="L335" i="14"/>
  <c r="L334" i="14"/>
  <c r="L330" i="14"/>
  <c r="L329" i="14"/>
  <c r="L335" i="13"/>
  <c r="L334" i="13"/>
  <c r="L330" i="13"/>
  <c r="L329" i="13"/>
  <c r="L335" i="12" l="1"/>
  <c r="L334" i="12"/>
  <c r="L330" i="12"/>
  <c r="L329" i="12"/>
  <c r="L335" i="11"/>
  <c r="L334" i="11"/>
  <c r="L330" i="11"/>
  <c r="L329" i="11"/>
  <c r="L335" i="9"/>
  <c r="L334" i="9"/>
  <c r="L330" i="9"/>
  <c r="L329" i="9"/>
  <c r="L335" i="25"/>
  <c r="L334" i="25"/>
  <c r="L330" i="25"/>
  <c r="L329" i="25"/>
  <c r="L335" i="24"/>
  <c r="L334" i="24"/>
  <c r="L330" i="24"/>
  <c r="L329" i="24"/>
  <c r="L335" i="8"/>
  <c r="L334" i="8"/>
  <c r="L330" i="8"/>
  <c r="L329" i="8"/>
  <c r="L335" i="7"/>
  <c r="L334" i="7"/>
  <c r="L330" i="7"/>
  <c r="L329" i="7"/>
  <c r="L335" i="5"/>
  <c r="L334" i="5"/>
  <c r="L330" i="5"/>
  <c r="L329" i="5"/>
  <c r="L335" i="6"/>
  <c r="L334" i="6"/>
  <c r="L330" i="6"/>
  <c r="L329" i="6"/>
  <c r="L335" i="2"/>
  <c r="L334" i="2"/>
  <c r="L330" i="2"/>
  <c r="L329" i="2"/>
  <c r="L335" i="21"/>
  <c r="L334" i="21"/>
  <c r="L330" i="21"/>
  <c r="L329" i="21"/>
  <c r="L335" i="22"/>
  <c r="L334" i="22"/>
  <c r="L330" i="22"/>
  <c r="L329" i="22"/>
  <c r="K470" i="5"/>
  <c r="K469" i="5"/>
  <c r="K468" i="5"/>
  <c r="K467" i="5"/>
  <c r="K463" i="5"/>
  <c r="K435" i="5"/>
  <c r="K431" i="5"/>
  <c r="K459" i="5"/>
  <c r="K455" i="5"/>
  <c r="K439" i="5"/>
  <c r="K451" i="5"/>
  <c r="K423" i="5"/>
  <c r="K427" i="5"/>
  <c r="K447" i="5"/>
  <c r="K443" i="5"/>
  <c r="G430" i="8"/>
  <c r="K420" i="22"/>
  <c r="K419" i="22"/>
  <c r="K415" i="22"/>
  <c r="K411" i="22"/>
  <c r="K407" i="22"/>
  <c r="K403" i="22"/>
  <c r="K399" i="22"/>
  <c r="K476" i="21"/>
  <c r="K478" i="21"/>
  <c r="K477" i="21"/>
  <c r="K435" i="21"/>
  <c r="K439" i="21"/>
  <c r="K443" i="21"/>
  <c r="K447" i="21"/>
  <c r="K451" i="21"/>
  <c r="K455" i="21"/>
  <c r="K459" i="21"/>
  <c r="K463" i="21"/>
  <c r="K467" i="21"/>
  <c r="K471" i="21"/>
  <c r="K475" i="21"/>
  <c r="K431" i="21"/>
  <c r="K416" i="20"/>
  <c r="K417" i="20"/>
  <c r="K418" i="20"/>
  <c r="K411" i="20"/>
  <c r="K407" i="20"/>
  <c r="K403" i="20"/>
  <c r="K399" i="20"/>
  <c r="K415" i="20"/>
  <c r="K395" i="20"/>
  <c r="K429" i="19"/>
  <c r="K428" i="19"/>
  <c r="K423" i="19"/>
  <c r="K427" i="19"/>
  <c r="K419" i="19"/>
  <c r="K415" i="19"/>
  <c r="K411" i="19"/>
  <c r="K407" i="19"/>
  <c r="K458" i="17"/>
  <c r="K457" i="17"/>
  <c r="K456" i="17"/>
  <c r="K455" i="17"/>
  <c r="K447" i="17"/>
  <c r="K443" i="17"/>
  <c r="K439" i="17"/>
  <c r="K435" i="17"/>
  <c r="K431" i="17"/>
  <c r="K427" i="17"/>
  <c r="K423" i="17"/>
  <c r="K419" i="17"/>
  <c r="K415" i="17"/>
  <c r="K530" i="10"/>
  <c r="K529" i="10"/>
  <c r="K528" i="10"/>
  <c r="K527" i="10"/>
  <c r="K523" i="10"/>
  <c r="K519" i="10"/>
  <c r="K515" i="10"/>
  <c r="K511" i="10"/>
  <c r="K507" i="10"/>
  <c r="K503" i="10"/>
  <c r="K499" i="10"/>
  <c r="K495" i="10"/>
  <c r="K491" i="10"/>
  <c r="K487" i="10"/>
  <c r="K483" i="10"/>
  <c r="K479" i="10"/>
  <c r="K475" i="10"/>
  <c r="K471" i="10"/>
  <c r="K467" i="10"/>
  <c r="K463" i="10"/>
  <c r="K459" i="10"/>
  <c r="K455" i="10"/>
  <c r="K451" i="10"/>
  <c r="K447" i="10"/>
  <c r="K481" i="16"/>
  <c r="K480" i="16"/>
  <c r="K482" i="16"/>
  <c r="K479" i="16"/>
  <c r="K475" i="16"/>
  <c r="K467" i="16"/>
  <c r="K463" i="16"/>
  <c r="K455" i="16"/>
  <c r="K451" i="16"/>
  <c r="K447" i="16"/>
  <c r="K443" i="16"/>
  <c r="K439" i="16"/>
  <c r="K435" i="16"/>
  <c r="K431" i="16"/>
  <c r="K427" i="16"/>
  <c r="K425" i="18"/>
  <c r="K424" i="18"/>
  <c r="K415" i="18"/>
  <c r="K411" i="18"/>
  <c r="K407" i="18"/>
  <c r="K403" i="18"/>
  <c r="K430" i="15"/>
  <c r="J430" i="15"/>
  <c r="K429" i="15"/>
  <c r="K428" i="15"/>
  <c r="J428" i="15"/>
  <c r="K427" i="15"/>
  <c r="K411" i="15"/>
  <c r="K415" i="15"/>
  <c r="K419" i="15"/>
  <c r="K407" i="15"/>
  <c r="K468" i="14"/>
  <c r="K469" i="14"/>
  <c r="K470" i="14"/>
  <c r="J470" i="14"/>
  <c r="K463" i="14"/>
  <c r="K459" i="14"/>
  <c r="K455" i="14"/>
  <c r="K451" i="14"/>
  <c r="K447" i="14"/>
  <c r="K443" i="14"/>
  <c r="K439" i="14"/>
  <c r="K435" i="14"/>
  <c r="K431" i="14"/>
  <c r="K427" i="14"/>
  <c r="K423" i="14"/>
  <c r="K419" i="14"/>
  <c r="K419" i="5"/>
  <c r="K474" i="13"/>
  <c r="K473" i="13"/>
  <c r="J473" i="13"/>
  <c r="K472" i="13"/>
  <c r="K471" i="13"/>
  <c r="K467" i="13"/>
  <c r="K459" i="13"/>
  <c r="K455" i="13"/>
  <c r="K451" i="13"/>
  <c r="K447" i="13"/>
  <c r="K443" i="13"/>
  <c r="K439" i="13"/>
  <c r="K431" i="13"/>
  <c r="K435" i="13"/>
  <c r="K496" i="12"/>
  <c r="K497" i="12"/>
  <c r="K498" i="12"/>
  <c r="K487" i="12"/>
  <c r="K491" i="12"/>
  <c r="K483" i="12"/>
  <c r="K479" i="12"/>
  <c r="K471" i="12"/>
  <c r="G394" i="22"/>
  <c r="H394" i="22"/>
  <c r="I394" i="22"/>
  <c r="J394" i="22"/>
  <c r="K394" i="22"/>
  <c r="F394" i="22"/>
  <c r="G393" i="22"/>
  <c r="H393" i="22"/>
  <c r="I393" i="22"/>
  <c r="J393" i="22"/>
  <c r="K393" i="22"/>
  <c r="F393" i="22"/>
  <c r="G392" i="22"/>
  <c r="H392" i="22"/>
  <c r="I392" i="22"/>
  <c r="J392" i="22"/>
  <c r="K392" i="22"/>
  <c r="F392" i="22"/>
  <c r="K391" i="22"/>
  <c r="K387" i="22"/>
  <c r="K383" i="22"/>
  <c r="K379" i="22"/>
  <c r="K467" i="12"/>
  <c r="K463" i="12"/>
  <c r="K375" i="22"/>
  <c r="K459" i="12"/>
  <c r="K455" i="12"/>
  <c r="K447" i="12"/>
  <c r="K443" i="12"/>
  <c r="K439" i="12"/>
  <c r="K435" i="12"/>
  <c r="F424" i="21"/>
  <c r="G426" i="21"/>
  <c r="G425" i="21"/>
  <c r="G424" i="21"/>
  <c r="K479" i="11"/>
  <c r="K475" i="11"/>
  <c r="K426" i="21"/>
  <c r="K425" i="21"/>
  <c r="K424" i="21"/>
  <c r="K423" i="21"/>
  <c r="K419" i="21"/>
  <c r="K399" i="21"/>
  <c r="K415" i="21"/>
  <c r="K407" i="21"/>
  <c r="K403" i="21"/>
  <c r="K391" i="21"/>
  <c r="K395" i="21"/>
  <c r="K383" i="21"/>
  <c r="K387" i="21"/>
  <c r="K379" i="21"/>
  <c r="K375" i="21"/>
  <c r="K389" i="20"/>
  <c r="K390" i="20"/>
  <c r="K388" i="20"/>
  <c r="H390" i="20"/>
  <c r="I390" i="20"/>
  <c r="J390" i="20"/>
  <c r="H389" i="20"/>
  <c r="I389" i="20"/>
  <c r="J389" i="20"/>
  <c r="G389" i="20"/>
  <c r="F390" i="20"/>
  <c r="K387" i="20"/>
  <c r="J387" i="20"/>
  <c r="K383" i="20"/>
  <c r="K379" i="20"/>
  <c r="K375" i="20"/>
  <c r="F402" i="19"/>
  <c r="G402" i="19"/>
  <c r="H402" i="19"/>
  <c r="F401" i="19"/>
  <c r="F400" i="19"/>
  <c r="I402" i="19"/>
  <c r="J400" i="19"/>
  <c r="J401" i="19"/>
  <c r="J402" i="19"/>
  <c r="K402" i="19"/>
  <c r="K401" i="19"/>
  <c r="K400" i="19"/>
  <c r="K399" i="19"/>
  <c r="K395" i="19"/>
  <c r="K391" i="19"/>
  <c r="K387" i="19"/>
  <c r="K383" i="19"/>
  <c r="K379" i="19"/>
  <c r="K375" i="19"/>
  <c r="J396" i="18"/>
  <c r="K396" i="18"/>
  <c r="J397" i="18"/>
  <c r="K397" i="18"/>
  <c r="J398" i="18"/>
  <c r="K398" i="18"/>
  <c r="I396" i="18"/>
  <c r="I397" i="18"/>
  <c r="I398" i="18"/>
  <c r="H396" i="18"/>
  <c r="H397" i="18"/>
  <c r="H398" i="18"/>
  <c r="G398" i="18"/>
  <c r="G396" i="18"/>
  <c r="F398" i="18"/>
  <c r="F397" i="18"/>
  <c r="K395" i="18"/>
  <c r="K391" i="18"/>
  <c r="K471" i="11"/>
  <c r="K467" i="11"/>
  <c r="K387" i="18"/>
  <c r="K459" i="11"/>
  <c r="K455" i="11"/>
  <c r="K383" i="18"/>
  <c r="K451" i="11"/>
  <c r="K447" i="11"/>
  <c r="K379" i="18"/>
  <c r="K443" i="11"/>
  <c r="K439" i="11"/>
  <c r="K375" i="18"/>
  <c r="K435" i="11"/>
  <c r="K504" i="9"/>
  <c r="K505" i="9"/>
  <c r="K506" i="9"/>
  <c r="K503" i="9"/>
  <c r="K499" i="9"/>
  <c r="K495" i="9"/>
  <c r="K491" i="9"/>
  <c r="K487" i="9"/>
  <c r="K483" i="9"/>
  <c r="K479" i="9"/>
  <c r="K409" i="17"/>
  <c r="K410" i="17"/>
  <c r="K408" i="17"/>
  <c r="J408" i="17"/>
  <c r="K475" i="9"/>
  <c r="G410" i="17"/>
  <c r="K471" i="9"/>
  <c r="G409" i="17"/>
  <c r="K467" i="9"/>
  <c r="F410" i="17"/>
  <c r="K463" i="9"/>
  <c r="K379" i="17"/>
  <c r="K459" i="9"/>
  <c r="K403" i="17"/>
  <c r="K451" i="9"/>
  <c r="K455" i="9"/>
  <c r="K399" i="17"/>
  <c r="K391" i="17"/>
  <c r="K383" i="17"/>
  <c r="K447" i="9"/>
  <c r="K387" i="17"/>
  <c r="K443" i="9"/>
  <c r="K395" i="17"/>
  <c r="K375" i="17"/>
  <c r="K473" i="25"/>
  <c r="J473" i="25"/>
  <c r="K472" i="25"/>
  <c r="J474" i="25"/>
  <c r="K474" i="25"/>
  <c r="K471" i="25"/>
  <c r="K467" i="25"/>
  <c r="K463" i="25"/>
  <c r="K455" i="25"/>
  <c r="K451" i="25"/>
  <c r="K447" i="25"/>
  <c r="K443" i="25"/>
  <c r="K439" i="25"/>
  <c r="K435" i="25"/>
  <c r="K422" i="16"/>
  <c r="K421" i="16"/>
  <c r="K420" i="16"/>
  <c r="J420" i="16"/>
  <c r="J421" i="16"/>
  <c r="J422" i="16"/>
  <c r="I422" i="16"/>
  <c r="I421" i="16"/>
  <c r="I420" i="16"/>
  <c r="H422" i="16"/>
  <c r="H421" i="16"/>
  <c r="H420" i="16"/>
  <c r="K431" i="25"/>
  <c r="G422" i="16"/>
  <c r="G421" i="16"/>
  <c r="G420" i="16"/>
  <c r="K427" i="25"/>
  <c r="K423" i="25"/>
  <c r="F422" i="16"/>
  <c r="F421" i="16"/>
  <c r="F420" i="16"/>
  <c r="K432" i="24"/>
  <c r="K419" i="16"/>
  <c r="K434" i="24"/>
  <c r="K431" i="24"/>
  <c r="K427" i="24"/>
  <c r="K423" i="24"/>
  <c r="K411" i="16"/>
  <c r="K419" i="24"/>
  <c r="K407" i="16"/>
  <c r="K415" i="24"/>
  <c r="K403" i="16"/>
  <c r="K399" i="16"/>
  <c r="K407" i="24"/>
  <c r="K395" i="16"/>
  <c r="K387" i="16"/>
  <c r="K379" i="16"/>
  <c r="K403" i="24"/>
  <c r="K415" i="16"/>
  <c r="K391" i="16"/>
  <c r="K430" i="8"/>
  <c r="K429" i="8"/>
  <c r="K428" i="8"/>
  <c r="K383" i="16"/>
  <c r="K427" i="8"/>
  <c r="K375" i="16"/>
  <c r="K423" i="8"/>
  <c r="K419" i="8"/>
  <c r="K415" i="8"/>
  <c r="K411" i="8"/>
  <c r="K407" i="8"/>
  <c r="K403" i="8"/>
  <c r="K401" i="15" l="1"/>
  <c r="K400" i="15"/>
  <c r="K399" i="15"/>
  <c r="J402" i="15"/>
  <c r="J401" i="15"/>
  <c r="J400" i="15"/>
  <c r="I402" i="15"/>
  <c r="I400" i="15"/>
  <c r="H402" i="15"/>
  <c r="H400" i="15"/>
  <c r="G402" i="15"/>
  <c r="G400" i="15"/>
  <c r="F402" i="15"/>
  <c r="K391" i="15"/>
  <c r="K383" i="15"/>
  <c r="K387" i="15"/>
  <c r="K379" i="15"/>
  <c r="K375" i="15"/>
  <c r="K414" i="14"/>
  <c r="K413" i="14"/>
  <c r="K412" i="14"/>
  <c r="K411" i="14"/>
  <c r="K399" i="14"/>
  <c r="K407" i="14"/>
  <c r="K403" i="14"/>
  <c r="K395" i="14"/>
  <c r="K387" i="14"/>
  <c r="K391" i="14"/>
  <c r="K379" i="14"/>
  <c r="K383" i="14"/>
  <c r="K375" i="14"/>
  <c r="F426" i="13"/>
  <c r="F425" i="13"/>
  <c r="F424" i="13"/>
  <c r="K426" i="13"/>
  <c r="K425" i="13"/>
  <c r="K424" i="13"/>
  <c r="K423" i="13"/>
  <c r="K415" i="13"/>
  <c r="K411" i="13"/>
  <c r="K407" i="13"/>
  <c r="K403" i="13"/>
  <c r="K399" i="13"/>
  <c r="K395" i="13"/>
  <c r="K391" i="13"/>
  <c r="K387" i="13"/>
  <c r="K383" i="13"/>
  <c r="K379" i="13"/>
  <c r="K375" i="13"/>
  <c r="K436" i="7"/>
  <c r="K435" i="7"/>
  <c r="K431" i="7"/>
  <c r="K423" i="7"/>
  <c r="K419" i="7"/>
  <c r="K411" i="7"/>
  <c r="K415" i="7"/>
  <c r="K403" i="7"/>
  <c r="K395" i="6"/>
  <c r="G430" i="12"/>
  <c r="G429" i="12"/>
  <c r="G428" i="12"/>
  <c r="K428" i="12"/>
  <c r="K429" i="12"/>
  <c r="K430" i="12"/>
  <c r="K405" i="6"/>
  <c r="K404" i="6"/>
  <c r="K403" i="6"/>
  <c r="K427" i="12"/>
  <c r="K423" i="12"/>
  <c r="K419" i="12"/>
  <c r="K415" i="12"/>
  <c r="K391" i="6"/>
  <c r="K411" i="12"/>
  <c r="K407" i="12"/>
  <c r="K387" i="6"/>
  <c r="K403" i="12"/>
  <c r="K399" i="12"/>
  <c r="K391" i="12"/>
  <c r="K387" i="12"/>
  <c r="K458" i="2"/>
  <c r="K457" i="2"/>
  <c r="K456" i="2"/>
  <c r="K443" i="2"/>
  <c r="K447" i="2"/>
  <c r="K435" i="2"/>
  <c r="K411" i="2"/>
  <c r="K379" i="12"/>
  <c r="K395" i="12"/>
  <c r="K383" i="12"/>
  <c r="K375" i="12"/>
  <c r="J430" i="11"/>
  <c r="J429" i="11"/>
  <c r="J428" i="11"/>
  <c r="I430" i="11"/>
  <c r="I429" i="11"/>
  <c r="I428" i="11"/>
  <c r="K430" i="11"/>
  <c r="K429" i="11"/>
  <c r="K428" i="11"/>
  <c r="K427" i="11"/>
  <c r="K415" i="11"/>
  <c r="K403" i="11"/>
  <c r="K423" i="11"/>
  <c r="K399" i="11"/>
  <c r="K391" i="11"/>
  <c r="K387" i="11"/>
  <c r="K379" i="11"/>
  <c r="K383" i="11"/>
  <c r="J383" i="11"/>
  <c r="I383" i="11"/>
  <c r="K395" i="11"/>
  <c r="K375" i="11"/>
  <c r="K442" i="10"/>
  <c r="K441" i="10"/>
  <c r="K440" i="10"/>
  <c r="H442" i="10"/>
  <c r="H441" i="10"/>
  <c r="H440" i="10"/>
  <c r="G440" i="10"/>
  <c r="G442" i="10"/>
  <c r="I435" i="10" l="1"/>
  <c r="K439" i="10"/>
  <c r="K435" i="10"/>
  <c r="J435" i="10"/>
  <c r="K431" i="10"/>
  <c r="K427" i="10"/>
  <c r="K423" i="10"/>
  <c r="K419" i="10"/>
  <c r="K415" i="10"/>
  <c r="K411" i="10"/>
  <c r="K407" i="10"/>
  <c r="K403" i="10"/>
  <c r="K399" i="10"/>
  <c r="K395" i="10"/>
  <c r="K391" i="10"/>
  <c r="K387" i="10"/>
  <c r="K383" i="10"/>
  <c r="K379" i="10"/>
  <c r="K375" i="10"/>
  <c r="K438" i="9"/>
  <c r="K437" i="9"/>
  <c r="K436" i="9"/>
  <c r="K435" i="9"/>
  <c r="K423" i="9"/>
  <c r="K431" i="9"/>
  <c r="K427" i="9"/>
  <c r="K411" i="9"/>
  <c r="K415" i="9"/>
  <c r="K407" i="9"/>
  <c r="K403" i="9"/>
  <c r="K399" i="9"/>
  <c r="K395" i="9"/>
  <c r="K391" i="9"/>
  <c r="K387" i="9"/>
  <c r="K383" i="9"/>
  <c r="K379" i="9"/>
  <c r="K375" i="9"/>
  <c r="K418" i="25"/>
  <c r="K417" i="25"/>
  <c r="K416" i="25"/>
  <c r="K415" i="25"/>
  <c r="K411" i="25"/>
  <c r="K407" i="25"/>
  <c r="K403" i="25"/>
  <c r="K399" i="25"/>
  <c r="K395" i="25"/>
  <c r="K391" i="25"/>
  <c r="K387" i="25"/>
  <c r="K383" i="25"/>
  <c r="K379" i="25"/>
  <c r="K375" i="25"/>
  <c r="K439" i="2" l="1"/>
  <c r="K431" i="2"/>
  <c r="K451" i="2"/>
  <c r="K419" i="2"/>
  <c r="K415" i="2"/>
  <c r="K345" i="21"/>
  <c r="K349" i="2"/>
  <c r="K345" i="22"/>
  <c r="K345" i="20"/>
  <c r="K345" i="19"/>
  <c r="K345" i="18"/>
  <c r="K345" i="17"/>
  <c r="K345" i="16"/>
  <c r="K345" i="15"/>
  <c r="K345" i="14"/>
  <c r="K345" i="13"/>
  <c r="K345" i="12"/>
  <c r="K345" i="11"/>
  <c r="K345" i="10"/>
  <c r="K345" i="9"/>
  <c r="K345" i="25"/>
  <c r="K345" i="24"/>
  <c r="K345" i="8"/>
  <c r="K345" i="7"/>
  <c r="K345" i="6"/>
  <c r="K345" i="5"/>
  <c r="K345" i="2"/>
  <c r="I395" i="24"/>
  <c r="G398" i="24"/>
  <c r="K398" i="24"/>
  <c r="K397" i="24"/>
  <c r="K396" i="24"/>
  <c r="K383" i="24"/>
  <c r="K395" i="24"/>
  <c r="K379" i="24"/>
  <c r="K387" i="24"/>
  <c r="K391" i="24"/>
  <c r="K375" i="24"/>
  <c r="K398" i="8"/>
  <c r="K397" i="8"/>
  <c r="K396" i="8"/>
  <c r="J398" i="8"/>
  <c r="I398" i="8"/>
  <c r="H398" i="8"/>
  <c r="G398" i="8"/>
  <c r="J397" i="8"/>
  <c r="I397" i="8"/>
  <c r="H397" i="8"/>
  <c r="G397" i="8"/>
  <c r="F398" i="8"/>
  <c r="F397" i="8"/>
  <c r="K395" i="8"/>
  <c r="K391" i="8"/>
  <c r="K383" i="8"/>
  <c r="K387" i="8"/>
  <c r="K379" i="8"/>
  <c r="K375" i="8"/>
  <c r="J375" i="8"/>
  <c r="J379" i="8"/>
  <c r="K398" i="7"/>
  <c r="J398" i="7"/>
  <c r="J397" i="7"/>
  <c r="I398" i="7"/>
  <c r="I397" i="7"/>
  <c r="H398" i="7"/>
  <c r="H397" i="7"/>
  <c r="G398" i="7"/>
  <c r="H396" i="7"/>
  <c r="G397" i="7"/>
  <c r="F398" i="7"/>
  <c r="F397" i="7"/>
  <c r="K397" i="7"/>
  <c r="K396" i="7"/>
  <c r="K395" i="7"/>
  <c r="K383" i="7"/>
  <c r="K379" i="7"/>
  <c r="K375" i="7"/>
  <c r="K379" i="6"/>
  <c r="K375" i="6"/>
  <c r="G412" i="5"/>
  <c r="F412" i="5"/>
  <c r="K414" i="5"/>
  <c r="K413" i="5"/>
  <c r="K412" i="5"/>
  <c r="K383" i="5"/>
  <c r="K407" i="5"/>
  <c r="K399" i="5"/>
  <c r="K403" i="5"/>
  <c r="K395" i="5"/>
  <c r="K391" i="5"/>
  <c r="K411" i="5"/>
  <c r="K379" i="5"/>
  <c r="K387" i="5"/>
  <c r="K375" i="5"/>
  <c r="K406" i="2"/>
  <c r="K405" i="2"/>
  <c r="K404" i="2"/>
  <c r="K403" i="2"/>
  <c r="K399" i="2"/>
  <c r="K395" i="2"/>
  <c r="K391" i="2"/>
  <c r="K383" i="2"/>
  <c r="K387" i="2"/>
  <c r="J387" i="2"/>
  <c r="K379" i="2"/>
  <c r="K375" i="2"/>
  <c r="K349" i="22"/>
  <c r="K349" i="21"/>
  <c r="K349" i="20"/>
  <c r="K349" i="19"/>
  <c r="K349" i="18"/>
  <c r="K349" i="17"/>
  <c r="K349" i="16"/>
  <c r="K349" i="15"/>
  <c r="K349" i="14"/>
  <c r="K349" i="13"/>
  <c r="K349" i="12"/>
  <c r="K349" i="11"/>
  <c r="K349" i="10"/>
  <c r="K349" i="9"/>
  <c r="K349" i="25"/>
  <c r="K349" i="24"/>
  <c r="K349" i="8"/>
  <c r="K349" i="7"/>
  <c r="K349" i="6"/>
  <c r="K349" i="5"/>
  <c r="K359" i="18" l="1"/>
  <c r="K360" i="18" s="1"/>
  <c r="K358" i="18"/>
  <c r="K354" i="18"/>
  <c r="K357" i="18" s="1"/>
  <c r="K359" i="19"/>
  <c r="K358" i="19"/>
  <c r="K354" i="19"/>
  <c r="K357" i="19" s="1"/>
  <c r="K359" i="20"/>
  <c r="K360" i="20" s="1"/>
  <c r="K358" i="20"/>
  <c r="K354" i="20"/>
  <c r="K357" i="20" s="1"/>
  <c r="K359" i="21"/>
  <c r="K360" i="21" s="1"/>
  <c r="K358" i="21"/>
  <c r="K354" i="21"/>
  <c r="K357" i="21" s="1"/>
  <c r="K359" i="22"/>
  <c r="K360" i="22" s="1"/>
  <c r="K358" i="22"/>
  <c r="K354" i="22"/>
  <c r="K357" i="22" s="1"/>
  <c r="K360" i="19" l="1"/>
  <c r="K359" i="12"/>
  <c r="K358" i="12"/>
  <c r="K359" i="17"/>
  <c r="K358" i="17"/>
  <c r="K354" i="17"/>
  <c r="K357" i="17" s="1"/>
  <c r="K359" i="16"/>
  <c r="K358" i="16"/>
  <c r="K354" i="16"/>
  <c r="K357" i="16" s="1"/>
  <c r="K359" i="15"/>
  <c r="K360" i="15" s="1"/>
  <c r="K358" i="15"/>
  <c r="K354" i="15"/>
  <c r="K357" i="15" s="1"/>
  <c r="K359" i="14"/>
  <c r="K360" i="14" s="1"/>
  <c r="K358" i="14"/>
  <c r="K354" i="14"/>
  <c r="K357" i="14" s="1"/>
  <c r="K359" i="13"/>
  <c r="K358" i="13"/>
  <c r="K354" i="13"/>
  <c r="K357" i="13" s="1"/>
  <c r="K360" i="13"/>
  <c r="K354" i="12"/>
  <c r="K357" i="12" s="1"/>
  <c r="K359" i="11"/>
  <c r="K358" i="11"/>
  <c r="K354" i="11"/>
  <c r="K357" i="11" s="1"/>
  <c r="K359" i="10"/>
  <c r="K358" i="10"/>
  <c r="K354" i="10"/>
  <c r="K357" i="10" s="1"/>
  <c r="K360" i="9"/>
  <c r="K359" i="9"/>
  <c r="K358" i="9"/>
  <c r="K357" i="9"/>
  <c r="K359" i="25"/>
  <c r="K360" i="25" s="1"/>
  <c r="K358" i="25"/>
  <c r="K357" i="25"/>
  <c r="K359" i="24"/>
  <c r="K360" i="24" s="1"/>
  <c r="K358" i="24"/>
  <c r="K357" i="24"/>
  <c r="K360" i="8"/>
  <c r="K357" i="8"/>
  <c r="K360" i="7"/>
  <c r="K357" i="7"/>
  <c r="K360" i="6"/>
  <c r="K357" i="6"/>
  <c r="K360" i="5"/>
  <c r="K359" i="2"/>
  <c r="K358" i="2"/>
  <c r="K354" i="2"/>
  <c r="F351" i="5"/>
  <c r="G351" i="5"/>
  <c r="H351" i="5"/>
  <c r="I351" i="5"/>
  <c r="J351" i="5"/>
  <c r="K351" i="5"/>
  <c r="K357" i="5" s="1"/>
  <c r="F351" i="2"/>
  <c r="G351" i="2"/>
  <c r="H351" i="2"/>
  <c r="I351" i="2"/>
  <c r="J351" i="2"/>
  <c r="K351" i="2"/>
  <c r="K60" i="22"/>
  <c r="K59" i="22"/>
  <c r="K60" i="21"/>
  <c r="K59" i="21"/>
  <c r="K60" i="20"/>
  <c r="K59" i="20"/>
  <c r="K60" i="19"/>
  <c r="K59" i="19"/>
  <c r="K60" i="18"/>
  <c r="K59" i="18"/>
  <c r="K60" i="17"/>
  <c r="K59" i="17"/>
  <c r="K60" i="16"/>
  <c r="K59" i="16"/>
  <c r="K60" i="15"/>
  <c r="K59" i="15"/>
  <c r="K60" i="14"/>
  <c r="K59" i="14"/>
  <c r="K60" i="13"/>
  <c r="K59" i="13"/>
  <c r="K60" i="12"/>
  <c r="K59" i="12"/>
  <c r="K60" i="11"/>
  <c r="K59" i="11"/>
  <c r="K60" i="10"/>
  <c r="K59" i="10"/>
  <c r="K60" i="9"/>
  <c r="K59" i="9"/>
  <c r="K60" i="25"/>
  <c r="K59" i="25"/>
  <c r="K60" i="24"/>
  <c r="K59" i="24"/>
  <c r="K60" i="8"/>
  <c r="K59" i="8"/>
  <c r="K60" i="7"/>
  <c r="K59" i="7"/>
  <c r="K60" i="6"/>
  <c r="K59" i="6"/>
  <c r="K60" i="5"/>
  <c r="K59" i="5"/>
  <c r="K60" i="2"/>
  <c r="K59" i="2"/>
  <c r="K360" i="17" l="1"/>
  <c r="K360" i="16"/>
  <c r="K357" i="2"/>
  <c r="K360" i="12"/>
  <c r="K360" i="11"/>
  <c r="K360" i="10"/>
  <c r="K360" i="2"/>
  <c r="L55" i="22"/>
  <c r="L55" i="21"/>
  <c r="L55" i="20"/>
  <c r="L55" i="19"/>
  <c r="L55" i="18"/>
  <c r="L55" i="17"/>
  <c r="L55" i="16"/>
  <c r="L55" i="15"/>
  <c r="L55" i="14"/>
  <c r="L55" i="13"/>
  <c r="L55" i="12" l="1"/>
  <c r="L55" i="11"/>
  <c r="L55" i="10"/>
  <c r="L55" i="9"/>
  <c r="L55" i="25"/>
  <c r="L55" i="24"/>
  <c r="L55" i="8"/>
  <c r="L55" i="7"/>
  <c r="L55" i="6"/>
  <c r="L55" i="5"/>
  <c r="L55" i="2" l="1"/>
  <c r="L325" i="21"/>
  <c r="L325" i="10"/>
  <c r="L325" i="11"/>
  <c r="L325" i="12"/>
  <c r="L325" i="13"/>
  <c r="L325" i="14"/>
  <c r="L325" i="15"/>
  <c r="L325" i="16" l="1"/>
  <c r="L325" i="17"/>
  <c r="L325" i="18"/>
  <c r="L325" i="19"/>
  <c r="L325" i="20"/>
  <c r="L325" i="22"/>
  <c r="L325" i="9"/>
  <c r="L325" i="25"/>
  <c r="L325" i="24" l="1"/>
  <c r="L325" i="8"/>
  <c r="L325" i="7"/>
  <c r="L325" i="6"/>
  <c r="L325" i="5"/>
  <c r="L325" i="2"/>
  <c r="K369" i="10"/>
  <c r="K368" i="10"/>
  <c r="K370" i="10" l="1"/>
  <c r="K369" i="22"/>
  <c r="K370" i="22" s="1"/>
  <c r="K368" i="22"/>
  <c r="K370" i="21"/>
  <c r="K369" i="21"/>
  <c r="K368" i="21"/>
  <c r="K369" i="20"/>
  <c r="K368" i="20"/>
  <c r="K369" i="19"/>
  <c r="K368" i="19"/>
  <c r="K369" i="18"/>
  <c r="K368" i="18"/>
  <c r="K369" i="17"/>
  <c r="K370" i="17" s="1"/>
  <c r="K368" i="17"/>
  <c r="K369" i="16"/>
  <c r="K368" i="16"/>
  <c r="K369" i="15"/>
  <c r="K368" i="15"/>
  <c r="K369" i="14"/>
  <c r="K368" i="14"/>
  <c r="K370" i="14" s="1"/>
  <c r="K369" i="13"/>
  <c r="K368" i="13"/>
  <c r="K370" i="13" s="1"/>
  <c r="K369" i="12"/>
  <c r="K368" i="12"/>
  <c r="K369" i="11"/>
  <c r="K368" i="11"/>
  <c r="K369" i="9"/>
  <c r="K368" i="9"/>
  <c r="K369" i="25"/>
  <c r="K368" i="25"/>
  <c r="K370" i="24"/>
  <c r="K369" i="24"/>
  <c r="K368" i="24"/>
  <c r="K369" i="8"/>
  <c r="K368" i="8"/>
  <c r="K369" i="7"/>
  <c r="K370" i="7" s="1"/>
  <c r="K368" i="7"/>
  <c r="K369" i="6"/>
  <c r="K368" i="6"/>
  <c r="K368" i="5"/>
  <c r="K369" i="5"/>
  <c r="K369" i="2"/>
  <c r="K368" i="2"/>
  <c r="K370" i="20" l="1"/>
  <c r="K370" i="19"/>
  <c r="K370" i="18"/>
  <c r="K370" i="15"/>
  <c r="K370" i="16"/>
  <c r="K370" i="6"/>
  <c r="K370" i="12"/>
  <c r="K370" i="11"/>
  <c r="K370" i="25"/>
  <c r="K370" i="9"/>
  <c r="K370" i="8"/>
  <c r="K370" i="5"/>
  <c r="K370" i="2"/>
  <c r="K51" i="7"/>
  <c r="L51" i="7"/>
  <c r="L31" i="24" l="1"/>
  <c r="L35" i="24" s="1"/>
  <c r="K21" i="25" l="1"/>
  <c r="L29" i="2"/>
  <c r="L28" i="2"/>
  <c r="L27" i="2"/>
  <c r="L26" i="2"/>
  <c r="L24" i="2"/>
  <c r="L23" i="2"/>
  <c r="L22" i="2"/>
  <c r="L21" i="2"/>
  <c r="L28" i="8"/>
  <c r="L28" i="24"/>
  <c r="K28" i="24"/>
  <c r="L28" i="7"/>
  <c r="L28" i="6"/>
  <c r="L28" i="5"/>
  <c r="L27" i="22"/>
  <c r="L27" i="20"/>
  <c r="L27" i="19"/>
  <c r="J27" i="19"/>
  <c r="K27" i="19"/>
  <c r="L26" i="18"/>
  <c r="L27" i="18"/>
  <c r="K27" i="18"/>
  <c r="L26" i="20"/>
  <c r="L26" i="19"/>
  <c r="L26" i="22"/>
  <c r="F25" i="5"/>
  <c r="G25" i="5"/>
  <c r="H25" i="5"/>
  <c r="I25" i="5"/>
  <c r="J25" i="5"/>
  <c r="K25" i="5"/>
  <c r="L25" i="5"/>
  <c r="E25" i="2"/>
  <c r="J345" i="22" l="1"/>
  <c r="J345" i="21"/>
  <c r="J345" i="20"/>
  <c r="J345" i="19"/>
  <c r="J345" i="18"/>
  <c r="J345" i="17"/>
  <c r="J345" i="16"/>
  <c r="J345" i="15"/>
  <c r="J345" i="14"/>
  <c r="J345" i="13"/>
  <c r="J345" i="12"/>
  <c r="J345" i="11"/>
  <c r="J345" i="10"/>
  <c r="J345" i="9"/>
  <c r="J345" i="25"/>
  <c r="J345" i="24"/>
  <c r="J345" i="8"/>
  <c r="J345" i="7"/>
  <c r="J345" i="6"/>
  <c r="J345" i="5"/>
  <c r="J345" i="2"/>
  <c r="L321" i="22"/>
  <c r="L320" i="22"/>
  <c r="L321" i="21"/>
  <c r="L320" i="21"/>
  <c r="L321" i="20"/>
  <c r="L320" i="20"/>
  <c r="L321" i="19"/>
  <c r="L320" i="19"/>
  <c r="L321" i="18"/>
  <c r="L320" i="18"/>
  <c r="L321" i="17"/>
  <c r="L320" i="17"/>
  <c r="L321" i="16"/>
  <c r="L320" i="16"/>
  <c r="L321" i="15"/>
  <c r="L320" i="15"/>
  <c r="L321" i="14"/>
  <c r="L320" i="14"/>
  <c r="L321" i="13"/>
  <c r="L320" i="13"/>
  <c r="L321" i="12"/>
  <c r="L320" i="12"/>
  <c r="L321" i="11"/>
  <c r="L320" i="11"/>
  <c r="L321" i="10"/>
  <c r="L320" i="10"/>
  <c r="L321" i="9"/>
  <c r="L320" i="9"/>
  <c r="L321" i="25"/>
  <c r="L320" i="25"/>
  <c r="L321" i="24"/>
  <c r="L320" i="24"/>
  <c r="L321" i="8"/>
  <c r="L320" i="8"/>
  <c r="L321" i="7"/>
  <c r="L320" i="7"/>
  <c r="L321" i="6"/>
  <c r="L320" i="6"/>
  <c r="L321" i="5"/>
  <c r="L320" i="5"/>
  <c r="L321" i="2"/>
  <c r="L320" i="2"/>
  <c r="L51" i="22" l="1"/>
  <c r="K51" i="22"/>
  <c r="L50" i="22"/>
  <c r="L51" i="21"/>
  <c r="L50" i="21"/>
  <c r="L51" i="20"/>
  <c r="L50" i="20"/>
  <c r="L51" i="19"/>
  <c r="L50" i="19"/>
  <c r="L51" i="18"/>
  <c r="L50" i="18"/>
  <c r="L51" i="17"/>
  <c r="L50" i="17"/>
  <c r="L51" i="16"/>
  <c r="L50" i="16"/>
  <c r="L51" i="15"/>
  <c r="L50" i="15"/>
  <c r="L51" i="14"/>
  <c r="L50" i="14"/>
  <c r="L51" i="13"/>
  <c r="L50" i="13"/>
  <c r="L51" i="12"/>
  <c r="L50" i="12"/>
  <c r="L51" i="11"/>
  <c r="L50" i="11"/>
  <c r="L51" i="10"/>
  <c r="L50" i="10"/>
  <c r="L51" i="9"/>
  <c r="L50" i="9"/>
  <c r="L51" i="25"/>
  <c r="L50" i="25"/>
  <c r="L51" i="24"/>
  <c r="L50" i="24"/>
  <c r="L51" i="8"/>
  <c r="L50" i="8"/>
  <c r="L50" i="7"/>
  <c r="L51" i="6"/>
  <c r="L50" i="6"/>
  <c r="L51" i="5"/>
  <c r="L50" i="5"/>
  <c r="L50" i="2"/>
  <c r="L47" i="2"/>
  <c r="L51" i="2" s="1"/>
  <c r="L44" i="22" l="1"/>
  <c r="L41" i="22"/>
  <c r="L45" i="22" s="1"/>
  <c r="L39" i="22"/>
  <c r="L36" i="22"/>
  <c r="L40" i="22" s="1"/>
  <c r="L34" i="22"/>
  <c r="L31" i="22"/>
  <c r="L35" i="22" s="1"/>
  <c r="L45" i="21"/>
  <c r="L44" i="21"/>
  <c r="L41" i="21"/>
  <c r="L40" i="21"/>
  <c r="L39" i="21"/>
  <c r="L36" i="21"/>
  <c r="L35" i="21"/>
  <c r="L34" i="21"/>
  <c r="L31" i="21"/>
  <c r="L44" i="20"/>
  <c r="L41" i="20"/>
  <c r="L45" i="20" s="1"/>
  <c r="L39" i="20"/>
  <c r="L36" i="20"/>
  <c r="L40" i="20" s="1"/>
  <c r="L34" i="20"/>
  <c r="L31" i="20"/>
  <c r="L35" i="20" s="1"/>
  <c r="L45" i="19"/>
  <c r="L44" i="19"/>
  <c r="L41" i="19"/>
  <c r="L40" i="19"/>
  <c r="L39" i="19"/>
  <c r="L36" i="19"/>
  <c r="L34" i="19"/>
  <c r="L31" i="19"/>
  <c r="L35" i="19" s="1"/>
  <c r="L44" i="18"/>
  <c r="L41" i="18"/>
  <c r="L45" i="18" s="1"/>
  <c r="L39" i="18"/>
  <c r="L36" i="18"/>
  <c r="L40" i="18" s="1"/>
  <c r="L34" i="18"/>
  <c r="L31" i="18"/>
  <c r="L35" i="18" s="1"/>
  <c r="L44" i="17"/>
  <c r="L41" i="17"/>
  <c r="L45" i="17" s="1"/>
  <c r="L39" i="17"/>
  <c r="L36" i="17"/>
  <c r="L40" i="17" s="1"/>
  <c r="L34" i="17"/>
  <c r="L31" i="17"/>
  <c r="L35" i="17" s="1"/>
  <c r="L44" i="16"/>
  <c r="L41" i="16"/>
  <c r="L45" i="16" s="1"/>
  <c r="L39" i="16"/>
  <c r="L36" i="16"/>
  <c r="L40" i="16" s="1"/>
  <c r="L34" i="16"/>
  <c r="L31" i="16"/>
  <c r="L35" i="16" s="1"/>
  <c r="L44" i="15"/>
  <c r="L41" i="15"/>
  <c r="L45" i="15" s="1"/>
  <c r="L39" i="15"/>
  <c r="L36" i="15"/>
  <c r="L40" i="15" s="1"/>
  <c r="L34" i="15"/>
  <c r="L31" i="15"/>
  <c r="L35" i="15" s="1"/>
  <c r="L44" i="14"/>
  <c r="L41" i="14"/>
  <c r="L45" i="14" s="1"/>
  <c r="L39" i="14"/>
  <c r="L36" i="14"/>
  <c r="L40" i="14" s="1"/>
  <c r="L31" i="14"/>
  <c r="L35" i="14"/>
  <c r="L34" i="14"/>
  <c r="L44" i="13"/>
  <c r="L41" i="13"/>
  <c r="L45" i="13" s="1"/>
  <c r="L39" i="13"/>
  <c r="L36" i="13"/>
  <c r="L40" i="13" s="1"/>
  <c r="L34" i="13"/>
  <c r="L31" i="13"/>
  <c r="L35" i="13" s="1"/>
  <c r="L44" i="12"/>
  <c r="L41" i="12"/>
  <c r="L45" i="12" s="1"/>
  <c r="L39" i="12"/>
  <c r="L36" i="12"/>
  <c r="L40" i="12" s="1"/>
  <c r="L34" i="12"/>
  <c r="L31" i="12"/>
  <c r="L35" i="12" s="1"/>
  <c r="L44" i="11"/>
  <c r="L41" i="11"/>
  <c r="L45" i="11" s="1"/>
  <c r="L39" i="11"/>
  <c r="L36" i="11"/>
  <c r="L40" i="11" s="1"/>
  <c r="L34" i="11"/>
  <c r="L31" i="11"/>
  <c r="L35" i="11" s="1"/>
  <c r="L44" i="10"/>
  <c r="L41" i="10"/>
  <c r="L45" i="10" s="1"/>
  <c r="L39" i="10"/>
  <c r="L36" i="10"/>
  <c r="L40" i="10" s="1"/>
  <c r="L34" i="10"/>
  <c r="L31" i="10"/>
  <c r="L35" i="10" s="1"/>
  <c r="L44" i="9"/>
  <c r="L41" i="9"/>
  <c r="L45" i="9" s="1"/>
  <c r="L39" i="9"/>
  <c r="L36" i="9"/>
  <c r="L40" i="9" s="1"/>
  <c r="L34" i="9"/>
  <c r="L31" i="9"/>
  <c r="L35" i="9" s="1"/>
  <c r="L44" i="25"/>
  <c r="L41" i="25"/>
  <c r="L45" i="25" s="1"/>
  <c r="L39" i="25"/>
  <c r="L36" i="25"/>
  <c r="L40" i="25" s="1"/>
  <c r="L34" i="25"/>
  <c r="L31" i="25"/>
  <c r="L35" i="25" s="1"/>
  <c r="L44" i="24"/>
  <c r="L39" i="24"/>
  <c r="L34" i="24"/>
  <c r="L41" i="24"/>
  <c r="L45" i="24" s="1"/>
  <c r="L36" i="24"/>
  <c r="L40" i="24" s="1"/>
  <c r="L44" i="8"/>
  <c r="L39" i="8"/>
  <c r="L34" i="8"/>
  <c r="L41" i="8"/>
  <c r="L45" i="8" s="1"/>
  <c r="L36" i="8"/>
  <c r="L40" i="8" s="1"/>
  <c r="L31" i="8"/>
  <c r="L35" i="8" s="1"/>
  <c r="L44" i="7"/>
  <c r="L39" i="7"/>
  <c r="L34" i="7"/>
  <c r="L41" i="7"/>
  <c r="L45" i="7" s="1"/>
  <c r="L36" i="7"/>
  <c r="L40" i="7" s="1"/>
  <c r="L31" i="7"/>
  <c r="L35" i="7" s="1"/>
  <c r="L44" i="6"/>
  <c r="L41" i="6"/>
  <c r="L45" i="6" s="1"/>
  <c r="L39" i="6"/>
  <c r="L36" i="6"/>
  <c r="L40" i="6" s="1"/>
  <c r="L34" i="6"/>
  <c r="L31" i="6"/>
  <c r="L35" i="6" s="1"/>
  <c r="L44" i="5"/>
  <c r="L41" i="5"/>
  <c r="L45" i="5" s="1"/>
  <c r="L39" i="5"/>
  <c r="L36" i="5"/>
  <c r="L40" i="5" s="1"/>
  <c r="L31" i="5"/>
  <c r="L35" i="5" s="1"/>
  <c r="L34" i="5"/>
  <c r="L44" i="2"/>
  <c r="L39" i="2"/>
  <c r="L41" i="2"/>
  <c r="L45" i="2" s="1"/>
  <c r="L36" i="2"/>
  <c r="L40" i="2" s="1"/>
  <c r="L34" i="2"/>
  <c r="L31" i="2"/>
  <c r="L35" i="2" s="1"/>
  <c r="L29" i="22"/>
  <c r="L28" i="22"/>
  <c r="L25" i="22"/>
  <c r="K21" i="22"/>
  <c r="L21" i="22"/>
  <c r="K22" i="22"/>
  <c r="L22" i="22"/>
  <c r="K23" i="22"/>
  <c r="L23" i="22"/>
  <c r="K24" i="22"/>
  <c r="L24" i="22"/>
  <c r="L20" i="22"/>
  <c r="L7" i="22"/>
  <c r="L6" i="22"/>
  <c r="L29" i="21"/>
  <c r="L28" i="21"/>
  <c r="L27" i="21"/>
  <c r="L26" i="21"/>
  <c r="K26" i="21"/>
  <c r="K27" i="21"/>
  <c r="K28" i="21"/>
  <c r="K29" i="21"/>
  <c r="L25" i="21"/>
  <c r="K21" i="21"/>
  <c r="L21" i="21"/>
  <c r="K22" i="21"/>
  <c r="L22" i="21"/>
  <c r="K23" i="21"/>
  <c r="L23" i="21"/>
  <c r="K24" i="21"/>
  <c r="L24" i="21"/>
  <c r="L20" i="21"/>
  <c r="L7" i="21"/>
  <c r="L6" i="21"/>
  <c r="L29" i="20"/>
  <c r="L28" i="20"/>
  <c r="L25" i="20"/>
  <c r="K22" i="20"/>
  <c r="L22" i="20"/>
  <c r="K23" i="20"/>
  <c r="L23" i="20"/>
  <c r="K24" i="20"/>
  <c r="L24" i="20"/>
  <c r="L21" i="20"/>
  <c r="L20" i="20"/>
  <c r="L7" i="20"/>
  <c r="L6" i="20"/>
  <c r="L29" i="19"/>
  <c r="L28" i="19"/>
  <c r="K26" i="19"/>
  <c r="K28" i="19"/>
  <c r="K29" i="19"/>
  <c r="L25" i="19"/>
  <c r="K21" i="19"/>
  <c r="L21" i="19"/>
  <c r="K22" i="19"/>
  <c r="L22" i="19"/>
  <c r="K23" i="19"/>
  <c r="L23" i="19"/>
  <c r="K24" i="19"/>
  <c r="L24" i="19"/>
  <c r="L20" i="19"/>
  <c r="L7" i="19"/>
  <c r="L6" i="19"/>
  <c r="L29" i="18"/>
  <c r="L28" i="18"/>
  <c r="L21" i="18"/>
  <c r="L22" i="18"/>
  <c r="L23" i="18"/>
  <c r="L24" i="18"/>
  <c r="L20" i="18"/>
  <c r="L25" i="18"/>
  <c r="L25" i="17"/>
  <c r="K29" i="17"/>
  <c r="L29" i="17"/>
  <c r="K28" i="17"/>
  <c r="L28" i="17"/>
  <c r="K27" i="17"/>
  <c r="L27" i="17"/>
  <c r="K26" i="17"/>
  <c r="L26" i="17"/>
  <c r="K25" i="17"/>
  <c r="K21" i="17"/>
  <c r="L21" i="17"/>
  <c r="K22" i="17"/>
  <c r="L22" i="17"/>
  <c r="K23" i="17"/>
  <c r="L23" i="17"/>
  <c r="K24" i="17"/>
  <c r="L24" i="17"/>
  <c r="L20" i="17"/>
  <c r="L7" i="17"/>
  <c r="L6" i="17"/>
  <c r="L29" i="16"/>
  <c r="L28" i="16"/>
  <c r="L27" i="16"/>
  <c r="L26" i="16"/>
  <c r="L24" i="16"/>
  <c r="L23" i="16"/>
  <c r="L22" i="16"/>
  <c r="L21" i="16"/>
  <c r="L20" i="16"/>
  <c r="L25" i="16"/>
  <c r="L29" i="15"/>
  <c r="L28" i="15"/>
  <c r="L27" i="15"/>
  <c r="L26" i="15"/>
  <c r="L25" i="15"/>
  <c r="L24" i="15"/>
  <c r="L23" i="15"/>
  <c r="L22" i="15"/>
  <c r="L21" i="15"/>
  <c r="L20" i="15"/>
  <c r="L7" i="15"/>
  <c r="L6" i="15"/>
  <c r="L29" i="14"/>
  <c r="L28" i="14"/>
  <c r="L27" i="14"/>
  <c r="L26" i="14"/>
  <c r="L25" i="14"/>
  <c r="L24" i="14"/>
  <c r="L23" i="14"/>
  <c r="L22" i="14"/>
  <c r="L21" i="14"/>
  <c r="L20" i="14"/>
  <c r="L7" i="14"/>
  <c r="L6" i="14"/>
  <c r="L29" i="13"/>
  <c r="L28" i="13"/>
  <c r="L27" i="13"/>
  <c r="L26" i="13"/>
  <c r="L25" i="13"/>
  <c r="L24" i="13"/>
  <c r="L23" i="13"/>
  <c r="L22" i="13"/>
  <c r="L21" i="13"/>
  <c r="L20" i="13"/>
  <c r="L7" i="13"/>
  <c r="L6" i="13"/>
  <c r="L29" i="12"/>
  <c r="L28" i="12"/>
  <c r="L27" i="12"/>
  <c r="L26" i="12"/>
  <c r="L25" i="12"/>
  <c r="L24" i="12"/>
  <c r="L23" i="12"/>
  <c r="L22" i="12"/>
  <c r="L21" i="12"/>
  <c r="L20" i="12"/>
  <c r="L7" i="12"/>
  <c r="L6" i="12"/>
  <c r="L29" i="11"/>
  <c r="L28" i="11"/>
  <c r="L27" i="11"/>
  <c r="L26" i="11"/>
  <c r="L25" i="11"/>
  <c r="L24" i="11"/>
  <c r="L23" i="11"/>
  <c r="L22" i="11"/>
  <c r="L21" i="11"/>
  <c r="L20" i="11"/>
  <c r="L7" i="11"/>
  <c r="L6" i="11"/>
  <c r="L29" i="10"/>
  <c r="L28" i="10"/>
  <c r="L27" i="10"/>
  <c r="L26" i="10"/>
  <c r="L25" i="10"/>
  <c r="L24" i="10"/>
  <c r="L23" i="10"/>
  <c r="L22" i="10"/>
  <c r="L21" i="10"/>
  <c r="L20" i="10"/>
  <c r="L7" i="10"/>
  <c r="L6" i="10"/>
  <c r="L29" i="9"/>
  <c r="L28" i="9"/>
  <c r="L27" i="9"/>
  <c r="L26" i="9"/>
  <c r="L25" i="9"/>
  <c r="L24" i="9"/>
  <c r="L23" i="9"/>
  <c r="L22" i="9"/>
  <c r="L21" i="9"/>
  <c r="L20" i="9"/>
  <c r="L7" i="9"/>
  <c r="L6" i="9"/>
  <c r="L29" i="25"/>
  <c r="L28" i="25"/>
  <c r="L27" i="25"/>
  <c r="L26" i="25"/>
  <c r="L24" i="25"/>
  <c r="L23" i="25"/>
  <c r="L22" i="25"/>
  <c r="L21" i="25"/>
  <c r="L20" i="25"/>
  <c r="L25" i="25"/>
  <c r="E21" i="24"/>
  <c r="L21" i="24"/>
  <c r="L20" i="24"/>
  <c r="L29" i="24"/>
  <c r="L27" i="24"/>
  <c r="L26" i="24"/>
  <c r="L25" i="24"/>
  <c r="L24" i="24"/>
  <c r="L23" i="24"/>
  <c r="L22" i="24"/>
  <c r="L7" i="24"/>
  <c r="L6" i="24"/>
  <c r="L29" i="8"/>
  <c r="L27" i="8"/>
  <c r="L26" i="8"/>
  <c r="L25" i="8"/>
  <c r="L24" i="8"/>
  <c r="L23" i="8"/>
  <c r="L21" i="8"/>
  <c r="L22" i="8"/>
  <c r="L20" i="8"/>
  <c r="L7" i="8"/>
  <c r="L6" i="8"/>
  <c r="L6" i="7"/>
  <c r="L7" i="7"/>
  <c r="L20" i="7"/>
  <c r="L21" i="7"/>
  <c r="L22" i="7"/>
  <c r="L23" i="7"/>
  <c r="L24" i="7"/>
  <c r="L25" i="7"/>
  <c r="L26" i="7"/>
  <c r="L27" i="7"/>
  <c r="L29" i="7"/>
  <c r="L29" i="6"/>
  <c r="L27" i="6"/>
  <c r="L26" i="6"/>
  <c r="L25" i="6"/>
  <c r="L24" i="6"/>
  <c r="L23" i="6"/>
  <c r="L22" i="6"/>
  <c r="L21" i="6"/>
  <c r="L20" i="6"/>
  <c r="L7" i="6"/>
  <c r="L6" i="6"/>
  <c r="L29" i="5"/>
  <c r="L27" i="5"/>
  <c r="L26" i="5"/>
  <c r="L24" i="5"/>
  <c r="L23" i="5"/>
  <c r="L22" i="5"/>
  <c r="L21" i="5"/>
  <c r="L20" i="5"/>
  <c r="K29" i="2"/>
  <c r="K28" i="2"/>
  <c r="K27" i="2"/>
  <c r="K26" i="2"/>
  <c r="K25" i="2"/>
  <c r="L20" i="2"/>
  <c r="L25" i="2"/>
  <c r="L7" i="16" l="1"/>
  <c r="L6" i="16"/>
  <c r="L7" i="18"/>
  <c r="L6" i="18"/>
  <c r="L7" i="25"/>
  <c r="L6" i="25"/>
  <c r="L6" i="2"/>
  <c r="L7" i="2"/>
  <c r="F68" i="24"/>
  <c r="I427" i="22"/>
  <c r="J427" i="22"/>
  <c r="K427" i="22"/>
  <c r="I428" i="22"/>
  <c r="J428" i="22"/>
  <c r="K428" i="22"/>
  <c r="I431" i="22"/>
  <c r="J431" i="22"/>
  <c r="H483" i="21"/>
  <c r="I483" i="21"/>
  <c r="J483" i="21"/>
  <c r="K483" i="21"/>
  <c r="H484" i="21"/>
  <c r="I484" i="21"/>
  <c r="J484" i="21"/>
  <c r="K484" i="21"/>
  <c r="H485" i="21"/>
  <c r="I485" i="21"/>
  <c r="J485" i="21"/>
  <c r="H487" i="21"/>
  <c r="I487" i="21"/>
  <c r="J487" i="21"/>
  <c r="I423" i="20"/>
  <c r="J423" i="20"/>
  <c r="K423" i="20"/>
  <c r="I424" i="20"/>
  <c r="J424" i="20"/>
  <c r="K424" i="20"/>
  <c r="I425" i="20"/>
  <c r="I426" i="20"/>
  <c r="J426" i="20"/>
  <c r="I427" i="20"/>
  <c r="J427" i="20"/>
  <c r="H435" i="19"/>
  <c r="I435" i="19"/>
  <c r="J435" i="19"/>
  <c r="K435" i="19"/>
  <c r="H436" i="19"/>
  <c r="I436" i="19"/>
  <c r="J436" i="19"/>
  <c r="K436" i="19"/>
  <c r="I437" i="19"/>
  <c r="J437" i="19"/>
  <c r="J438" i="19"/>
  <c r="I439" i="19"/>
  <c r="J439" i="19"/>
  <c r="H431" i="18"/>
  <c r="I431" i="18"/>
  <c r="J431" i="18"/>
  <c r="K431" i="18"/>
  <c r="H432" i="18"/>
  <c r="I432" i="18"/>
  <c r="J432" i="18"/>
  <c r="K432" i="18"/>
  <c r="I433" i="18"/>
  <c r="J433" i="18"/>
  <c r="I434" i="18"/>
  <c r="I435" i="18"/>
  <c r="J435" i="18"/>
  <c r="H463" i="17"/>
  <c r="I463" i="17"/>
  <c r="J463" i="17"/>
  <c r="K463" i="17"/>
  <c r="H464" i="17"/>
  <c r="I464" i="17"/>
  <c r="J464" i="17"/>
  <c r="K464" i="17"/>
  <c r="I465" i="17"/>
  <c r="J465" i="17"/>
  <c r="I466" i="17"/>
  <c r="J466" i="17"/>
  <c r="I467" i="17"/>
  <c r="J467" i="17"/>
  <c r="H487" i="16"/>
  <c r="I487" i="16"/>
  <c r="J487" i="16"/>
  <c r="K487" i="16"/>
  <c r="H488" i="16"/>
  <c r="I488" i="16"/>
  <c r="J488" i="16"/>
  <c r="K488" i="16"/>
  <c r="H489" i="16"/>
  <c r="I489" i="16"/>
  <c r="J489" i="16"/>
  <c r="J490" i="16"/>
  <c r="H491" i="16"/>
  <c r="I491" i="16"/>
  <c r="J491" i="16"/>
  <c r="H435" i="15"/>
  <c r="I435" i="15"/>
  <c r="J435" i="15"/>
  <c r="K435" i="15"/>
  <c r="H436" i="15"/>
  <c r="I436" i="15"/>
  <c r="J436" i="15"/>
  <c r="K436" i="15"/>
  <c r="H437" i="15"/>
  <c r="I437" i="15"/>
  <c r="J437" i="15"/>
  <c r="J438" i="15"/>
  <c r="H439" i="15"/>
  <c r="I439" i="15"/>
  <c r="J439" i="15"/>
  <c r="H475" i="14"/>
  <c r="I475" i="14"/>
  <c r="J475" i="14"/>
  <c r="K475" i="14"/>
  <c r="H476" i="14"/>
  <c r="I476" i="14"/>
  <c r="J476" i="14"/>
  <c r="K476" i="14"/>
  <c r="H477" i="14"/>
  <c r="I477" i="14"/>
  <c r="J477" i="14"/>
  <c r="J478" i="14"/>
  <c r="H479" i="14"/>
  <c r="I479" i="14"/>
  <c r="J479" i="14"/>
  <c r="H479" i="13"/>
  <c r="I479" i="13"/>
  <c r="J479" i="13"/>
  <c r="K479" i="13"/>
  <c r="H480" i="13"/>
  <c r="I480" i="13"/>
  <c r="J480" i="13"/>
  <c r="K480" i="13"/>
  <c r="H481" i="13"/>
  <c r="I481" i="13"/>
  <c r="J481" i="13"/>
  <c r="I482" i="13"/>
  <c r="H483" i="13"/>
  <c r="I483" i="13"/>
  <c r="J483" i="13"/>
  <c r="H503" i="12"/>
  <c r="I503" i="12"/>
  <c r="J503" i="12"/>
  <c r="K503" i="12"/>
  <c r="H504" i="12"/>
  <c r="I504" i="12"/>
  <c r="J504" i="12"/>
  <c r="K504" i="12"/>
  <c r="H505" i="12"/>
  <c r="I505" i="12"/>
  <c r="J505" i="12"/>
  <c r="H506" i="12"/>
  <c r="J506" i="12"/>
  <c r="H507" i="12"/>
  <c r="I507" i="12"/>
  <c r="J507" i="12"/>
  <c r="H487" i="11"/>
  <c r="I487" i="11"/>
  <c r="J487" i="11"/>
  <c r="K487" i="11"/>
  <c r="H488" i="11"/>
  <c r="I488" i="11"/>
  <c r="J488" i="11"/>
  <c r="K488" i="11"/>
  <c r="H489" i="11"/>
  <c r="I489" i="11"/>
  <c r="J489" i="11"/>
  <c r="H490" i="11"/>
  <c r="I490" i="11"/>
  <c r="J490" i="11"/>
  <c r="H491" i="11"/>
  <c r="I491" i="11"/>
  <c r="J491" i="11"/>
  <c r="H535" i="10"/>
  <c r="I535" i="10"/>
  <c r="J535" i="10"/>
  <c r="K535" i="10"/>
  <c r="H536" i="10"/>
  <c r="I536" i="10"/>
  <c r="J536" i="10"/>
  <c r="K536" i="10"/>
  <c r="I537" i="10"/>
  <c r="J537" i="10"/>
  <c r="I538" i="10"/>
  <c r="J539" i="10"/>
  <c r="H511" i="9"/>
  <c r="I511" i="9"/>
  <c r="J511" i="9"/>
  <c r="K511" i="9"/>
  <c r="H512" i="9"/>
  <c r="I512" i="9"/>
  <c r="J512" i="9"/>
  <c r="K512" i="9"/>
  <c r="I513" i="9"/>
  <c r="J513" i="9"/>
  <c r="I514" i="9"/>
  <c r="J514" i="9"/>
  <c r="I515" i="9"/>
  <c r="J515" i="9"/>
  <c r="H479" i="25"/>
  <c r="I479" i="25"/>
  <c r="J479" i="25"/>
  <c r="K479" i="25"/>
  <c r="H480" i="25"/>
  <c r="I480" i="25"/>
  <c r="J480" i="25"/>
  <c r="K480" i="25"/>
  <c r="I481" i="25"/>
  <c r="J481" i="25"/>
  <c r="I482" i="25"/>
  <c r="J482" i="25"/>
  <c r="I483" i="25"/>
  <c r="J483" i="25"/>
  <c r="H439" i="24"/>
  <c r="I439" i="24"/>
  <c r="J439" i="24"/>
  <c r="K439" i="24"/>
  <c r="H440" i="24"/>
  <c r="I440" i="24"/>
  <c r="J440" i="24"/>
  <c r="K440" i="24"/>
  <c r="I441" i="24"/>
  <c r="J441" i="24"/>
  <c r="J443" i="24"/>
  <c r="H435" i="8"/>
  <c r="I435" i="8"/>
  <c r="J435" i="8"/>
  <c r="K435" i="8"/>
  <c r="H436" i="8"/>
  <c r="I436" i="8"/>
  <c r="J436" i="8"/>
  <c r="K436" i="8"/>
  <c r="I437" i="8"/>
  <c r="J437" i="8"/>
  <c r="I438" i="8"/>
  <c r="J438" i="8"/>
  <c r="I439" i="8"/>
  <c r="J439" i="8"/>
  <c r="H443" i="7"/>
  <c r="I443" i="7"/>
  <c r="J443" i="7"/>
  <c r="K443" i="7"/>
  <c r="H444" i="7"/>
  <c r="I444" i="7"/>
  <c r="J444" i="7"/>
  <c r="K444" i="7"/>
  <c r="I445" i="7"/>
  <c r="J445" i="7"/>
  <c r="I447" i="7"/>
  <c r="J447" i="7"/>
  <c r="H411" i="6"/>
  <c r="I411" i="6"/>
  <c r="J411" i="6"/>
  <c r="K411" i="6"/>
  <c r="H412" i="6"/>
  <c r="I412" i="6"/>
  <c r="J412" i="6"/>
  <c r="K412" i="6"/>
  <c r="I413" i="6"/>
  <c r="J413" i="6"/>
  <c r="J414" i="6"/>
  <c r="I415" i="6"/>
  <c r="J415" i="6"/>
  <c r="J479" i="5"/>
  <c r="J478" i="5"/>
  <c r="J477" i="5"/>
  <c r="J476" i="5"/>
  <c r="I476" i="5"/>
  <c r="H475" i="5"/>
  <c r="I475" i="5"/>
  <c r="J475" i="5"/>
  <c r="H476" i="5"/>
  <c r="K476" i="5"/>
  <c r="K467" i="2"/>
  <c r="J467" i="2"/>
  <c r="I467" i="2"/>
  <c r="K466" i="2"/>
  <c r="J466" i="2"/>
  <c r="I466" i="2"/>
  <c r="J465" i="2"/>
  <c r="I465" i="2"/>
  <c r="I463" i="2"/>
  <c r="J463" i="2"/>
  <c r="I464" i="2"/>
  <c r="J464" i="2"/>
  <c r="F357" i="5"/>
  <c r="F358" i="9"/>
  <c r="G358" i="9"/>
  <c r="H358" i="9"/>
  <c r="I358" i="9"/>
  <c r="J358" i="9"/>
  <c r="F359" i="9"/>
  <c r="G359" i="9"/>
  <c r="H359" i="9"/>
  <c r="I359" i="9"/>
  <c r="J359" i="9"/>
  <c r="J357" i="8"/>
  <c r="I357" i="8"/>
  <c r="H357" i="8"/>
  <c r="G357" i="8"/>
  <c r="F357" i="8"/>
  <c r="J357" i="24"/>
  <c r="I357" i="24"/>
  <c r="H357" i="24"/>
  <c r="G357" i="24"/>
  <c r="F357" i="24"/>
  <c r="J357" i="7"/>
  <c r="I357" i="7"/>
  <c r="H357" i="7"/>
  <c r="G357" i="7"/>
  <c r="F357" i="7"/>
  <c r="J357" i="6"/>
  <c r="I357" i="6"/>
  <c r="H357" i="6"/>
  <c r="G357" i="6"/>
  <c r="F357" i="6"/>
  <c r="J357" i="25" l="1"/>
  <c r="I357" i="25"/>
  <c r="H357" i="25"/>
  <c r="G357" i="25"/>
  <c r="F357" i="25"/>
  <c r="J357" i="9"/>
  <c r="I357" i="9"/>
  <c r="H357" i="9"/>
  <c r="G357" i="9"/>
  <c r="F357" i="9"/>
  <c r="J357" i="10"/>
  <c r="I357" i="10"/>
  <c r="H357" i="10"/>
  <c r="G357" i="10"/>
  <c r="F357" i="10"/>
  <c r="J357" i="11"/>
  <c r="I357" i="11"/>
  <c r="H357" i="11"/>
  <c r="G357" i="11"/>
  <c r="F357" i="11"/>
  <c r="J357" i="12"/>
  <c r="I357" i="12"/>
  <c r="H357" i="12"/>
  <c r="G357" i="12"/>
  <c r="F357" i="12"/>
  <c r="J357" i="14"/>
  <c r="G357" i="5"/>
  <c r="H357" i="5"/>
  <c r="I357" i="5"/>
  <c r="J357" i="5"/>
  <c r="K496" i="21"/>
  <c r="H496" i="21"/>
  <c r="G496" i="21"/>
  <c r="F496" i="21"/>
  <c r="K436" i="20"/>
  <c r="H436" i="20"/>
  <c r="G436" i="20"/>
  <c r="F436" i="20"/>
  <c r="K448" i="19"/>
  <c r="H448" i="19"/>
  <c r="G448" i="19"/>
  <c r="F448" i="19"/>
  <c r="K444" i="18"/>
  <c r="H444" i="18"/>
  <c r="G444" i="18"/>
  <c r="F444" i="18"/>
  <c r="K476" i="17"/>
  <c r="H476" i="17"/>
  <c r="G476" i="17"/>
  <c r="F476" i="17"/>
  <c r="K500" i="16"/>
  <c r="H500" i="16"/>
  <c r="G500" i="16"/>
  <c r="F500" i="16"/>
  <c r="K448" i="15"/>
  <c r="H448" i="15"/>
  <c r="G448" i="15"/>
  <c r="F448" i="15"/>
  <c r="G496" i="14"/>
  <c r="K488" i="14"/>
  <c r="H488" i="14"/>
  <c r="G488" i="14"/>
  <c r="F488" i="14"/>
  <c r="K492" i="13"/>
  <c r="H492" i="13"/>
  <c r="G492" i="13"/>
  <c r="F492" i="13"/>
  <c r="K516" i="12"/>
  <c r="H516" i="12"/>
  <c r="G516" i="12"/>
  <c r="F516" i="12"/>
  <c r="K500" i="11"/>
  <c r="H500" i="11"/>
  <c r="G500" i="11"/>
  <c r="F500" i="11"/>
  <c r="K548" i="10"/>
  <c r="H548" i="10"/>
  <c r="G548" i="10"/>
  <c r="F548" i="10"/>
  <c r="K524" i="9"/>
  <c r="H524" i="9"/>
  <c r="G524" i="9"/>
  <c r="F524" i="9"/>
  <c r="K492" i="25"/>
  <c r="H492" i="25"/>
  <c r="G492" i="25"/>
  <c r="F492" i="25"/>
  <c r="K452" i="24"/>
  <c r="H452" i="24"/>
  <c r="G452" i="24"/>
  <c r="F452" i="24"/>
  <c r="K448" i="8"/>
  <c r="H448" i="8"/>
  <c r="G448" i="8"/>
  <c r="F448" i="8"/>
  <c r="K456" i="7"/>
  <c r="H456" i="7"/>
  <c r="G456" i="7"/>
  <c r="F456" i="7"/>
  <c r="K424" i="6"/>
  <c r="H424" i="6"/>
  <c r="G424" i="6"/>
  <c r="F424" i="6"/>
  <c r="K488" i="5"/>
  <c r="H488" i="5"/>
  <c r="G488" i="5"/>
  <c r="F488" i="5"/>
  <c r="K476" i="2"/>
  <c r="G476" i="2"/>
  <c r="H476" i="2"/>
  <c r="F476" i="2"/>
  <c r="F457" i="15" l="1"/>
  <c r="G457" i="15"/>
  <c r="H457" i="15"/>
  <c r="I457" i="15"/>
  <c r="J457" i="15"/>
  <c r="K457" i="15"/>
  <c r="F533" i="9"/>
  <c r="G533" i="9"/>
  <c r="H533" i="9"/>
  <c r="I533" i="9"/>
  <c r="J533" i="9"/>
  <c r="K533" i="9"/>
  <c r="F486" i="2"/>
  <c r="G486" i="2"/>
  <c r="H486" i="2"/>
  <c r="I486" i="2"/>
  <c r="J486" i="2"/>
  <c r="K486" i="2"/>
  <c r="F487" i="2" l="1"/>
  <c r="I441" i="10" l="1"/>
  <c r="I442" i="10"/>
  <c r="I440" i="10"/>
  <c r="K475" i="5"/>
  <c r="K463" i="2"/>
  <c r="K462" i="24" l="1"/>
  <c r="J462" i="24"/>
  <c r="I462" i="24"/>
  <c r="H462" i="24"/>
  <c r="G462" i="24"/>
  <c r="F462" i="24"/>
  <c r="K461" i="24"/>
  <c r="J461" i="24"/>
  <c r="I461" i="24"/>
  <c r="H461" i="24"/>
  <c r="G461" i="24"/>
  <c r="F461" i="24"/>
  <c r="K502" i="25"/>
  <c r="J502" i="25"/>
  <c r="I502" i="25"/>
  <c r="H502" i="25"/>
  <c r="G502" i="25"/>
  <c r="F502" i="25"/>
  <c r="K501" i="25"/>
  <c r="J501" i="25"/>
  <c r="I501" i="25"/>
  <c r="H501" i="25"/>
  <c r="G501" i="25"/>
  <c r="F501" i="25"/>
  <c r="K531" i="9"/>
  <c r="G555" i="10"/>
  <c r="K526" i="12"/>
  <c r="J526" i="12"/>
  <c r="I526" i="12"/>
  <c r="H526" i="12"/>
  <c r="G526" i="12"/>
  <c r="F526" i="12"/>
  <c r="K525" i="12"/>
  <c r="J525" i="12"/>
  <c r="I525" i="12"/>
  <c r="H525" i="12"/>
  <c r="G525" i="12"/>
  <c r="F525" i="12"/>
  <c r="K502" i="13"/>
  <c r="J502" i="13"/>
  <c r="I502" i="13"/>
  <c r="H502" i="13"/>
  <c r="G502" i="13"/>
  <c r="F502" i="13"/>
  <c r="K501" i="13"/>
  <c r="J501" i="13"/>
  <c r="I501" i="13"/>
  <c r="H501" i="13"/>
  <c r="G501" i="13"/>
  <c r="F501" i="13"/>
  <c r="K498" i="14"/>
  <c r="J498" i="14"/>
  <c r="I498" i="14"/>
  <c r="H498" i="14"/>
  <c r="G498" i="14"/>
  <c r="F498" i="14"/>
  <c r="K497" i="14"/>
  <c r="J497" i="14"/>
  <c r="I497" i="14"/>
  <c r="H497" i="14"/>
  <c r="G497" i="14"/>
  <c r="F497" i="14"/>
  <c r="K458" i="15"/>
  <c r="J458" i="15"/>
  <c r="I458" i="15"/>
  <c r="H458" i="15"/>
  <c r="G458" i="15"/>
  <c r="F458" i="15"/>
  <c r="K510" i="16"/>
  <c r="J510" i="16"/>
  <c r="I510" i="16"/>
  <c r="H510" i="16"/>
  <c r="G510" i="16"/>
  <c r="F510" i="16"/>
  <c r="K509" i="16"/>
  <c r="J509" i="16"/>
  <c r="I509" i="16"/>
  <c r="H509" i="16"/>
  <c r="G509" i="16"/>
  <c r="F509" i="16"/>
  <c r="K486" i="17"/>
  <c r="J486" i="17"/>
  <c r="I486" i="17"/>
  <c r="H486" i="17"/>
  <c r="G486" i="17"/>
  <c r="F486" i="17"/>
  <c r="K485" i="17"/>
  <c r="J485" i="17"/>
  <c r="I485" i="17"/>
  <c r="H485" i="17"/>
  <c r="G485" i="17"/>
  <c r="F485" i="17"/>
  <c r="K454" i="18"/>
  <c r="J454" i="18"/>
  <c r="I454" i="18"/>
  <c r="H454" i="18"/>
  <c r="G454" i="18"/>
  <c r="F454" i="18"/>
  <c r="K453" i="18"/>
  <c r="J453" i="18"/>
  <c r="I453" i="18"/>
  <c r="H453" i="18"/>
  <c r="G453" i="18"/>
  <c r="F453" i="18"/>
  <c r="J440" i="20"/>
  <c r="J439" i="20"/>
  <c r="I442" i="20"/>
  <c r="I441" i="20"/>
  <c r="I440" i="20"/>
  <c r="I439" i="20"/>
  <c r="H442" i="20"/>
  <c r="H441" i="20"/>
  <c r="H440" i="20"/>
  <c r="H439" i="20"/>
  <c r="G442" i="20"/>
  <c r="G441" i="20"/>
  <c r="G440" i="20"/>
  <c r="G439" i="20"/>
  <c r="F442" i="20"/>
  <c r="F441" i="20"/>
  <c r="F440" i="20"/>
  <c r="F439" i="20"/>
  <c r="K506" i="21"/>
  <c r="J506" i="21"/>
  <c r="I506" i="21"/>
  <c r="H506" i="21"/>
  <c r="K505" i="21"/>
  <c r="J505" i="21"/>
  <c r="I505" i="21"/>
  <c r="H505" i="21"/>
  <c r="G502" i="21"/>
  <c r="G501" i="21"/>
  <c r="G500" i="21"/>
  <c r="G499" i="21"/>
  <c r="F502" i="21"/>
  <c r="F501" i="21"/>
  <c r="F500" i="21"/>
  <c r="F499" i="21"/>
  <c r="K446" i="22"/>
  <c r="K445" i="22"/>
  <c r="K444" i="22"/>
  <c r="K443" i="22"/>
  <c r="J446" i="22"/>
  <c r="J445" i="22"/>
  <c r="J444" i="22"/>
  <c r="J443" i="22"/>
  <c r="I446" i="22"/>
  <c r="I445" i="22"/>
  <c r="I444" i="22"/>
  <c r="I443" i="22"/>
  <c r="H446" i="22"/>
  <c r="H445" i="22"/>
  <c r="H444" i="22"/>
  <c r="H443" i="22"/>
  <c r="G446" i="22"/>
  <c r="G445" i="22"/>
  <c r="G444" i="22"/>
  <c r="G443" i="22"/>
  <c r="F446" i="22"/>
  <c r="F445" i="22"/>
  <c r="F444" i="22"/>
  <c r="F443" i="22"/>
  <c r="K484" i="5"/>
  <c r="K420" i="6"/>
  <c r="K452" i="7"/>
  <c r="K444" i="8"/>
  <c r="K448" i="24"/>
  <c r="K488" i="25"/>
  <c r="K520" i="9"/>
  <c r="K544" i="10"/>
  <c r="K496" i="11"/>
  <c r="K512" i="12"/>
  <c r="K488" i="13"/>
  <c r="K484" i="14"/>
  <c r="K444" i="15"/>
  <c r="K496" i="16"/>
  <c r="K472" i="17"/>
  <c r="K440" i="18"/>
  <c r="K441" i="18"/>
  <c r="K444" i="19"/>
  <c r="K432" i="20"/>
  <c r="K433" i="20"/>
  <c r="K492" i="21"/>
  <c r="K436" i="22"/>
  <c r="F503" i="21" l="1"/>
  <c r="G449" i="22"/>
  <c r="H448" i="22"/>
  <c r="G447" i="22"/>
  <c r="G450" i="22"/>
  <c r="I450" i="22"/>
  <c r="J449" i="22"/>
  <c r="F447" i="22"/>
  <c r="F448" i="22"/>
  <c r="H450" i="22"/>
  <c r="F505" i="21"/>
  <c r="G505" i="21"/>
  <c r="G448" i="22"/>
  <c r="H449" i="22"/>
  <c r="I449" i="22"/>
  <c r="K449" i="22"/>
  <c r="F506" i="21"/>
  <c r="K448" i="22"/>
  <c r="F450" i="22"/>
  <c r="F449" i="22"/>
  <c r="H447" i="22"/>
  <c r="K450" i="22"/>
  <c r="J448" i="22"/>
  <c r="J450" i="22"/>
  <c r="G506" i="21"/>
  <c r="G443" i="20"/>
  <c r="F504" i="21"/>
  <c r="K447" i="22"/>
  <c r="J447" i="22"/>
  <c r="I448" i="22"/>
  <c r="I447" i="22"/>
  <c r="J425" i="18" l="1"/>
  <c r="J424" i="18"/>
  <c r="I420" i="22"/>
  <c r="H421" i="22"/>
  <c r="H420" i="22"/>
  <c r="J478" i="21"/>
  <c r="J477" i="21"/>
  <c r="J476" i="21"/>
  <c r="J475" i="21"/>
  <c r="H478" i="21"/>
  <c r="H477" i="21"/>
  <c r="H476" i="21"/>
  <c r="J426" i="21"/>
  <c r="J425" i="21"/>
  <c r="J424" i="21"/>
  <c r="I426" i="21"/>
  <c r="I425" i="21"/>
  <c r="I424" i="21"/>
  <c r="H426" i="21"/>
  <c r="H425" i="21"/>
  <c r="H424" i="21"/>
  <c r="F426" i="21"/>
  <c r="F425" i="21"/>
  <c r="J416" i="20"/>
  <c r="F417" i="20"/>
  <c r="J388" i="20"/>
  <c r="I388" i="20"/>
  <c r="H388" i="20"/>
  <c r="G388" i="20"/>
  <c r="G390" i="20"/>
  <c r="F388" i="20"/>
  <c r="F389" i="20"/>
  <c r="F416" i="20"/>
  <c r="I429" i="19"/>
  <c r="I428" i="19"/>
  <c r="H428" i="19"/>
  <c r="G429" i="19"/>
  <c r="G428" i="19"/>
  <c r="F430" i="19"/>
  <c r="F429" i="19"/>
  <c r="F428" i="19"/>
  <c r="F379" i="19"/>
  <c r="G379" i="19"/>
  <c r="H379" i="19"/>
  <c r="I379" i="19"/>
  <c r="J379" i="19"/>
  <c r="G383" i="19"/>
  <c r="H383" i="19"/>
  <c r="I383" i="19"/>
  <c r="J383" i="19"/>
  <c r="F387" i="19"/>
  <c r="G387" i="19"/>
  <c r="H387" i="19"/>
  <c r="I387" i="19"/>
  <c r="J387" i="19"/>
  <c r="F391" i="19"/>
  <c r="G391" i="19"/>
  <c r="H391" i="19"/>
  <c r="I391" i="19"/>
  <c r="J391" i="19"/>
  <c r="F395" i="19"/>
  <c r="G395" i="19"/>
  <c r="H395" i="19"/>
  <c r="I395" i="19"/>
  <c r="J395" i="19"/>
  <c r="J399" i="19"/>
  <c r="G400" i="19"/>
  <c r="H400" i="19"/>
  <c r="I400" i="19"/>
  <c r="G401" i="19"/>
  <c r="H401" i="19"/>
  <c r="I401" i="19"/>
  <c r="G425" i="18"/>
  <c r="G424" i="18"/>
  <c r="G397" i="18"/>
  <c r="F396" i="18"/>
  <c r="J457" i="17"/>
  <c r="H457" i="17"/>
  <c r="H456" i="17"/>
  <c r="G458" i="17"/>
  <c r="G457" i="17"/>
  <c r="G456" i="17"/>
  <c r="F458" i="17"/>
  <c r="F457" i="17"/>
  <c r="J410" i="17"/>
  <c r="J409" i="17"/>
  <c r="I410" i="17"/>
  <c r="I409" i="17"/>
  <c r="I408" i="17"/>
  <c r="G408" i="17"/>
  <c r="H410" i="17"/>
  <c r="H409" i="17"/>
  <c r="H408" i="17"/>
  <c r="F409" i="17"/>
  <c r="F408" i="17"/>
  <c r="J482" i="16"/>
  <c r="J481" i="16"/>
  <c r="J480" i="16"/>
  <c r="I482" i="16"/>
  <c r="I481" i="16"/>
  <c r="I480" i="16"/>
  <c r="H482" i="16"/>
  <c r="H481" i="16"/>
  <c r="H480" i="16"/>
  <c r="F482" i="16"/>
  <c r="F481" i="16"/>
  <c r="F480" i="16"/>
  <c r="J429" i="15"/>
  <c r="G429" i="15"/>
  <c r="G428" i="15"/>
  <c r="F427" i="15"/>
  <c r="F401" i="15"/>
  <c r="F400" i="15"/>
  <c r="J469" i="14"/>
  <c r="J468" i="14"/>
  <c r="I470" i="14"/>
  <c r="I468" i="14"/>
  <c r="H470" i="14"/>
  <c r="H469" i="14"/>
  <c r="H468" i="14"/>
  <c r="G468" i="14"/>
  <c r="G470" i="14"/>
  <c r="G469" i="14"/>
  <c r="F470" i="14"/>
  <c r="F469" i="14"/>
  <c r="F468" i="14"/>
  <c r="J412" i="14"/>
  <c r="I413" i="14"/>
  <c r="I412" i="14"/>
  <c r="H412" i="14"/>
  <c r="H413" i="14"/>
  <c r="H414" i="14"/>
  <c r="G414" i="14"/>
  <c r="G413" i="14"/>
  <c r="G412" i="14"/>
  <c r="F414" i="14"/>
  <c r="F412" i="14"/>
  <c r="J414" i="14"/>
  <c r="I414" i="14"/>
  <c r="J413" i="14"/>
  <c r="I469" i="14"/>
  <c r="F413" i="14"/>
  <c r="J474" i="13"/>
  <c r="J472" i="13"/>
  <c r="I473" i="13"/>
  <c r="I472" i="13"/>
  <c r="H474" i="13"/>
  <c r="H473" i="13"/>
  <c r="H472" i="13"/>
  <c r="G474" i="13"/>
  <c r="G473" i="13"/>
  <c r="G472" i="13"/>
  <c r="F474" i="13"/>
  <c r="F472" i="13"/>
  <c r="J425" i="13"/>
  <c r="J424" i="13"/>
  <c r="I426" i="13"/>
  <c r="I425" i="13"/>
  <c r="I424" i="13"/>
  <c r="H425" i="13"/>
  <c r="H424" i="13"/>
  <c r="I430" i="12"/>
  <c r="H430" i="12"/>
  <c r="H429" i="12"/>
  <c r="G426" i="13"/>
  <c r="G425" i="13"/>
  <c r="G424" i="13"/>
  <c r="F473" i="13"/>
  <c r="J426" i="13"/>
  <c r="H426" i="13"/>
  <c r="J498" i="12"/>
  <c r="J497" i="12"/>
  <c r="J496" i="12"/>
  <c r="I497" i="12"/>
  <c r="I498" i="12"/>
  <c r="I496" i="12"/>
  <c r="G498" i="12"/>
  <c r="G497" i="12"/>
  <c r="G496" i="12"/>
  <c r="F498" i="12"/>
  <c r="F497" i="12"/>
  <c r="F496" i="12"/>
  <c r="J428" i="12"/>
  <c r="J429" i="12"/>
  <c r="J430" i="12"/>
  <c r="I429" i="12"/>
  <c r="I428" i="12"/>
  <c r="H428" i="12"/>
  <c r="F430" i="12"/>
  <c r="F429" i="12"/>
  <c r="F428" i="12"/>
  <c r="H480" i="11"/>
  <c r="H482" i="11"/>
  <c r="H481" i="11"/>
  <c r="F482" i="11"/>
  <c r="F481" i="11"/>
  <c r="F480" i="11"/>
  <c r="H430" i="11"/>
  <c r="H429" i="11"/>
  <c r="H428" i="11"/>
  <c r="G430" i="11"/>
  <c r="G429" i="11"/>
  <c r="G428" i="11"/>
  <c r="F429" i="11"/>
  <c r="F428" i="11"/>
  <c r="J530" i="10"/>
  <c r="J529" i="10"/>
  <c r="J528" i="10"/>
  <c r="I528" i="10"/>
  <c r="I530" i="10"/>
  <c r="I529" i="10"/>
  <c r="H530" i="10"/>
  <c r="H529" i="10"/>
  <c r="H528" i="10"/>
  <c r="G530" i="10"/>
  <c r="G529" i="10"/>
  <c r="G528" i="10"/>
  <c r="F528" i="10"/>
  <c r="F530" i="10"/>
  <c r="F529" i="10"/>
  <c r="J442" i="10"/>
  <c r="J441" i="10"/>
  <c r="J440" i="10"/>
  <c r="F442" i="10"/>
  <c r="F441" i="10"/>
  <c r="F440" i="10"/>
  <c r="J505" i="9"/>
  <c r="J504" i="9"/>
  <c r="J506" i="9"/>
  <c r="I506" i="9"/>
  <c r="I505" i="9"/>
  <c r="I504" i="9"/>
  <c r="H506" i="9"/>
  <c r="H505" i="9"/>
  <c r="H504" i="9"/>
  <c r="G504" i="9"/>
  <c r="G505" i="9"/>
  <c r="G506" i="9"/>
  <c r="F506" i="9"/>
  <c r="F505" i="9"/>
  <c r="F504" i="9"/>
  <c r="J437" i="9"/>
  <c r="J436" i="9"/>
  <c r="J438" i="9"/>
  <c r="I437" i="9"/>
  <c r="I438" i="9"/>
  <c r="I436" i="9"/>
  <c r="H438" i="9"/>
  <c r="H437" i="9"/>
  <c r="H436" i="9"/>
  <c r="G438" i="9"/>
  <c r="G437" i="9"/>
  <c r="G436" i="9"/>
  <c r="F436" i="9"/>
  <c r="F438" i="9"/>
  <c r="F437" i="9"/>
  <c r="J472" i="25"/>
  <c r="I474" i="25"/>
  <c r="I473" i="25"/>
  <c r="I472" i="25"/>
  <c r="H474" i="25"/>
  <c r="H472" i="25"/>
  <c r="G474" i="25"/>
  <c r="G473" i="25"/>
  <c r="G472" i="25"/>
  <c r="F474" i="25"/>
  <c r="F473" i="25"/>
  <c r="F472" i="25"/>
  <c r="I416" i="25"/>
  <c r="H416" i="25"/>
  <c r="G418" i="25"/>
  <c r="G417" i="25"/>
  <c r="G416" i="25"/>
  <c r="F417" i="25"/>
  <c r="F416" i="25"/>
  <c r="J434" i="24"/>
  <c r="I434" i="24"/>
  <c r="J432" i="24"/>
  <c r="I432" i="24"/>
  <c r="H434" i="24"/>
  <c r="H432" i="24"/>
  <c r="G434" i="24"/>
  <c r="G433" i="24"/>
  <c r="G432" i="24"/>
  <c r="F434" i="24"/>
  <c r="F433" i="24"/>
  <c r="F432" i="24"/>
  <c r="J397" i="24"/>
  <c r="J396" i="24"/>
  <c r="I397" i="24"/>
  <c r="I396" i="24"/>
  <c r="H396" i="24"/>
  <c r="G396" i="24"/>
  <c r="F397" i="24"/>
  <c r="F396" i="24"/>
  <c r="J428" i="8"/>
  <c r="I428" i="8"/>
  <c r="H428" i="8"/>
  <c r="F428" i="8"/>
  <c r="H430" i="8"/>
  <c r="H429" i="8"/>
  <c r="F430" i="8"/>
  <c r="F429" i="8"/>
  <c r="J396" i="8"/>
  <c r="I396" i="8"/>
  <c r="H396" i="8"/>
  <c r="G396" i="8"/>
  <c r="F396" i="8"/>
  <c r="J436" i="7"/>
  <c r="I438" i="7"/>
  <c r="I436" i="7"/>
  <c r="H437" i="7"/>
  <c r="H436" i="7"/>
  <c r="G437" i="7"/>
  <c r="G436" i="7"/>
  <c r="J396" i="7"/>
  <c r="I396" i="7"/>
  <c r="G396" i="7"/>
  <c r="F396" i="7"/>
  <c r="G405" i="6"/>
  <c r="G404" i="6"/>
  <c r="F404" i="6"/>
  <c r="F405" i="6"/>
  <c r="J470" i="5"/>
  <c r="J469" i="5"/>
  <c r="J468" i="5"/>
  <c r="I469" i="5"/>
  <c r="I468" i="5"/>
  <c r="H470" i="5"/>
  <c r="H469" i="5"/>
  <c r="H468" i="5"/>
  <c r="G470" i="5"/>
  <c r="G469" i="5"/>
  <c r="G468" i="5"/>
  <c r="F470" i="5"/>
  <c r="F468" i="5"/>
  <c r="J414" i="5"/>
  <c r="J413" i="5"/>
  <c r="J412" i="5"/>
  <c r="I412" i="5"/>
  <c r="I414" i="5"/>
  <c r="I413" i="5"/>
  <c r="H413" i="5"/>
  <c r="H412" i="5"/>
  <c r="J458" i="2"/>
  <c r="J457" i="2"/>
  <c r="J456" i="2"/>
  <c r="I458" i="2"/>
  <c r="I457" i="2"/>
  <c r="I456" i="2"/>
  <c r="H458" i="2"/>
  <c r="H456" i="2"/>
  <c r="G458" i="2"/>
  <c r="G457" i="2"/>
  <c r="G456" i="2"/>
  <c r="F457" i="2"/>
  <c r="F456" i="2"/>
  <c r="J406" i="2"/>
  <c r="J405" i="2"/>
  <c r="J404" i="2"/>
  <c r="I406" i="2"/>
  <c r="I405" i="2"/>
  <c r="I404" i="2"/>
  <c r="H406" i="2"/>
  <c r="H405" i="2"/>
  <c r="H404" i="2"/>
  <c r="G406" i="2" l="1"/>
  <c r="G405" i="2"/>
  <c r="G404" i="2"/>
  <c r="F406" i="2"/>
  <c r="F405" i="2"/>
  <c r="F404" i="2"/>
  <c r="F368" i="5" l="1"/>
  <c r="F431" i="2"/>
  <c r="I358" i="13"/>
  <c r="F411" i="22" l="1"/>
  <c r="J411" i="22"/>
  <c r="I411" i="22"/>
  <c r="H411" i="22"/>
  <c r="G411" i="22"/>
  <c r="J407" i="22"/>
  <c r="I407" i="22"/>
  <c r="H407" i="22"/>
  <c r="G407" i="22"/>
  <c r="F407" i="22"/>
  <c r="J403" i="22"/>
  <c r="I403" i="22"/>
  <c r="H403" i="22"/>
  <c r="G403" i="22"/>
  <c r="F403" i="22"/>
  <c r="J391" i="22"/>
  <c r="I391" i="22"/>
  <c r="F228" i="22"/>
  <c r="I224" i="22"/>
  <c r="I232" i="21"/>
  <c r="F232" i="21"/>
  <c r="F224" i="21"/>
  <c r="J463" i="21"/>
  <c r="I467" i="21"/>
  <c r="J467" i="21"/>
  <c r="G475" i="21"/>
  <c r="H475" i="21"/>
  <c r="I475" i="21"/>
  <c r="F475" i="21"/>
  <c r="J471" i="21"/>
  <c r="H467" i="21"/>
  <c r="I463" i="21"/>
  <c r="I423" i="21"/>
  <c r="J423" i="21"/>
  <c r="I419" i="21"/>
  <c r="J419" i="21"/>
  <c r="I415" i="21"/>
  <c r="J415" i="21"/>
  <c r="H423" i="21"/>
  <c r="H419" i="21"/>
  <c r="H415" i="21"/>
  <c r="G411" i="21"/>
  <c r="J379" i="21"/>
  <c r="I379" i="21"/>
  <c r="H379" i="21"/>
  <c r="G379" i="21"/>
  <c r="F379" i="21"/>
  <c r="G411" i="20" l="1"/>
  <c r="G399" i="20"/>
  <c r="F399" i="20"/>
  <c r="F228" i="20"/>
  <c r="G427" i="19"/>
  <c r="H427" i="19"/>
  <c r="I427" i="19"/>
  <c r="J427" i="19"/>
  <c r="F427" i="19"/>
  <c r="I423" i="19"/>
  <c r="J423" i="19"/>
  <c r="H423" i="19"/>
  <c r="G419" i="19"/>
  <c r="H419" i="19"/>
  <c r="I419" i="19"/>
  <c r="J419" i="19"/>
  <c r="F419" i="19"/>
  <c r="G415" i="19"/>
  <c r="H415" i="19"/>
  <c r="I415" i="19"/>
  <c r="J415" i="19"/>
  <c r="F415" i="19"/>
  <c r="F391" i="18" l="1"/>
  <c r="H451" i="17"/>
  <c r="F455" i="17"/>
  <c r="G451" i="17"/>
  <c r="I479" i="16"/>
  <c r="J479" i="16"/>
  <c r="H475" i="16"/>
  <c r="I475" i="16"/>
  <c r="J475" i="16"/>
  <c r="I467" i="16"/>
  <c r="J467" i="16"/>
  <c r="G463" i="16"/>
  <c r="H463" i="16"/>
  <c r="I463" i="16"/>
  <c r="J463" i="16"/>
  <c r="G459" i="16"/>
  <c r="H467" i="16"/>
  <c r="H479" i="16"/>
  <c r="G475" i="16"/>
  <c r="F471" i="16"/>
  <c r="F467" i="16"/>
  <c r="F463" i="16"/>
  <c r="F459" i="16"/>
  <c r="H415" i="16"/>
  <c r="I415" i="16"/>
  <c r="J415" i="16"/>
  <c r="G415" i="16"/>
  <c r="I411" i="16"/>
  <c r="J411" i="16"/>
  <c r="H411" i="16"/>
  <c r="H407" i="16"/>
  <c r="I407" i="16"/>
  <c r="J407" i="16"/>
  <c r="G407" i="16"/>
  <c r="I329" i="16"/>
  <c r="F395" i="15" l="1"/>
  <c r="F228" i="15"/>
  <c r="H407" i="14"/>
  <c r="I407" i="14"/>
  <c r="J407" i="14"/>
  <c r="F399" i="14"/>
  <c r="J431" i="13" l="1"/>
  <c r="I431" i="13"/>
  <c r="H431" i="13"/>
  <c r="G431" i="13"/>
  <c r="F431" i="13"/>
  <c r="G419" i="13"/>
  <c r="F419" i="13"/>
  <c r="F415" i="13"/>
  <c r="J375" i="13"/>
  <c r="I375" i="13"/>
  <c r="H375" i="13"/>
  <c r="G375" i="13"/>
  <c r="F375" i="13"/>
  <c r="E6" i="13"/>
  <c r="E7" i="13"/>
  <c r="E20" i="13"/>
  <c r="E21" i="13"/>
  <c r="E22" i="13"/>
  <c r="E23" i="13"/>
  <c r="E24" i="13"/>
  <c r="E25" i="13"/>
  <c r="E26" i="13"/>
  <c r="E27" i="13"/>
  <c r="E28" i="13"/>
  <c r="E29" i="13"/>
  <c r="E34" i="13"/>
  <c r="E35" i="13"/>
  <c r="E36" i="13"/>
  <c r="E40" i="13" s="1"/>
  <c r="E39" i="13"/>
  <c r="E41" i="13"/>
  <c r="E45" i="13" s="1"/>
  <c r="E44" i="13"/>
  <c r="E50" i="13"/>
  <c r="E51" i="13"/>
  <c r="H495" i="12"/>
  <c r="I495" i="12"/>
  <c r="G495" i="12"/>
  <c r="G483" i="12"/>
  <c r="F483" i="12"/>
  <c r="F475" i="12"/>
  <c r="J435" i="12"/>
  <c r="I435" i="12"/>
  <c r="H435" i="12"/>
  <c r="G435" i="12"/>
  <c r="F435" i="12"/>
  <c r="I419" i="12"/>
  <c r="J419" i="12"/>
  <c r="H419" i="12"/>
  <c r="I411" i="12"/>
  <c r="J411" i="12"/>
  <c r="I407" i="12"/>
  <c r="J407" i="12"/>
  <c r="J375" i="12"/>
  <c r="I375" i="12"/>
  <c r="H375" i="12"/>
  <c r="G375" i="12"/>
  <c r="F375" i="12"/>
  <c r="J329" i="11"/>
  <c r="K329" i="11"/>
  <c r="E6" i="12" l="1"/>
  <c r="E7" i="12"/>
  <c r="E20" i="12"/>
  <c r="E21" i="12"/>
  <c r="E22" i="12"/>
  <c r="E23" i="12"/>
  <c r="E24" i="12"/>
  <c r="E25" i="12"/>
  <c r="E26" i="12"/>
  <c r="E27" i="12"/>
  <c r="E28" i="12"/>
  <c r="E29" i="12"/>
  <c r="E34" i="12"/>
  <c r="E35" i="12"/>
  <c r="E36" i="12"/>
  <c r="E40" i="12" s="1"/>
  <c r="E39" i="12"/>
  <c r="E41" i="12"/>
  <c r="E45" i="12" s="1"/>
  <c r="E44" i="12"/>
  <c r="E50" i="12"/>
  <c r="E51" i="12"/>
  <c r="I471" i="11"/>
  <c r="J471" i="11"/>
  <c r="I467" i="11"/>
  <c r="J467" i="11"/>
  <c r="I479" i="11"/>
  <c r="J479" i="11"/>
  <c r="H479" i="11"/>
  <c r="J435" i="11"/>
  <c r="I435" i="11"/>
  <c r="H435" i="11"/>
  <c r="G435" i="11"/>
  <c r="F435" i="11"/>
  <c r="J427" i="11"/>
  <c r="G411" i="11"/>
  <c r="H411" i="11"/>
  <c r="F411" i="11"/>
  <c r="G407" i="11"/>
  <c r="H407" i="11"/>
  <c r="F407" i="11"/>
  <c r="G403" i="11"/>
  <c r="H403" i="11"/>
  <c r="F403" i="11"/>
  <c r="J375" i="11"/>
  <c r="I375" i="11"/>
  <c r="H375" i="11"/>
  <c r="G375" i="11"/>
  <c r="F375" i="11"/>
  <c r="G483" i="10"/>
  <c r="H483" i="10"/>
  <c r="F483" i="10"/>
  <c r="G479" i="10"/>
  <c r="H479" i="10"/>
  <c r="F479" i="10"/>
  <c r="G475" i="10"/>
  <c r="H475" i="10"/>
  <c r="F475" i="10"/>
  <c r="J499" i="10"/>
  <c r="G499" i="10"/>
  <c r="F507" i="10"/>
  <c r="H463" i="10"/>
  <c r="J447" i="10"/>
  <c r="I447" i="10"/>
  <c r="H447" i="10"/>
  <c r="G447" i="10"/>
  <c r="F447" i="10"/>
  <c r="G431" i="10"/>
  <c r="F431" i="10"/>
  <c r="F427" i="10"/>
  <c r="J375" i="10"/>
  <c r="I375" i="10"/>
  <c r="H375" i="10"/>
  <c r="G375" i="10"/>
  <c r="F375" i="10"/>
  <c r="F487" i="9"/>
  <c r="J443" i="9"/>
  <c r="I443" i="9"/>
  <c r="H443" i="9"/>
  <c r="G443" i="9"/>
  <c r="F443" i="9"/>
  <c r="G411" i="9"/>
  <c r="F411" i="9"/>
  <c r="F407" i="9"/>
  <c r="J375" i="9"/>
  <c r="I375" i="9"/>
  <c r="H375" i="9"/>
  <c r="G375" i="9"/>
  <c r="F375" i="9"/>
  <c r="G459" i="25"/>
  <c r="F459" i="25"/>
  <c r="F455" i="25"/>
  <c r="J423" i="25"/>
  <c r="I423" i="25"/>
  <c r="H423" i="25"/>
  <c r="G423" i="25"/>
  <c r="F423" i="25"/>
  <c r="F395" i="25"/>
  <c r="J375" i="25"/>
  <c r="I375" i="25"/>
  <c r="H375" i="25"/>
  <c r="G375" i="25"/>
  <c r="F375" i="25"/>
  <c r="G431" i="24"/>
  <c r="F431" i="24"/>
  <c r="G423" i="24"/>
  <c r="G427" i="24"/>
  <c r="F427" i="24"/>
  <c r="F423" i="24"/>
  <c r="G419" i="24"/>
  <c r="J403" i="24"/>
  <c r="I403" i="24"/>
  <c r="H403" i="24"/>
  <c r="G403" i="24"/>
  <c r="F403" i="24"/>
  <c r="J375" i="24"/>
  <c r="I375" i="24"/>
  <c r="H375" i="24"/>
  <c r="G375" i="24"/>
  <c r="F375" i="24"/>
  <c r="J403" i="8"/>
  <c r="I403" i="8"/>
  <c r="H403" i="8"/>
  <c r="G403" i="8"/>
  <c r="F403" i="8"/>
  <c r="G387" i="8"/>
  <c r="H387" i="8"/>
  <c r="F387" i="8"/>
  <c r="I383" i="8"/>
  <c r="J383" i="8"/>
  <c r="I375" i="8"/>
  <c r="H375" i="8"/>
  <c r="G375" i="8"/>
  <c r="F375" i="8"/>
  <c r="F415" i="7"/>
  <c r="I423" i="7"/>
  <c r="J423" i="7"/>
  <c r="I419" i="7"/>
  <c r="J419" i="7"/>
  <c r="F427" i="7"/>
  <c r="J403" i="7"/>
  <c r="I403" i="7"/>
  <c r="H403" i="7"/>
  <c r="G403" i="7"/>
  <c r="F403" i="7"/>
  <c r="J375" i="7"/>
  <c r="I375" i="7"/>
  <c r="H375" i="7"/>
  <c r="G375" i="7"/>
  <c r="F375" i="7"/>
  <c r="K55" i="16"/>
  <c r="J55" i="16"/>
  <c r="I55" i="16"/>
  <c r="H55" i="16"/>
  <c r="J387" i="6"/>
  <c r="I387" i="6"/>
  <c r="H387" i="6"/>
  <c r="G387" i="6"/>
  <c r="F387" i="6"/>
  <c r="J375" i="6" l="1"/>
  <c r="I375" i="6"/>
  <c r="H375" i="6"/>
  <c r="G375" i="6"/>
  <c r="F375" i="6"/>
  <c r="F228" i="6"/>
  <c r="E26" i="2" l="1"/>
  <c r="E22" i="2"/>
  <c r="E24" i="2"/>
  <c r="E23" i="2"/>
  <c r="E21" i="2"/>
  <c r="J403" i="6" l="1"/>
  <c r="I403" i="6"/>
  <c r="G403" i="6"/>
  <c r="F403" i="6"/>
  <c r="G399" i="6"/>
  <c r="F399" i="6"/>
  <c r="G391" i="6"/>
  <c r="H391" i="6"/>
  <c r="I391" i="6"/>
  <c r="J391" i="6"/>
  <c r="F391" i="6"/>
  <c r="G379" i="6"/>
  <c r="H379" i="6"/>
  <c r="I379" i="6"/>
  <c r="J379" i="6"/>
  <c r="F379" i="6"/>
  <c r="J467" i="5"/>
  <c r="I467" i="5"/>
  <c r="H467" i="5"/>
  <c r="J463" i="5"/>
  <c r="I463" i="5"/>
  <c r="H463" i="5"/>
  <c r="H459" i="5"/>
  <c r="J459" i="5"/>
  <c r="I459" i="5"/>
  <c r="H427" i="5"/>
  <c r="I427" i="5"/>
  <c r="J427" i="5"/>
  <c r="G427" i="5"/>
  <c r="G423" i="5"/>
  <c r="H423" i="5"/>
  <c r="I423" i="5"/>
  <c r="J423" i="5"/>
  <c r="F423" i="5"/>
  <c r="G455" i="5"/>
  <c r="H455" i="5"/>
  <c r="I455" i="5"/>
  <c r="J455" i="5"/>
  <c r="F455" i="5"/>
  <c r="G431" i="5"/>
  <c r="H431" i="5"/>
  <c r="I431" i="5"/>
  <c r="J431" i="5"/>
  <c r="F431" i="5"/>
  <c r="G435" i="5"/>
  <c r="H435" i="5"/>
  <c r="I435" i="5"/>
  <c r="J435" i="5"/>
  <c r="F435" i="5"/>
  <c r="G439" i="5"/>
  <c r="H439" i="5"/>
  <c r="I439" i="5"/>
  <c r="J439" i="5"/>
  <c r="F439" i="5"/>
  <c r="G443" i="5"/>
  <c r="H443" i="5"/>
  <c r="I443" i="5"/>
  <c r="J443" i="5"/>
  <c r="F443" i="5"/>
  <c r="G447" i="5"/>
  <c r="H447" i="5"/>
  <c r="I447" i="5"/>
  <c r="J447" i="5"/>
  <c r="F447" i="5"/>
  <c r="G451" i="5"/>
  <c r="H451" i="5"/>
  <c r="I451" i="5"/>
  <c r="J451" i="5"/>
  <c r="F451" i="5"/>
  <c r="J383" i="5"/>
  <c r="I379" i="5"/>
  <c r="I383" i="5"/>
  <c r="I403" i="5"/>
  <c r="J403" i="5"/>
  <c r="H403" i="5"/>
  <c r="I407" i="5"/>
  <c r="J407" i="5"/>
  <c r="H407" i="5"/>
  <c r="I411" i="5"/>
  <c r="J411" i="5"/>
  <c r="H411" i="5"/>
  <c r="G379" i="5"/>
  <c r="H379" i="5"/>
  <c r="J379" i="5"/>
  <c r="F379" i="5"/>
  <c r="G387" i="5"/>
  <c r="H387" i="5"/>
  <c r="I387" i="5"/>
  <c r="J387" i="5"/>
  <c r="F387" i="5"/>
  <c r="G391" i="5"/>
  <c r="H391" i="5"/>
  <c r="I391" i="5"/>
  <c r="J391" i="5"/>
  <c r="F391" i="5"/>
  <c r="G395" i="5"/>
  <c r="H395" i="5"/>
  <c r="I395" i="5"/>
  <c r="J395" i="5"/>
  <c r="F395" i="5"/>
  <c r="G399" i="5"/>
  <c r="H399" i="5"/>
  <c r="I399" i="5"/>
  <c r="J399" i="5"/>
  <c r="F399" i="5"/>
  <c r="I459" i="13"/>
  <c r="J459" i="13"/>
  <c r="H459" i="13"/>
  <c r="G451" i="13"/>
  <c r="H451" i="13"/>
  <c r="I451" i="13"/>
  <c r="J451" i="13"/>
  <c r="F451" i="13"/>
  <c r="G443" i="13"/>
  <c r="H443" i="13"/>
  <c r="I443" i="13"/>
  <c r="J443" i="13"/>
  <c r="F443" i="13"/>
  <c r="G439" i="13"/>
  <c r="H439" i="13"/>
  <c r="I439" i="13"/>
  <c r="J439" i="13"/>
  <c r="F439" i="13"/>
  <c r="G435" i="13"/>
  <c r="H435" i="13"/>
  <c r="I435" i="13"/>
  <c r="J435" i="13"/>
  <c r="F435" i="13"/>
  <c r="G471" i="13"/>
  <c r="H471" i="13"/>
  <c r="I471" i="13"/>
  <c r="J471" i="13"/>
  <c r="F471" i="13"/>
  <c r="G467" i="13"/>
  <c r="H467" i="13"/>
  <c r="I467" i="13"/>
  <c r="J467" i="13"/>
  <c r="F467" i="13"/>
  <c r="G447" i="13"/>
  <c r="H447" i="13"/>
  <c r="I447" i="13"/>
  <c r="J447" i="13"/>
  <c r="F447" i="13"/>
  <c r="G455" i="13"/>
  <c r="H455" i="13"/>
  <c r="I455" i="13"/>
  <c r="J455" i="13"/>
  <c r="G463" i="13"/>
  <c r="F463" i="13"/>
  <c r="F455" i="13"/>
  <c r="I423" i="13"/>
  <c r="J423" i="13"/>
  <c r="H423" i="13"/>
  <c r="I399" i="13"/>
  <c r="J399" i="13"/>
  <c r="H399" i="13"/>
  <c r="G399" i="13"/>
  <c r="G379" i="13"/>
  <c r="H379" i="13"/>
  <c r="I379" i="13"/>
  <c r="J379" i="13"/>
  <c r="F379" i="13"/>
  <c r="G383" i="13"/>
  <c r="H383" i="13"/>
  <c r="I383" i="13"/>
  <c r="J383" i="13"/>
  <c r="F383" i="13"/>
  <c r="G387" i="13"/>
  <c r="H387" i="13"/>
  <c r="I387" i="13"/>
  <c r="J387" i="13"/>
  <c r="F387" i="13"/>
  <c r="G391" i="13"/>
  <c r="H391" i="13"/>
  <c r="I391" i="13"/>
  <c r="J391" i="13"/>
  <c r="F391" i="13"/>
  <c r="G395" i="13"/>
  <c r="H395" i="13"/>
  <c r="I395" i="13"/>
  <c r="J395" i="13"/>
  <c r="F395" i="13"/>
  <c r="G403" i="13"/>
  <c r="H403" i="13"/>
  <c r="I403" i="13"/>
  <c r="J403" i="13"/>
  <c r="F403" i="13"/>
  <c r="G407" i="13"/>
  <c r="H407" i="13"/>
  <c r="I407" i="13"/>
  <c r="J407" i="13"/>
  <c r="F407" i="13"/>
  <c r="G411" i="13"/>
  <c r="H411" i="13"/>
  <c r="I411" i="13"/>
  <c r="J411" i="13"/>
  <c r="F411" i="13"/>
  <c r="G415" i="13"/>
  <c r="H415" i="13"/>
  <c r="I415" i="13"/>
  <c r="J415" i="13"/>
  <c r="J467" i="12"/>
  <c r="I479" i="12"/>
  <c r="J479" i="12"/>
  <c r="H479" i="12"/>
  <c r="J495" i="12"/>
  <c r="H471" i="12"/>
  <c r="I471" i="12"/>
  <c r="J471" i="12"/>
  <c r="G471" i="12"/>
  <c r="G439" i="12"/>
  <c r="H439" i="12"/>
  <c r="I439" i="12"/>
  <c r="J439" i="12"/>
  <c r="F439" i="12"/>
  <c r="G443" i="12"/>
  <c r="H443" i="12"/>
  <c r="I443" i="12"/>
  <c r="J443" i="12"/>
  <c r="F443" i="12"/>
  <c r="G447" i="12"/>
  <c r="H447" i="12"/>
  <c r="I447" i="12"/>
  <c r="J447" i="12"/>
  <c r="F447" i="12"/>
  <c r="F451" i="12"/>
  <c r="G455" i="12"/>
  <c r="H455" i="12"/>
  <c r="I455" i="12"/>
  <c r="J455" i="12"/>
  <c r="F459" i="12"/>
  <c r="F463" i="12"/>
  <c r="F455" i="12"/>
  <c r="G459" i="12"/>
  <c r="H459" i="12"/>
  <c r="I459" i="12"/>
  <c r="J459" i="12"/>
  <c r="G463" i="12"/>
  <c r="H463" i="12"/>
  <c r="I463" i="12"/>
  <c r="J463" i="12"/>
  <c r="H483" i="12"/>
  <c r="I483" i="12"/>
  <c r="J483" i="12"/>
  <c r="J427" i="12"/>
  <c r="I423" i="12"/>
  <c r="J423" i="12"/>
  <c r="H423" i="12"/>
  <c r="G379" i="12"/>
  <c r="H379" i="12"/>
  <c r="I379" i="12"/>
  <c r="J379" i="12"/>
  <c r="G383" i="12"/>
  <c r="H383" i="12"/>
  <c r="I383" i="12"/>
  <c r="J383" i="12"/>
  <c r="G387" i="12"/>
  <c r="H387" i="12"/>
  <c r="I387" i="12"/>
  <c r="J387" i="12"/>
  <c r="G391" i="12"/>
  <c r="H391" i="12"/>
  <c r="I391" i="12"/>
  <c r="J391" i="12"/>
  <c r="G395" i="12"/>
  <c r="H395" i="12"/>
  <c r="I395" i="12"/>
  <c r="J395" i="12"/>
  <c r="G399" i="12"/>
  <c r="H399" i="12"/>
  <c r="I399" i="12"/>
  <c r="J399" i="12"/>
  <c r="G403" i="12"/>
  <c r="H403" i="12"/>
  <c r="I403" i="12"/>
  <c r="J403" i="12"/>
  <c r="G407" i="12"/>
  <c r="H407" i="12"/>
  <c r="F411" i="12"/>
  <c r="H415" i="12"/>
  <c r="I415" i="12"/>
  <c r="J415" i="12"/>
  <c r="G411" i="12"/>
  <c r="H411" i="12"/>
  <c r="G415" i="12"/>
  <c r="F407" i="12"/>
  <c r="F403" i="12"/>
  <c r="F399" i="12"/>
  <c r="F395" i="12"/>
  <c r="F391" i="12"/>
  <c r="F387" i="12"/>
  <c r="F383" i="12"/>
  <c r="F379" i="12"/>
  <c r="G475" i="11"/>
  <c r="J475" i="11"/>
  <c r="I475" i="11"/>
  <c r="H475" i="11"/>
  <c r="G471" i="11"/>
  <c r="H471" i="11"/>
  <c r="G467" i="11"/>
  <c r="H467" i="11"/>
  <c r="G463" i="11"/>
  <c r="H463" i="11"/>
  <c r="G459" i="11"/>
  <c r="H459" i="11"/>
  <c r="I459" i="11"/>
  <c r="J459" i="11"/>
  <c r="G455" i="11"/>
  <c r="H455" i="11"/>
  <c r="I455" i="11"/>
  <c r="J455" i="11"/>
  <c r="G451" i="11"/>
  <c r="H451" i="11"/>
  <c r="I451" i="11"/>
  <c r="J451" i="11"/>
  <c r="G447" i="11"/>
  <c r="H447" i="11"/>
  <c r="I447" i="11"/>
  <c r="J447" i="11"/>
  <c r="G443" i="11"/>
  <c r="H443" i="11"/>
  <c r="I443" i="11"/>
  <c r="J443" i="11"/>
  <c r="F471" i="11"/>
  <c r="F467" i="11"/>
  <c r="F463" i="11"/>
  <c r="F459" i="11"/>
  <c r="F455" i="11"/>
  <c r="F451" i="11"/>
  <c r="F447" i="11"/>
  <c r="F443" i="11"/>
  <c r="G439" i="11"/>
  <c r="H439" i="11"/>
  <c r="I439" i="11"/>
  <c r="J439" i="11"/>
  <c r="F439" i="11"/>
  <c r="I427" i="11"/>
  <c r="I423" i="11"/>
  <c r="J423" i="11"/>
  <c r="H423" i="11"/>
  <c r="G419" i="11"/>
  <c r="G415" i="11"/>
  <c r="H415" i="11"/>
  <c r="I415" i="11"/>
  <c r="J415" i="11"/>
  <c r="I403" i="11"/>
  <c r="J403" i="11"/>
  <c r="G399" i="11"/>
  <c r="H399" i="11"/>
  <c r="I399" i="11"/>
  <c r="J399" i="11"/>
  <c r="G395" i="11"/>
  <c r="H395" i="11"/>
  <c r="I395" i="11"/>
  <c r="J395" i="11"/>
  <c r="G391" i="11"/>
  <c r="H391" i="11"/>
  <c r="I391" i="11"/>
  <c r="J391" i="11"/>
  <c r="F391" i="11"/>
  <c r="F395" i="11"/>
  <c r="F399" i="11"/>
  <c r="F415" i="11"/>
  <c r="G387" i="11"/>
  <c r="H387" i="11"/>
  <c r="I387" i="11"/>
  <c r="J387" i="11"/>
  <c r="F387" i="11"/>
  <c r="G383" i="11"/>
  <c r="H383" i="11"/>
  <c r="F383" i="11"/>
  <c r="G379" i="11"/>
  <c r="H379" i="11"/>
  <c r="I379" i="11"/>
  <c r="J379" i="11"/>
  <c r="F379" i="11"/>
  <c r="J527" i="10"/>
  <c r="J523" i="10"/>
  <c r="J463" i="10"/>
  <c r="I519" i="10"/>
  <c r="J519" i="10"/>
  <c r="I463" i="10"/>
  <c r="G471" i="10"/>
  <c r="H471" i="10"/>
  <c r="I471" i="10"/>
  <c r="J471" i="10"/>
  <c r="F471" i="10"/>
  <c r="G511" i="10"/>
  <c r="J511" i="10"/>
  <c r="G507" i="10"/>
  <c r="H507" i="10"/>
  <c r="I507" i="10"/>
  <c r="J507" i="10"/>
  <c r="G503" i="10"/>
  <c r="H503" i="10"/>
  <c r="I503" i="10"/>
  <c r="J503" i="10"/>
  <c r="H499" i="10"/>
  <c r="I499" i="10"/>
  <c r="G495" i="10"/>
  <c r="H495" i="10"/>
  <c r="I495" i="10"/>
  <c r="J495" i="10"/>
  <c r="G491" i="10"/>
  <c r="H491" i="10"/>
  <c r="I491" i="10"/>
  <c r="J491" i="10"/>
  <c r="G487" i="10"/>
  <c r="J487" i="10"/>
  <c r="I483" i="10"/>
  <c r="J483" i="10"/>
  <c r="I479" i="10"/>
  <c r="J479" i="10"/>
  <c r="I475" i="10"/>
  <c r="J475" i="10"/>
  <c r="G467" i="10"/>
  <c r="J467" i="10"/>
  <c r="G459" i="10"/>
  <c r="H459" i="10"/>
  <c r="I459" i="10"/>
  <c r="J459" i="10"/>
  <c r="G455" i="10"/>
  <c r="H455" i="10"/>
  <c r="I455" i="10"/>
  <c r="J455" i="10"/>
  <c r="G451" i="10"/>
  <c r="H451" i="10"/>
  <c r="I451" i="10"/>
  <c r="J451" i="10"/>
  <c r="F451" i="10"/>
  <c r="F455" i="10"/>
  <c r="F459" i="10"/>
  <c r="F467" i="10"/>
  <c r="F487" i="10"/>
  <c r="F491" i="10"/>
  <c r="F495" i="10"/>
  <c r="F499" i="10"/>
  <c r="F503" i="10"/>
  <c r="F511" i="10"/>
  <c r="G515" i="10"/>
  <c r="H515" i="10"/>
  <c r="I515" i="10"/>
  <c r="J515" i="10"/>
  <c r="F515" i="10"/>
  <c r="J439" i="10"/>
  <c r="J407" i="10"/>
  <c r="I407" i="10"/>
  <c r="J403" i="10"/>
  <c r="I403" i="10"/>
  <c r="J411" i="10"/>
  <c r="I411" i="10"/>
  <c r="G395" i="10"/>
  <c r="H395" i="10"/>
  <c r="I395" i="10"/>
  <c r="J395" i="10"/>
  <c r="F395" i="10"/>
  <c r="H427" i="10"/>
  <c r="I427" i="10"/>
  <c r="H431" i="10"/>
  <c r="I431" i="10"/>
  <c r="J431" i="10"/>
  <c r="G423" i="10"/>
  <c r="H423" i="10"/>
  <c r="I423" i="10"/>
  <c r="J423" i="10"/>
  <c r="G419" i="10"/>
  <c r="H419" i="10"/>
  <c r="I419" i="10"/>
  <c r="J419" i="10"/>
  <c r="G415" i="10"/>
  <c r="H415" i="10"/>
  <c r="I415" i="10"/>
  <c r="J415" i="10"/>
  <c r="G399" i="10"/>
  <c r="H399" i="10"/>
  <c r="I399" i="10"/>
  <c r="J399" i="10"/>
  <c r="G391" i="10"/>
  <c r="H391" i="10"/>
  <c r="I391" i="10"/>
  <c r="J391" i="10"/>
  <c r="G387" i="10"/>
  <c r="H387" i="10"/>
  <c r="I387" i="10"/>
  <c r="J387" i="10"/>
  <c r="G383" i="10"/>
  <c r="H383" i="10"/>
  <c r="I383" i="10"/>
  <c r="J383" i="10"/>
  <c r="G379" i="10"/>
  <c r="H379" i="10"/>
  <c r="I379" i="10"/>
  <c r="J379" i="10"/>
  <c r="F379" i="10"/>
  <c r="F383" i="10"/>
  <c r="F387" i="10"/>
  <c r="F391" i="10"/>
  <c r="F399" i="10"/>
  <c r="F415" i="10"/>
  <c r="F419" i="10"/>
  <c r="F423" i="10"/>
  <c r="J503" i="9"/>
  <c r="I503" i="9"/>
  <c r="I479" i="9"/>
  <c r="J479" i="9"/>
  <c r="I463" i="9"/>
  <c r="J463" i="9"/>
  <c r="I499" i="9"/>
  <c r="J499" i="9"/>
  <c r="H499" i="9"/>
  <c r="H479" i="9"/>
  <c r="H463" i="9"/>
  <c r="G479" i="9"/>
  <c r="G459" i="9"/>
  <c r="H459" i="9"/>
  <c r="I459" i="9"/>
  <c r="J459" i="9"/>
  <c r="G467" i="9"/>
  <c r="H467" i="9"/>
  <c r="I467" i="9"/>
  <c r="J467" i="9"/>
  <c r="G471" i="9"/>
  <c r="H471" i="9"/>
  <c r="I471" i="9"/>
  <c r="J471" i="9"/>
  <c r="G475" i="9"/>
  <c r="H475" i="9"/>
  <c r="I475" i="9"/>
  <c r="J475" i="9"/>
  <c r="G483" i="9"/>
  <c r="H483" i="9"/>
  <c r="I483" i="9"/>
  <c r="J483" i="9"/>
  <c r="G487" i="9"/>
  <c r="H487" i="9"/>
  <c r="I487" i="9"/>
  <c r="J487" i="9"/>
  <c r="G491" i="9"/>
  <c r="H491" i="9"/>
  <c r="I491" i="9"/>
  <c r="J491" i="9"/>
  <c r="G495" i="9"/>
  <c r="H495" i="9"/>
  <c r="I495" i="9"/>
  <c r="J495" i="9"/>
  <c r="F495" i="9"/>
  <c r="F491" i="9"/>
  <c r="F483" i="9"/>
  <c r="F479" i="9"/>
  <c r="F475" i="9"/>
  <c r="F471" i="9"/>
  <c r="F467" i="9"/>
  <c r="F459" i="9"/>
  <c r="G455" i="9"/>
  <c r="H455" i="9"/>
  <c r="I455" i="9"/>
  <c r="J455" i="9"/>
  <c r="F455" i="9"/>
  <c r="G451" i="9"/>
  <c r="H451" i="9"/>
  <c r="I451" i="9"/>
  <c r="J451" i="9"/>
  <c r="F451" i="9"/>
  <c r="G447" i="9"/>
  <c r="H447" i="9"/>
  <c r="I447" i="9"/>
  <c r="J447" i="9"/>
  <c r="F447" i="9"/>
  <c r="I435" i="9"/>
  <c r="J435" i="9"/>
  <c r="I431" i="9"/>
  <c r="J431" i="9"/>
  <c r="H431" i="9"/>
  <c r="H427" i="9"/>
  <c r="I427" i="9"/>
  <c r="J427" i="9"/>
  <c r="G427" i="9"/>
  <c r="G399" i="9"/>
  <c r="H399" i="9"/>
  <c r="I399" i="9"/>
  <c r="J399" i="9"/>
  <c r="G379" i="9"/>
  <c r="H379" i="9"/>
  <c r="I379" i="9"/>
  <c r="J379" i="9"/>
  <c r="F379" i="9"/>
  <c r="G383" i="9"/>
  <c r="H383" i="9"/>
  <c r="I383" i="9"/>
  <c r="J383" i="9"/>
  <c r="F383" i="9"/>
  <c r="G387" i="9"/>
  <c r="H387" i="9"/>
  <c r="I387" i="9"/>
  <c r="J387" i="9"/>
  <c r="F387" i="9"/>
  <c r="G391" i="9"/>
  <c r="H391" i="9"/>
  <c r="I391" i="9"/>
  <c r="J391" i="9"/>
  <c r="F391" i="9"/>
  <c r="G395" i="9"/>
  <c r="H395" i="9"/>
  <c r="I395" i="9"/>
  <c r="J395" i="9"/>
  <c r="F395" i="9"/>
  <c r="F399" i="9"/>
  <c r="G403" i="9"/>
  <c r="H403" i="9"/>
  <c r="I403" i="9"/>
  <c r="J403" i="9"/>
  <c r="F403" i="9"/>
  <c r="G407" i="9"/>
  <c r="H407" i="9"/>
  <c r="I407" i="9"/>
  <c r="J407" i="9"/>
  <c r="H411" i="9"/>
  <c r="I411" i="9"/>
  <c r="J411" i="9"/>
  <c r="G415" i="9"/>
  <c r="H415" i="9"/>
  <c r="I415" i="9"/>
  <c r="J415" i="9"/>
  <c r="F415" i="9"/>
  <c r="G419" i="9"/>
  <c r="H419" i="9"/>
  <c r="I419" i="9"/>
  <c r="J419" i="9"/>
  <c r="F419" i="9"/>
  <c r="G423" i="9"/>
  <c r="H423" i="9"/>
  <c r="I423" i="9"/>
  <c r="J423" i="9"/>
  <c r="F423" i="9"/>
  <c r="G427" i="25"/>
  <c r="H427" i="25"/>
  <c r="I427" i="25"/>
  <c r="J427" i="25"/>
  <c r="F427" i="25"/>
  <c r="G431" i="25"/>
  <c r="H431" i="25"/>
  <c r="I431" i="25"/>
  <c r="J431" i="25"/>
  <c r="F431" i="25"/>
  <c r="G435" i="25"/>
  <c r="H435" i="25"/>
  <c r="I435" i="25"/>
  <c r="J435" i="25"/>
  <c r="F435" i="25"/>
  <c r="H439" i="25"/>
  <c r="I439" i="25"/>
  <c r="J439" i="25"/>
  <c r="G439" i="25"/>
  <c r="F439" i="25"/>
  <c r="G443" i="25"/>
  <c r="H443" i="25"/>
  <c r="I443" i="25"/>
  <c r="J443" i="25"/>
  <c r="F443" i="25"/>
  <c r="G447" i="25"/>
  <c r="H447" i="25"/>
  <c r="I447" i="25"/>
  <c r="J447" i="25"/>
  <c r="F447" i="25"/>
  <c r="G451" i="25"/>
  <c r="H451" i="25"/>
  <c r="I451" i="25"/>
  <c r="J451" i="25"/>
  <c r="F451" i="25"/>
  <c r="G455" i="25"/>
  <c r="H455" i="25"/>
  <c r="I455" i="25"/>
  <c r="J455" i="25"/>
  <c r="I471" i="25"/>
  <c r="J471" i="25"/>
  <c r="I467" i="25"/>
  <c r="J467" i="25"/>
  <c r="G463" i="25"/>
  <c r="H463" i="25"/>
  <c r="I463" i="25"/>
  <c r="J463" i="25"/>
  <c r="F463" i="25"/>
  <c r="G467" i="25"/>
  <c r="H467" i="25"/>
  <c r="F467" i="25"/>
  <c r="H471" i="25"/>
  <c r="H415" i="25"/>
  <c r="J415" i="25"/>
  <c r="I415" i="25"/>
  <c r="H411" i="25"/>
  <c r="J411" i="25"/>
  <c r="I411" i="25"/>
  <c r="G379" i="25"/>
  <c r="H379" i="25"/>
  <c r="I379" i="25"/>
  <c r="J379" i="25"/>
  <c r="G383" i="25"/>
  <c r="H383" i="25"/>
  <c r="I383" i="25"/>
  <c r="J383" i="25"/>
  <c r="G387" i="25"/>
  <c r="H387" i="25"/>
  <c r="I387" i="25"/>
  <c r="J387" i="25"/>
  <c r="G391" i="25"/>
  <c r="H391" i="25"/>
  <c r="I391" i="25"/>
  <c r="J391" i="25"/>
  <c r="G395" i="25"/>
  <c r="H395" i="25"/>
  <c r="I395" i="25"/>
  <c r="J395" i="25"/>
  <c r="G399" i="25"/>
  <c r="H399" i="25"/>
  <c r="I399" i="25"/>
  <c r="J399" i="25"/>
  <c r="G403" i="25"/>
  <c r="H403" i="25"/>
  <c r="I403" i="25"/>
  <c r="J403" i="25"/>
  <c r="H407" i="25"/>
  <c r="I407" i="25"/>
  <c r="J407" i="25"/>
  <c r="G407" i="25"/>
  <c r="F403" i="25"/>
  <c r="F399" i="25"/>
  <c r="F391" i="25"/>
  <c r="F387" i="25"/>
  <c r="F383" i="25"/>
  <c r="F379" i="25"/>
  <c r="H431" i="24"/>
  <c r="I431" i="24"/>
  <c r="J431" i="24"/>
  <c r="H427" i="24"/>
  <c r="I427" i="24"/>
  <c r="J427" i="24"/>
  <c r="H423" i="24"/>
  <c r="I423" i="24"/>
  <c r="J423" i="24"/>
  <c r="H419" i="24"/>
  <c r="I419" i="24"/>
  <c r="J419" i="24"/>
  <c r="F419" i="24"/>
  <c r="G415" i="24"/>
  <c r="H415" i="24"/>
  <c r="I415" i="24"/>
  <c r="J415" i="24"/>
  <c r="F415" i="24"/>
  <c r="G411" i="24"/>
  <c r="F411" i="24"/>
  <c r="G407" i="24"/>
  <c r="H407" i="24"/>
  <c r="I407" i="24"/>
  <c r="J407" i="24"/>
  <c r="F407" i="24"/>
  <c r="J379" i="24"/>
  <c r="J387" i="24"/>
  <c r="I391" i="24"/>
  <c r="J383" i="24"/>
  <c r="J391" i="24"/>
  <c r="J395" i="24"/>
  <c r="I379" i="24"/>
  <c r="I383" i="24"/>
  <c r="I387" i="24"/>
  <c r="H379" i="24"/>
  <c r="H383" i="24"/>
  <c r="H395" i="24"/>
  <c r="H391" i="24"/>
  <c r="H387" i="24"/>
  <c r="G387" i="24"/>
  <c r="F387" i="24"/>
  <c r="G383" i="24"/>
  <c r="F383" i="24"/>
  <c r="G379" i="24"/>
  <c r="F379" i="24"/>
  <c r="J407" i="8"/>
  <c r="J411" i="8"/>
  <c r="J415" i="8"/>
  <c r="J419" i="8"/>
  <c r="J423" i="8"/>
  <c r="J427" i="8"/>
  <c r="I407" i="8"/>
  <c r="I411" i="8"/>
  <c r="I415" i="8"/>
  <c r="I419" i="8"/>
  <c r="I423" i="8"/>
  <c r="I427" i="8"/>
  <c r="H411" i="8"/>
  <c r="H407" i="8"/>
  <c r="H415" i="8"/>
  <c r="H419" i="8"/>
  <c r="H423" i="8"/>
  <c r="H427" i="8"/>
  <c r="G415" i="8"/>
  <c r="G419" i="8"/>
  <c r="G427" i="8"/>
  <c r="G407" i="8"/>
  <c r="G423" i="8"/>
  <c r="F427" i="8"/>
  <c r="F423" i="8"/>
  <c r="F419" i="8"/>
  <c r="F415" i="8"/>
  <c r="F411" i="8"/>
  <c r="F407" i="8"/>
  <c r="J387" i="8"/>
  <c r="I387" i="8"/>
  <c r="I379" i="8"/>
  <c r="H383" i="8"/>
  <c r="H379" i="8"/>
  <c r="G383" i="8"/>
  <c r="G379" i="8"/>
  <c r="F383" i="8"/>
  <c r="F379" i="8"/>
  <c r="G365" i="8"/>
  <c r="J365" i="8"/>
  <c r="G366" i="8"/>
  <c r="G368" i="8" s="1"/>
  <c r="J366" i="8"/>
  <c r="J368" i="8" s="1"/>
  <c r="G367" i="8"/>
  <c r="G369" i="8" s="1"/>
  <c r="J367" i="8"/>
  <c r="J369" i="8" s="1"/>
  <c r="F368" i="8"/>
  <c r="H368" i="8"/>
  <c r="I368" i="8"/>
  <c r="F369" i="8"/>
  <c r="H369" i="8"/>
  <c r="I369" i="8"/>
  <c r="J395" i="7"/>
  <c r="I395" i="7"/>
  <c r="I379" i="7"/>
  <c r="H383" i="7"/>
  <c r="I383" i="7"/>
  <c r="J383" i="7"/>
  <c r="G383" i="7"/>
  <c r="H391" i="7"/>
  <c r="G379" i="7"/>
  <c r="H379" i="7"/>
  <c r="J379" i="7"/>
  <c r="G387" i="7"/>
  <c r="H387" i="7"/>
  <c r="G391" i="7"/>
  <c r="F387" i="7"/>
  <c r="F379" i="7"/>
  <c r="J431" i="7"/>
  <c r="J435" i="7"/>
  <c r="J415" i="7"/>
  <c r="J411" i="7"/>
  <c r="I415" i="7"/>
  <c r="I411" i="7"/>
  <c r="I431" i="7"/>
  <c r="I435" i="7"/>
  <c r="H419" i="7"/>
  <c r="H415" i="7"/>
  <c r="H423" i="7"/>
  <c r="H411" i="7"/>
  <c r="G423" i="7"/>
  <c r="G419" i="7"/>
  <c r="G415" i="7"/>
  <c r="G411" i="7"/>
  <c r="F423" i="7"/>
  <c r="F419" i="7"/>
  <c r="F411" i="7"/>
  <c r="F407" i="7"/>
  <c r="H455" i="2"/>
  <c r="J451" i="2"/>
  <c r="I451" i="2"/>
  <c r="H451" i="2"/>
  <c r="J447" i="2"/>
  <c r="I447" i="2"/>
  <c r="H447" i="2"/>
  <c r="G447" i="2"/>
  <c r="F447" i="2"/>
  <c r="J443" i="2"/>
  <c r="I443" i="2"/>
  <c r="H443" i="2"/>
  <c r="J439" i="2"/>
  <c r="I439" i="2"/>
  <c r="H439" i="2"/>
  <c r="G439" i="2"/>
  <c r="F439" i="2"/>
  <c r="J435" i="2"/>
  <c r="I435" i="2"/>
  <c r="H435" i="2"/>
  <c r="G435" i="2"/>
  <c r="F435" i="2"/>
  <c r="J431" i="2"/>
  <c r="I431" i="2"/>
  <c r="H431" i="2"/>
  <c r="G431" i="2"/>
  <c r="F427" i="2"/>
  <c r="G423" i="2"/>
  <c r="F423" i="2"/>
  <c r="J419" i="2"/>
  <c r="I419" i="2"/>
  <c r="H419" i="2"/>
  <c r="G419" i="2"/>
  <c r="F419" i="2"/>
  <c r="J415" i="2"/>
  <c r="I415" i="2"/>
  <c r="H415" i="2"/>
  <c r="G415" i="2"/>
  <c r="F415" i="2"/>
  <c r="J370" i="8" l="1"/>
  <c r="I370" i="8"/>
  <c r="H370" i="8"/>
  <c r="F370" i="8"/>
  <c r="G370" i="8"/>
  <c r="J463" i="14"/>
  <c r="I463" i="14"/>
  <c r="H463" i="14"/>
  <c r="G463" i="14"/>
  <c r="H447" i="14"/>
  <c r="I447" i="14"/>
  <c r="H451" i="14"/>
  <c r="I451" i="14"/>
  <c r="J451" i="14"/>
  <c r="J459" i="14"/>
  <c r="I459" i="14"/>
  <c r="H459" i="14"/>
  <c r="G459" i="14"/>
  <c r="J455" i="14"/>
  <c r="I455" i="14"/>
  <c r="H455" i="14"/>
  <c r="G455" i="14"/>
  <c r="F455" i="14"/>
  <c r="G467" i="14"/>
  <c r="F467" i="14"/>
  <c r="G451" i="14"/>
  <c r="J447" i="14"/>
  <c r="G447" i="14"/>
  <c r="J443" i="14"/>
  <c r="I443" i="14"/>
  <c r="H443" i="14"/>
  <c r="G443" i="14"/>
  <c r="F443" i="14"/>
  <c r="J439" i="14"/>
  <c r="I439" i="14"/>
  <c r="H439" i="14"/>
  <c r="G439" i="14"/>
  <c r="F439" i="14"/>
  <c r="J435" i="14"/>
  <c r="I435" i="14"/>
  <c r="H435" i="14"/>
  <c r="G435" i="14"/>
  <c r="F435" i="14"/>
  <c r="J431" i="14"/>
  <c r="I431" i="14"/>
  <c r="H431" i="14"/>
  <c r="G431" i="14"/>
  <c r="F431" i="14"/>
  <c r="J427" i="14"/>
  <c r="I427" i="14"/>
  <c r="H427" i="14"/>
  <c r="G427" i="14"/>
  <c r="F427" i="14"/>
  <c r="J423" i="14"/>
  <c r="I423" i="14"/>
  <c r="H423" i="14"/>
  <c r="G423" i="14"/>
  <c r="F423" i="14"/>
  <c r="J411" i="14"/>
  <c r="I411" i="14"/>
  <c r="H411" i="14"/>
  <c r="G411" i="14"/>
  <c r="F411" i="14"/>
  <c r="G407" i="14"/>
  <c r="F407" i="14"/>
  <c r="J403" i="14"/>
  <c r="I403" i="14"/>
  <c r="H403" i="14"/>
  <c r="G403" i="14"/>
  <c r="F403" i="14"/>
  <c r="J399" i="14"/>
  <c r="I399" i="14"/>
  <c r="H399" i="14"/>
  <c r="G399" i="14"/>
  <c r="J395" i="14"/>
  <c r="I395" i="14"/>
  <c r="H395" i="14"/>
  <c r="G395" i="14"/>
  <c r="F395" i="14"/>
  <c r="J391" i="14"/>
  <c r="I391" i="14"/>
  <c r="H391" i="14"/>
  <c r="G391" i="14"/>
  <c r="F391" i="14"/>
  <c r="J387" i="14"/>
  <c r="I387" i="14"/>
  <c r="H387" i="14"/>
  <c r="G387" i="14"/>
  <c r="F387" i="14"/>
  <c r="J383" i="14"/>
  <c r="I383" i="14"/>
  <c r="H383" i="14"/>
  <c r="G383" i="14"/>
  <c r="F383" i="14"/>
  <c r="J379" i="14"/>
  <c r="I379" i="14"/>
  <c r="H379" i="14"/>
  <c r="G379" i="14"/>
  <c r="F379" i="14"/>
  <c r="G379" i="15"/>
  <c r="H391" i="15"/>
  <c r="I391" i="15"/>
  <c r="J391" i="15"/>
  <c r="G391" i="15"/>
  <c r="F391" i="15"/>
  <c r="J387" i="15"/>
  <c r="I387" i="15"/>
  <c r="H387" i="15"/>
  <c r="G387" i="15"/>
  <c r="F387" i="15"/>
  <c r="J383" i="15"/>
  <c r="I383" i="15"/>
  <c r="H383" i="15"/>
  <c r="G383" i="15"/>
  <c r="F383" i="15"/>
  <c r="J379" i="15"/>
  <c r="I379" i="15"/>
  <c r="H379" i="15"/>
  <c r="F379" i="15"/>
  <c r="J427" i="15"/>
  <c r="I427" i="15"/>
  <c r="H427" i="15"/>
  <c r="G427" i="15"/>
  <c r="G423" i="15"/>
  <c r="F423" i="15"/>
  <c r="J419" i="15"/>
  <c r="I419" i="15"/>
  <c r="H419" i="15"/>
  <c r="G419" i="15"/>
  <c r="F419" i="15"/>
  <c r="J415" i="15"/>
  <c r="I415" i="15"/>
  <c r="H415" i="15"/>
  <c r="G415" i="15"/>
  <c r="F415" i="15"/>
  <c r="J411" i="15"/>
  <c r="I411" i="15"/>
  <c r="H411" i="15"/>
  <c r="G411" i="15"/>
  <c r="F411" i="15"/>
  <c r="J439" i="16"/>
  <c r="I439" i="16"/>
  <c r="H439" i="16"/>
  <c r="G439" i="16"/>
  <c r="F439" i="16"/>
  <c r="J455" i="16"/>
  <c r="I455" i="16"/>
  <c r="H455" i="16"/>
  <c r="G455" i="16"/>
  <c r="F455" i="16"/>
  <c r="J451" i="16"/>
  <c r="I451" i="16"/>
  <c r="H451" i="16"/>
  <c r="G451" i="16"/>
  <c r="F451" i="16"/>
  <c r="J447" i="16"/>
  <c r="I447" i="16"/>
  <c r="H447" i="16"/>
  <c r="G447" i="16"/>
  <c r="F447" i="16"/>
  <c r="J443" i="16"/>
  <c r="I443" i="16"/>
  <c r="H443" i="16"/>
  <c r="G443" i="16"/>
  <c r="F443" i="16"/>
  <c r="J435" i="16"/>
  <c r="I435" i="16"/>
  <c r="H435" i="16"/>
  <c r="G435" i="16"/>
  <c r="F435" i="16"/>
  <c r="J431" i="16"/>
  <c r="I431" i="16"/>
  <c r="H431" i="16"/>
  <c r="G431" i="16"/>
  <c r="F431" i="16"/>
  <c r="F403" i="16"/>
  <c r="F399" i="16"/>
  <c r="F395" i="16"/>
  <c r="F391" i="16"/>
  <c r="J403" i="16"/>
  <c r="I403" i="16"/>
  <c r="H403" i="16"/>
  <c r="G403" i="16"/>
  <c r="J399" i="16"/>
  <c r="I399" i="16"/>
  <c r="H399" i="16"/>
  <c r="G399" i="16"/>
  <c r="J395" i="16"/>
  <c r="I395" i="16"/>
  <c r="H395" i="16"/>
  <c r="G395" i="16"/>
  <c r="J391" i="16"/>
  <c r="I391" i="16"/>
  <c r="H391" i="16"/>
  <c r="G391" i="16"/>
  <c r="J387" i="16"/>
  <c r="I387" i="16"/>
  <c r="H387" i="16"/>
  <c r="G387" i="16"/>
  <c r="F387" i="16"/>
  <c r="J383" i="16"/>
  <c r="I383" i="16"/>
  <c r="H383" i="16"/>
  <c r="G383" i="16"/>
  <c r="F383" i="16"/>
  <c r="J379" i="16"/>
  <c r="I379" i="16"/>
  <c r="H379" i="16"/>
  <c r="G379" i="16"/>
  <c r="F379" i="16"/>
  <c r="G407" i="17"/>
  <c r="J391" i="17"/>
  <c r="I391" i="17"/>
  <c r="H391" i="17"/>
  <c r="G391" i="17"/>
  <c r="J399" i="17"/>
  <c r="I399" i="17"/>
  <c r="H399" i="17"/>
  <c r="J403" i="17"/>
  <c r="I403" i="17"/>
  <c r="J395" i="17"/>
  <c r="I395" i="17"/>
  <c r="H395" i="17"/>
  <c r="J387" i="17"/>
  <c r="I387" i="17"/>
  <c r="H387" i="17"/>
  <c r="G387" i="17"/>
  <c r="F387" i="17"/>
  <c r="J383" i="17"/>
  <c r="I383" i="17"/>
  <c r="H383" i="17"/>
  <c r="G383" i="17"/>
  <c r="F383" i="17"/>
  <c r="J379" i="17"/>
  <c r="I379" i="17"/>
  <c r="H379" i="17"/>
  <c r="G379" i="17"/>
  <c r="F379" i="17"/>
  <c r="J443" i="17"/>
  <c r="J447" i="17"/>
  <c r="I447" i="17"/>
  <c r="I443" i="17"/>
  <c r="H443" i="17"/>
  <c r="G443" i="17"/>
  <c r="F443" i="17"/>
  <c r="J439" i="17"/>
  <c r="I439" i="17"/>
  <c r="H439" i="17"/>
  <c r="G439" i="17"/>
  <c r="F439" i="17"/>
  <c r="J435" i="17"/>
  <c r="I435" i="17"/>
  <c r="H435" i="17"/>
  <c r="G435" i="17"/>
  <c r="J431" i="17"/>
  <c r="I431" i="17"/>
  <c r="H431" i="17"/>
  <c r="G431" i="17"/>
  <c r="F431" i="17"/>
  <c r="J427" i="17"/>
  <c r="I427" i="17"/>
  <c r="H427" i="17"/>
  <c r="G427" i="17"/>
  <c r="F427" i="17"/>
  <c r="J423" i="17"/>
  <c r="I423" i="17"/>
  <c r="J419" i="17"/>
  <c r="I419" i="17"/>
  <c r="H419" i="17"/>
  <c r="G419" i="17"/>
  <c r="F419" i="17"/>
  <c r="I419" i="18"/>
  <c r="H419" i="18"/>
  <c r="G419" i="18"/>
  <c r="J415" i="18"/>
  <c r="I415" i="18"/>
  <c r="H415" i="18"/>
  <c r="F423" i="18"/>
  <c r="J411" i="18"/>
  <c r="I411" i="18"/>
  <c r="H411" i="18"/>
  <c r="G411" i="18"/>
  <c r="F411" i="18"/>
  <c r="J407" i="18"/>
  <c r="I407" i="18"/>
  <c r="H407" i="18"/>
  <c r="G407" i="18"/>
  <c r="F407" i="18"/>
  <c r="F383" i="18"/>
  <c r="J395" i="18"/>
  <c r="I395" i="18"/>
  <c r="H395" i="18"/>
  <c r="G395" i="18"/>
  <c r="F395" i="18"/>
  <c r="J391" i="18"/>
  <c r="I391" i="18"/>
  <c r="H391" i="18"/>
  <c r="G391" i="18"/>
  <c r="J387" i="18"/>
  <c r="I387" i="18"/>
  <c r="H387" i="18"/>
  <c r="G387" i="18"/>
  <c r="F387" i="18"/>
  <c r="J383" i="18"/>
  <c r="I383" i="18"/>
  <c r="H383" i="18"/>
  <c r="G383" i="18"/>
  <c r="J379" i="18"/>
  <c r="I379" i="18"/>
  <c r="H379" i="18"/>
  <c r="G379" i="18"/>
  <c r="F379" i="18"/>
  <c r="J411" i="19"/>
  <c r="I411" i="19"/>
  <c r="H411" i="19"/>
  <c r="J411" i="20"/>
  <c r="I411" i="20"/>
  <c r="H411" i="20"/>
  <c r="J415" i="20"/>
  <c r="J407" i="20"/>
  <c r="I407" i="20"/>
  <c r="H407" i="20"/>
  <c r="G407" i="20"/>
  <c r="F407" i="20"/>
  <c r="J403" i="20"/>
  <c r="I403" i="20"/>
  <c r="H403" i="20"/>
  <c r="G403" i="20"/>
  <c r="F403" i="20"/>
  <c r="J399" i="20"/>
  <c r="I399" i="20"/>
  <c r="H399" i="20"/>
  <c r="I387" i="20"/>
  <c r="H387" i="20"/>
  <c r="G387" i="20"/>
  <c r="F387" i="20"/>
  <c r="J383" i="20"/>
  <c r="I383" i="20"/>
  <c r="H383" i="20"/>
  <c r="G383" i="20"/>
  <c r="F383" i="20"/>
  <c r="J379" i="20"/>
  <c r="I379" i="20"/>
  <c r="H379" i="20"/>
  <c r="G379" i="20"/>
  <c r="F379" i="20"/>
  <c r="J415" i="22"/>
  <c r="I415" i="22"/>
  <c r="H415" i="22"/>
  <c r="J419" i="22"/>
  <c r="I419" i="22"/>
  <c r="H435" i="21" l="1"/>
  <c r="J459" i="21"/>
  <c r="I459" i="21"/>
  <c r="H459" i="21"/>
  <c r="G459" i="21"/>
  <c r="F459" i="21"/>
  <c r="J455" i="21"/>
  <c r="I455" i="21"/>
  <c r="H455" i="21"/>
  <c r="G455" i="21"/>
  <c r="F455" i="21"/>
  <c r="J451" i="21"/>
  <c r="I451" i="21"/>
  <c r="H451" i="21"/>
  <c r="G451" i="21"/>
  <c r="F451" i="21"/>
  <c r="J447" i="21"/>
  <c r="I447" i="21"/>
  <c r="H447" i="21"/>
  <c r="G447" i="21"/>
  <c r="F447" i="21"/>
  <c r="J443" i="21"/>
  <c r="I443" i="21"/>
  <c r="H443" i="21"/>
  <c r="G443" i="21"/>
  <c r="F443" i="21"/>
  <c r="J439" i="21"/>
  <c r="I439" i="21"/>
  <c r="H439" i="21"/>
  <c r="G439" i="21"/>
  <c r="F439" i="21"/>
  <c r="J435" i="21"/>
  <c r="I435" i="21"/>
  <c r="G435" i="21"/>
  <c r="F435" i="21"/>
  <c r="G407" i="21"/>
  <c r="J407" i="21"/>
  <c r="I407" i="21"/>
  <c r="H407" i="21"/>
  <c r="F407" i="21"/>
  <c r="G403" i="21"/>
  <c r="F403" i="21"/>
  <c r="F395" i="21"/>
  <c r="F391" i="21"/>
  <c r="J403" i="21"/>
  <c r="I403" i="21"/>
  <c r="H403" i="21"/>
  <c r="J399" i="21"/>
  <c r="I399" i="21"/>
  <c r="H399" i="21"/>
  <c r="G399" i="21"/>
  <c r="F399" i="21"/>
  <c r="J395" i="21"/>
  <c r="I395" i="21"/>
  <c r="H395" i="21"/>
  <c r="G395" i="21"/>
  <c r="J391" i="21"/>
  <c r="I391" i="21"/>
  <c r="H391" i="21"/>
  <c r="G391" i="21"/>
  <c r="J387" i="21"/>
  <c r="I387" i="21"/>
  <c r="H387" i="21"/>
  <c r="G387" i="21"/>
  <c r="F387" i="21"/>
  <c r="J383" i="21"/>
  <c r="I383" i="21"/>
  <c r="H383" i="21"/>
  <c r="G383" i="21"/>
  <c r="F383" i="21"/>
  <c r="H379" i="22"/>
  <c r="J387" i="22"/>
  <c r="I387" i="22"/>
  <c r="H387" i="22"/>
  <c r="G387" i="22"/>
  <c r="F387" i="22"/>
  <c r="J383" i="22"/>
  <c r="I383" i="22"/>
  <c r="H383" i="22"/>
  <c r="G383" i="22"/>
  <c r="F383" i="22"/>
  <c r="J379" i="22"/>
  <c r="I379" i="22"/>
  <c r="G379" i="22"/>
  <c r="F379" i="22"/>
  <c r="J359" i="22" l="1"/>
  <c r="I359" i="22"/>
  <c r="H359" i="22"/>
  <c r="G359" i="22"/>
  <c r="F359" i="22"/>
  <c r="J358" i="22"/>
  <c r="I358" i="22"/>
  <c r="H358" i="22"/>
  <c r="G358" i="22"/>
  <c r="F358" i="22"/>
  <c r="I360" i="22" l="1"/>
  <c r="J360" i="22"/>
  <c r="G360" i="22"/>
  <c r="H360" i="22"/>
  <c r="F360" i="22"/>
  <c r="J359" i="21" l="1"/>
  <c r="I359" i="21"/>
  <c r="H359" i="21"/>
  <c r="G359" i="21"/>
  <c r="F359" i="21"/>
  <c r="J358" i="21"/>
  <c r="I358" i="21"/>
  <c r="H358" i="21"/>
  <c r="G358" i="21"/>
  <c r="F358" i="21"/>
  <c r="F360" i="21" l="1"/>
  <c r="J360" i="21"/>
  <c r="I360" i="21"/>
  <c r="H360" i="21"/>
  <c r="G360" i="21"/>
  <c r="F358" i="20"/>
  <c r="J359" i="20"/>
  <c r="I359" i="20"/>
  <c r="H359" i="20"/>
  <c r="G359" i="20"/>
  <c r="F359" i="20"/>
  <c r="J358" i="20"/>
  <c r="I358" i="20"/>
  <c r="H358" i="20"/>
  <c r="G358" i="20"/>
  <c r="F360" i="20" l="1"/>
  <c r="G360" i="20"/>
  <c r="H360" i="20"/>
  <c r="I360" i="20"/>
  <c r="J360" i="20"/>
  <c r="J359" i="19"/>
  <c r="I359" i="19"/>
  <c r="H359" i="19"/>
  <c r="G359" i="19"/>
  <c r="F359" i="19"/>
  <c r="J358" i="19"/>
  <c r="I358" i="19"/>
  <c r="H358" i="19"/>
  <c r="G358" i="19"/>
  <c r="F358" i="19"/>
  <c r="F360" i="19" l="1"/>
  <c r="J360" i="19"/>
  <c r="I360" i="19"/>
  <c r="H360" i="19"/>
  <c r="G360" i="19"/>
  <c r="J359" i="18"/>
  <c r="I359" i="18"/>
  <c r="H359" i="18"/>
  <c r="G359" i="18"/>
  <c r="F359" i="18"/>
  <c r="J358" i="18"/>
  <c r="I358" i="18"/>
  <c r="H358" i="18"/>
  <c r="G358" i="18"/>
  <c r="F358" i="18"/>
  <c r="J360" i="18" l="1"/>
  <c r="G360" i="18"/>
  <c r="F360" i="18"/>
  <c r="H360" i="18"/>
  <c r="I360" i="18"/>
  <c r="J359" i="17"/>
  <c r="I359" i="17"/>
  <c r="H359" i="17"/>
  <c r="G359" i="17"/>
  <c r="F359" i="17"/>
  <c r="J358" i="17"/>
  <c r="I358" i="17"/>
  <c r="H358" i="17"/>
  <c r="G358" i="17"/>
  <c r="F358" i="17"/>
  <c r="G360" i="17" l="1"/>
  <c r="J360" i="17"/>
  <c r="I360" i="17"/>
  <c r="H360" i="17"/>
  <c r="F360" i="17"/>
  <c r="J359" i="16"/>
  <c r="I359" i="16"/>
  <c r="H359" i="16"/>
  <c r="G359" i="16"/>
  <c r="F359" i="16"/>
  <c r="J358" i="16"/>
  <c r="I358" i="16"/>
  <c r="H358" i="16"/>
  <c r="G358" i="16"/>
  <c r="F358" i="16"/>
  <c r="F360" i="16" l="1"/>
  <c r="G360" i="16"/>
  <c r="H360" i="16"/>
  <c r="I360" i="16"/>
  <c r="J360" i="16"/>
  <c r="J359" i="15"/>
  <c r="I359" i="15"/>
  <c r="H359" i="15"/>
  <c r="G359" i="15"/>
  <c r="F359" i="15"/>
  <c r="J358" i="15"/>
  <c r="I358" i="15"/>
  <c r="H358" i="15"/>
  <c r="G358" i="15"/>
  <c r="F358" i="15"/>
  <c r="J360" i="15" l="1"/>
  <c r="I360" i="15"/>
  <c r="H360" i="15"/>
  <c r="G360" i="15"/>
  <c r="F360" i="15"/>
  <c r="J359" i="14"/>
  <c r="I359" i="14"/>
  <c r="H359" i="14"/>
  <c r="G359" i="14"/>
  <c r="F359" i="14"/>
  <c r="J358" i="14"/>
  <c r="I358" i="14"/>
  <c r="H358" i="14"/>
  <c r="G358" i="14"/>
  <c r="F358" i="14"/>
  <c r="F360" i="14" l="1"/>
  <c r="G360" i="14"/>
  <c r="H360" i="14"/>
  <c r="I360" i="14"/>
  <c r="J360" i="14"/>
  <c r="J359" i="13"/>
  <c r="I359" i="13"/>
  <c r="H359" i="13"/>
  <c r="G359" i="13"/>
  <c r="F359" i="13"/>
  <c r="J358" i="13"/>
  <c r="H358" i="13"/>
  <c r="G358" i="13"/>
  <c r="F358" i="13"/>
  <c r="G360" i="13" l="1"/>
  <c r="F360" i="13"/>
  <c r="J360" i="13"/>
  <c r="I360" i="13"/>
  <c r="H360" i="13"/>
  <c r="J359" i="12"/>
  <c r="I359" i="12"/>
  <c r="H359" i="12"/>
  <c r="G359" i="12"/>
  <c r="F359" i="12"/>
  <c r="J358" i="12"/>
  <c r="I358" i="12"/>
  <c r="H358" i="12"/>
  <c r="G358" i="12"/>
  <c r="F358" i="12"/>
  <c r="F360" i="12" l="1"/>
  <c r="G360" i="12"/>
  <c r="H360" i="12"/>
  <c r="I360" i="12"/>
  <c r="J360" i="12"/>
  <c r="J359" i="11"/>
  <c r="I359" i="11"/>
  <c r="H359" i="11"/>
  <c r="G359" i="11"/>
  <c r="F359" i="11"/>
  <c r="J358" i="11"/>
  <c r="I358" i="11"/>
  <c r="H358" i="11"/>
  <c r="G358" i="11"/>
  <c r="F358" i="11"/>
  <c r="G360" i="11" l="1"/>
  <c r="F360" i="11"/>
  <c r="H360" i="11"/>
  <c r="I360" i="11"/>
  <c r="J360" i="11"/>
  <c r="J358" i="10"/>
  <c r="J359" i="10"/>
  <c r="I359" i="10"/>
  <c r="H359" i="10"/>
  <c r="G359" i="10"/>
  <c r="F359" i="10"/>
  <c r="I358" i="10"/>
  <c r="H358" i="10"/>
  <c r="G358" i="10"/>
  <c r="F358" i="10"/>
  <c r="F360" i="10" l="1"/>
  <c r="G360" i="10"/>
  <c r="H360" i="10"/>
  <c r="I360" i="10"/>
  <c r="J360" i="10"/>
  <c r="F360" i="9" l="1"/>
  <c r="J360" i="9"/>
  <c r="I360" i="9"/>
  <c r="H360" i="9"/>
  <c r="G360" i="9"/>
  <c r="J359" i="25"/>
  <c r="I359" i="25"/>
  <c r="H359" i="25"/>
  <c r="G359" i="25"/>
  <c r="F359" i="25"/>
  <c r="J358" i="25"/>
  <c r="I358" i="25"/>
  <c r="H358" i="25"/>
  <c r="G358" i="25"/>
  <c r="F358" i="25"/>
  <c r="F360" i="25" l="1"/>
  <c r="J360" i="25"/>
  <c r="I360" i="25"/>
  <c r="H360" i="25"/>
  <c r="G360" i="25"/>
  <c r="F359" i="24"/>
  <c r="F358" i="24"/>
  <c r="J359" i="24" l="1"/>
  <c r="I359" i="24"/>
  <c r="H359" i="24"/>
  <c r="G359" i="24"/>
  <c r="F360" i="24"/>
  <c r="J358" i="24"/>
  <c r="I358" i="24"/>
  <c r="H358" i="24"/>
  <c r="G358" i="24"/>
  <c r="G360" i="24" l="1"/>
  <c r="H360" i="24"/>
  <c r="I360" i="24"/>
  <c r="J360" i="24"/>
  <c r="G359" i="2"/>
  <c r="H359" i="2"/>
  <c r="I359" i="2"/>
  <c r="J359" i="2"/>
  <c r="G358" i="2"/>
  <c r="H358" i="2"/>
  <c r="I358" i="2"/>
  <c r="J358" i="2"/>
  <c r="F359" i="2"/>
  <c r="F358" i="2"/>
  <c r="J360" i="5" l="1"/>
  <c r="I360" i="5"/>
  <c r="H360" i="5"/>
  <c r="F360" i="5"/>
  <c r="G360" i="5"/>
  <c r="K465" i="2" l="1"/>
  <c r="J367" i="22" l="1"/>
  <c r="J369" i="22" s="1"/>
  <c r="J366" i="22"/>
  <c r="J368" i="22" s="1"/>
  <c r="J365" i="22"/>
  <c r="G365" i="22"/>
  <c r="G366" i="22"/>
  <c r="G368" i="22" s="1"/>
  <c r="G367" i="22"/>
  <c r="G369" i="22" s="1"/>
  <c r="J399" i="22"/>
  <c r="I399" i="22"/>
  <c r="H399" i="22"/>
  <c r="G399" i="22"/>
  <c r="F399" i="22"/>
  <c r="J375" i="22"/>
  <c r="I375" i="22"/>
  <c r="H375" i="22"/>
  <c r="G375" i="22"/>
  <c r="F375" i="22"/>
  <c r="I369" i="22"/>
  <c r="H369" i="22"/>
  <c r="F369" i="22"/>
  <c r="I368" i="22"/>
  <c r="H368" i="22"/>
  <c r="F368" i="22"/>
  <c r="G367" i="21"/>
  <c r="G369" i="21" s="1"/>
  <c r="G366" i="21"/>
  <c r="G368" i="21" s="1"/>
  <c r="G365" i="21"/>
  <c r="J367" i="21"/>
  <c r="J369" i="21" s="1"/>
  <c r="J366" i="21"/>
  <c r="J368" i="21" s="1"/>
  <c r="J365" i="21"/>
  <c r="J431" i="21"/>
  <c r="I431" i="21"/>
  <c r="H431" i="21"/>
  <c r="G431" i="21"/>
  <c r="F431" i="21"/>
  <c r="J375" i="21"/>
  <c r="I375" i="21"/>
  <c r="H375" i="21"/>
  <c r="G375" i="21"/>
  <c r="F375" i="21"/>
  <c r="I369" i="21"/>
  <c r="H369" i="21"/>
  <c r="F369" i="21"/>
  <c r="I368" i="21"/>
  <c r="H368" i="21"/>
  <c r="F368" i="21"/>
  <c r="J367" i="20"/>
  <c r="J369" i="20" s="1"/>
  <c r="J366" i="20"/>
  <c r="J368" i="20" s="1"/>
  <c r="J365" i="20"/>
  <c r="G367" i="20"/>
  <c r="G369" i="20" s="1"/>
  <c r="G366" i="20"/>
  <c r="G368" i="20" s="1"/>
  <c r="G365" i="20"/>
  <c r="J395" i="20"/>
  <c r="I395" i="20"/>
  <c r="H395" i="20"/>
  <c r="G395" i="20"/>
  <c r="F395" i="20"/>
  <c r="J375" i="20"/>
  <c r="I375" i="20"/>
  <c r="H375" i="20"/>
  <c r="G375" i="20"/>
  <c r="F375" i="20"/>
  <c r="I369" i="20"/>
  <c r="H369" i="20"/>
  <c r="F369" i="20"/>
  <c r="I368" i="20"/>
  <c r="H368" i="20"/>
  <c r="F368" i="20"/>
  <c r="I375" i="19"/>
  <c r="G367" i="19"/>
  <c r="G366" i="19"/>
  <c r="G365" i="19"/>
  <c r="J367" i="19"/>
  <c r="J366" i="19"/>
  <c r="J365" i="19"/>
  <c r="H370" i="22" l="1"/>
  <c r="J370" i="22"/>
  <c r="I370" i="22"/>
  <c r="G370" i="22"/>
  <c r="F370" i="22"/>
  <c r="F370" i="21"/>
  <c r="H370" i="21"/>
  <c r="I370" i="21"/>
  <c r="G370" i="21"/>
  <c r="J370" i="21"/>
  <c r="J370" i="20"/>
  <c r="I370" i="20"/>
  <c r="H370" i="20"/>
  <c r="G370" i="20"/>
  <c r="F370" i="20"/>
  <c r="J407" i="19"/>
  <c r="I407" i="19"/>
  <c r="H407" i="19"/>
  <c r="G407" i="19"/>
  <c r="F407" i="19"/>
  <c r="J375" i="19"/>
  <c r="H375" i="19"/>
  <c r="G375" i="19"/>
  <c r="F375" i="19"/>
  <c r="I369" i="19"/>
  <c r="H369" i="19"/>
  <c r="F369" i="19"/>
  <c r="J368" i="19"/>
  <c r="I368" i="19"/>
  <c r="H368" i="19"/>
  <c r="F368" i="19"/>
  <c r="J369" i="19"/>
  <c r="G369" i="19"/>
  <c r="G368" i="19"/>
  <c r="I403" i="18"/>
  <c r="J367" i="18"/>
  <c r="J369" i="18" s="1"/>
  <c r="J366" i="18"/>
  <c r="J368" i="18" s="1"/>
  <c r="J365" i="18"/>
  <c r="G367" i="18"/>
  <c r="G369" i="18" s="1"/>
  <c r="G366" i="18"/>
  <c r="G368" i="18" s="1"/>
  <c r="G365" i="18"/>
  <c r="J403" i="18"/>
  <c r="H403" i="18"/>
  <c r="G403" i="18"/>
  <c r="F403" i="18"/>
  <c r="J375" i="18"/>
  <c r="I375" i="18"/>
  <c r="H375" i="18"/>
  <c r="G375" i="18"/>
  <c r="F375" i="18"/>
  <c r="I369" i="18"/>
  <c r="H369" i="18"/>
  <c r="F369" i="18"/>
  <c r="I368" i="18"/>
  <c r="H368" i="18"/>
  <c r="F368" i="18"/>
  <c r="J367" i="17"/>
  <c r="J369" i="17" s="1"/>
  <c r="J366" i="17"/>
  <c r="J368" i="17" s="1"/>
  <c r="J365" i="17"/>
  <c r="G367" i="17"/>
  <c r="G369" i="17" s="1"/>
  <c r="G366" i="17"/>
  <c r="G368" i="17" s="1"/>
  <c r="G365" i="17"/>
  <c r="J415" i="17"/>
  <c r="I415" i="17"/>
  <c r="H415" i="17"/>
  <c r="G415" i="17"/>
  <c r="F415" i="17"/>
  <c r="J375" i="17"/>
  <c r="I375" i="17"/>
  <c r="H375" i="17"/>
  <c r="G375" i="17"/>
  <c r="F375" i="17"/>
  <c r="I369" i="17"/>
  <c r="H369" i="17"/>
  <c r="F369" i="17"/>
  <c r="I368" i="17"/>
  <c r="H368" i="17"/>
  <c r="F368" i="17"/>
  <c r="J367" i="16"/>
  <c r="J369" i="16" s="1"/>
  <c r="J366" i="16"/>
  <c r="J368" i="16" s="1"/>
  <c r="J365" i="16"/>
  <c r="G366" i="16"/>
  <c r="G368" i="16" s="1"/>
  <c r="G367" i="16"/>
  <c r="G369" i="16" s="1"/>
  <c r="F369" i="16"/>
  <c r="G365" i="16"/>
  <c r="J427" i="16"/>
  <c r="I427" i="16"/>
  <c r="H427" i="16"/>
  <c r="G427" i="16"/>
  <c r="F427" i="16"/>
  <c r="J375" i="16"/>
  <c r="I375" i="16"/>
  <c r="H375" i="16"/>
  <c r="G375" i="16"/>
  <c r="F375" i="16"/>
  <c r="I369" i="16"/>
  <c r="H369" i="16"/>
  <c r="I368" i="16"/>
  <c r="H368" i="16"/>
  <c r="F368" i="16"/>
  <c r="J367" i="15"/>
  <c r="J369" i="15" s="1"/>
  <c r="J366" i="15"/>
  <c r="J368" i="15" s="1"/>
  <c r="J365" i="15"/>
  <c r="G366" i="15"/>
  <c r="G368" i="15" s="1"/>
  <c r="G367" i="15"/>
  <c r="G369" i="15" s="1"/>
  <c r="G365" i="15"/>
  <c r="J407" i="15"/>
  <c r="I407" i="15"/>
  <c r="H407" i="15"/>
  <c r="G407" i="15"/>
  <c r="F407" i="15"/>
  <c r="J375" i="15"/>
  <c r="I375" i="15"/>
  <c r="H375" i="15"/>
  <c r="G375" i="15"/>
  <c r="F375" i="15"/>
  <c r="I369" i="15"/>
  <c r="H369" i="15"/>
  <c r="F369" i="15"/>
  <c r="I368" i="15"/>
  <c r="H368" i="15"/>
  <c r="F368" i="15"/>
  <c r="G366" i="14"/>
  <c r="G368" i="14" s="1"/>
  <c r="G367" i="14"/>
  <c r="G369" i="14" s="1"/>
  <c r="G365" i="14"/>
  <c r="J367" i="14"/>
  <c r="J369" i="14" s="1"/>
  <c r="J366" i="14"/>
  <c r="J368" i="14" s="1"/>
  <c r="J365" i="14"/>
  <c r="J419" i="14"/>
  <c r="I419" i="14"/>
  <c r="H419" i="14"/>
  <c r="G419" i="14"/>
  <c r="F419" i="14"/>
  <c r="J375" i="14"/>
  <c r="I375" i="14"/>
  <c r="H375" i="14"/>
  <c r="G375" i="14"/>
  <c r="F375" i="14"/>
  <c r="I369" i="14"/>
  <c r="H369" i="14"/>
  <c r="F369" i="14"/>
  <c r="I368" i="14"/>
  <c r="H368" i="14"/>
  <c r="F368" i="14"/>
  <c r="J367" i="13"/>
  <c r="J369" i="13" s="1"/>
  <c r="J366" i="13"/>
  <c r="J368" i="13" s="1"/>
  <c r="J365" i="13"/>
  <c r="G367" i="13"/>
  <c r="G369" i="13" s="1"/>
  <c r="G366" i="13"/>
  <c r="G368" i="13" s="1"/>
  <c r="G365" i="13"/>
  <c r="I369" i="13"/>
  <c r="H369" i="13"/>
  <c r="F369" i="13"/>
  <c r="I368" i="13"/>
  <c r="H368" i="13"/>
  <c r="F368" i="13"/>
  <c r="J367" i="12"/>
  <c r="J369" i="12" s="1"/>
  <c r="J366" i="12"/>
  <c r="J368" i="12" s="1"/>
  <c r="J365" i="12"/>
  <c r="G367" i="12"/>
  <c r="G369" i="12" s="1"/>
  <c r="G366" i="12"/>
  <c r="G368" i="12" s="1"/>
  <c r="G365" i="12"/>
  <c r="I369" i="12"/>
  <c r="H369" i="12"/>
  <c r="F369" i="12"/>
  <c r="I368" i="12"/>
  <c r="H368" i="12"/>
  <c r="F368" i="12"/>
  <c r="J367" i="11"/>
  <c r="J369" i="11" s="1"/>
  <c r="J366" i="11"/>
  <c r="J368" i="11" s="1"/>
  <c r="J365" i="11"/>
  <c r="G367" i="11"/>
  <c r="G369" i="11" s="1"/>
  <c r="G366" i="11"/>
  <c r="G368" i="11" s="1"/>
  <c r="G365" i="11"/>
  <c r="I369" i="11"/>
  <c r="H369" i="11"/>
  <c r="F369" i="11"/>
  <c r="I368" i="11"/>
  <c r="H368" i="11"/>
  <c r="F368" i="11"/>
  <c r="J367" i="10"/>
  <c r="J369" i="10" s="1"/>
  <c r="J366" i="10"/>
  <c r="J368" i="10" s="1"/>
  <c r="J365" i="10"/>
  <c r="G367" i="10"/>
  <c r="G369" i="10" s="1"/>
  <c r="G366" i="10"/>
  <c r="G368" i="10" s="1"/>
  <c r="G365" i="10"/>
  <c r="I369" i="10"/>
  <c r="H369" i="10"/>
  <c r="F369" i="10"/>
  <c r="I368" i="10"/>
  <c r="H368" i="10"/>
  <c r="F368" i="10"/>
  <c r="I370" i="19" l="1"/>
  <c r="F370" i="19"/>
  <c r="J370" i="19"/>
  <c r="H370" i="19"/>
  <c r="G370" i="19"/>
  <c r="I370" i="18"/>
  <c r="H370" i="18"/>
  <c r="G370" i="18"/>
  <c r="F370" i="18"/>
  <c r="J370" i="18"/>
  <c r="J370" i="17"/>
  <c r="I370" i="17"/>
  <c r="H370" i="17"/>
  <c r="G370" i="17"/>
  <c r="F370" i="17"/>
  <c r="J370" i="16"/>
  <c r="I370" i="16"/>
  <c r="H370" i="16"/>
  <c r="G370" i="16"/>
  <c r="F370" i="16"/>
  <c r="J370" i="15"/>
  <c r="H370" i="15"/>
  <c r="I370" i="15"/>
  <c r="F370" i="15"/>
  <c r="G370" i="15"/>
  <c r="F370" i="14"/>
  <c r="H370" i="14"/>
  <c r="I370" i="14"/>
  <c r="G370" i="14"/>
  <c r="J370" i="14"/>
  <c r="I370" i="13"/>
  <c r="H370" i="13"/>
  <c r="G370" i="13"/>
  <c r="F370" i="13"/>
  <c r="J370" i="13"/>
  <c r="I370" i="12"/>
  <c r="H370" i="12"/>
  <c r="G370" i="12"/>
  <c r="F370" i="12"/>
  <c r="J370" i="12"/>
  <c r="I370" i="11"/>
  <c r="H370" i="11"/>
  <c r="G370" i="11"/>
  <c r="F370" i="11"/>
  <c r="J370" i="11"/>
  <c r="J370" i="10"/>
  <c r="I370" i="10"/>
  <c r="H370" i="10"/>
  <c r="G370" i="10"/>
  <c r="F370" i="10"/>
  <c r="J367" i="9"/>
  <c r="J369" i="9" s="1"/>
  <c r="J366" i="9"/>
  <c r="J368" i="9" s="1"/>
  <c r="J365" i="9"/>
  <c r="G367" i="9"/>
  <c r="G369" i="9" s="1"/>
  <c r="G366" i="9"/>
  <c r="G368" i="9" s="1"/>
  <c r="G365" i="9"/>
  <c r="I369" i="9"/>
  <c r="H369" i="9"/>
  <c r="F369" i="9"/>
  <c r="I368" i="9"/>
  <c r="H368" i="9"/>
  <c r="F368" i="9"/>
  <c r="G367" i="25"/>
  <c r="G369" i="25" s="1"/>
  <c r="G366" i="25"/>
  <c r="G368" i="25" s="1"/>
  <c r="G365" i="25"/>
  <c r="J367" i="25"/>
  <c r="J369" i="25" s="1"/>
  <c r="J366" i="25"/>
  <c r="J368" i="25" s="1"/>
  <c r="J365" i="25"/>
  <c r="I369" i="25"/>
  <c r="H369" i="25"/>
  <c r="F369" i="25"/>
  <c r="I368" i="25"/>
  <c r="H368" i="25"/>
  <c r="F368" i="25"/>
  <c r="J367" i="24"/>
  <c r="J369" i="24" s="1"/>
  <c r="J366" i="24"/>
  <c r="J368" i="24" s="1"/>
  <c r="J365" i="24"/>
  <c r="G367" i="24"/>
  <c r="G369" i="24" s="1"/>
  <c r="G366" i="24"/>
  <c r="G368" i="24" s="1"/>
  <c r="G365" i="24"/>
  <c r="I369" i="24"/>
  <c r="H369" i="24"/>
  <c r="F369" i="24"/>
  <c r="I368" i="24"/>
  <c r="H368" i="24"/>
  <c r="F368" i="24"/>
  <c r="J366" i="7"/>
  <c r="J368" i="7" s="1"/>
  <c r="J367" i="7"/>
  <c r="J369" i="7" s="1"/>
  <c r="J365" i="7"/>
  <c r="G367" i="7"/>
  <c r="G369" i="7" s="1"/>
  <c r="G366" i="7"/>
  <c r="G368" i="7" s="1"/>
  <c r="G365" i="7"/>
  <c r="I369" i="7"/>
  <c r="H369" i="7"/>
  <c r="F369" i="7"/>
  <c r="I368" i="7"/>
  <c r="H368" i="7"/>
  <c r="F368" i="7"/>
  <c r="G367" i="6"/>
  <c r="G369" i="6" s="1"/>
  <c r="G366" i="6"/>
  <c r="G368" i="6" s="1"/>
  <c r="G365" i="6"/>
  <c r="J367" i="6"/>
  <c r="J369" i="6" s="1"/>
  <c r="J366" i="6"/>
  <c r="J368" i="6" s="1"/>
  <c r="J365" i="6"/>
  <c r="I369" i="6"/>
  <c r="H369" i="6"/>
  <c r="F369" i="6"/>
  <c r="I368" i="6"/>
  <c r="H368" i="6"/>
  <c r="F368" i="6"/>
  <c r="G419" i="5"/>
  <c r="H419" i="5"/>
  <c r="I419" i="5"/>
  <c r="J419" i="5"/>
  <c r="F419" i="5"/>
  <c r="G375" i="5"/>
  <c r="H375" i="5"/>
  <c r="I375" i="5"/>
  <c r="F375" i="5"/>
  <c r="J375" i="5"/>
  <c r="J367" i="5"/>
  <c r="J369" i="5" s="1"/>
  <c r="J366" i="5"/>
  <c r="J368" i="5" s="1"/>
  <c r="J365" i="5"/>
  <c r="I369" i="5"/>
  <c r="H369" i="5"/>
  <c r="G369" i="5"/>
  <c r="F369" i="5"/>
  <c r="I368" i="5"/>
  <c r="H368" i="5"/>
  <c r="G368" i="5"/>
  <c r="G411" i="2"/>
  <c r="H411" i="2"/>
  <c r="I411" i="2"/>
  <c r="J411" i="2"/>
  <c r="F411" i="2"/>
  <c r="H391" i="2"/>
  <c r="I403" i="2"/>
  <c r="J403" i="2"/>
  <c r="H403" i="2"/>
  <c r="H395" i="2"/>
  <c r="I395" i="2"/>
  <c r="J395" i="2"/>
  <c r="G395" i="2"/>
  <c r="G399" i="2"/>
  <c r="H399" i="2"/>
  <c r="I399" i="2"/>
  <c r="J399" i="2"/>
  <c r="G391" i="2"/>
  <c r="I391" i="2"/>
  <c r="J391" i="2"/>
  <c r="G387" i="2"/>
  <c r="H387" i="2"/>
  <c r="I387" i="2"/>
  <c r="G383" i="2"/>
  <c r="H383" i="2"/>
  <c r="I383" i="2"/>
  <c r="J383" i="2"/>
  <c r="J379" i="2"/>
  <c r="H379" i="2"/>
  <c r="G379" i="2"/>
  <c r="F399" i="2"/>
  <c r="F391" i="2"/>
  <c r="F387" i="2"/>
  <c r="F383" i="2"/>
  <c r="I379" i="2"/>
  <c r="F379" i="2"/>
  <c r="G375" i="2"/>
  <c r="F375" i="2"/>
  <c r="I375" i="2"/>
  <c r="J375" i="2"/>
  <c r="H368" i="2"/>
  <c r="G369" i="2"/>
  <c r="H369" i="2"/>
  <c r="I369" i="2"/>
  <c r="J369" i="2"/>
  <c r="G368" i="2"/>
  <c r="I368" i="2"/>
  <c r="J368" i="2"/>
  <c r="F370" i="25" l="1"/>
  <c r="I370" i="25"/>
  <c r="F370" i="5"/>
  <c r="I370" i="9"/>
  <c r="H370" i="9"/>
  <c r="G370" i="9"/>
  <c r="F370" i="9"/>
  <c r="J370" i="9"/>
  <c r="G370" i="25"/>
  <c r="H370" i="25"/>
  <c r="J370" i="25"/>
  <c r="J370" i="24"/>
  <c r="I370" i="24"/>
  <c r="H370" i="24"/>
  <c r="G370" i="24"/>
  <c r="F370" i="24"/>
  <c r="I370" i="7"/>
  <c r="H370" i="7"/>
  <c r="F370" i="7"/>
  <c r="G370" i="7"/>
  <c r="J370" i="7"/>
  <c r="F370" i="6"/>
  <c r="G370" i="6"/>
  <c r="H370" i="6"/>
  <c r="I370" i="6"/>
  <c r="J370" i="6"/>
  <c r="J370" i="5"/>
  <c r="I370" i="5"/>
  <c r="H370" i="5"/>
  <c r="G370" i="5"/>
  <c r="K464" i="2"/>
  <c r="H375" i="2"/>
  <c r="G370" i="2" l="1"/>
  <c r="H370" i="2"/>
  <c r="I370" i="2"/>
  <c r="J370" i="2"/>
  <c r="F369" i="2"/>
  <c r="F368" i="2"/>
  <c r="F370" i="2" l="1"/>
  <c r="G354" i="2"/>
  <c r="G357" i="2" s="1"/>
  <c r="H354" i="2"/>
  <c r="H357" i="2" s="1"/>
  <c r="I354" i="2"/>
  <c r="I357" i="2" s="1"/>
  <c r="J354" i="2"/>
  <c r="J357" i="2" s="1"/>
  <c r="F354" i="2"/>
  <c r="F357" i="2" s="1"/>
  <c r="G354" i="22"/>
  <c r="G357" i="22" s="1"/>
  <c r="H354" i="22"/>
  <c r="H357" i="22" s="1"/>
  <c r="I354" i="22"/>
  <c r="I357" i="22" s="1"/>
  <c r="J354" i="22"/>
  <c r="J357" i="22" s="1"/>
  <c r="F354" i="22"/>
  <c r="F357" i="22" s="1"/>
  <c r="G354" i="21"/>
  <c r="G357" i="21" s="1"/>
  <c r="H354" i="21"/>
  <c r="H357" i="21" s="1"/>
  <c r="I354" i="21"/>
  <c r="I357" i="21" s="1"/>
  <c r="J354" i="21"/>
  <c r="J357" i="21" s="1"/>
  <c r="F354" i="21"/>
  <c r="F357" i="21" s="1"/>
  <c r="G354" i="20"/>
  <c r="G357" i="20" s="1"/>
  <c r="H354" i="20"/>
  <c r="H357" i="20" s="1"/>
  <c r="I354" i="20"/>
  <c r="I357" i="20" s="1"/>
  <c r="J354" i="20"/>
  <c r="J357" i="20" s="1"/>
  <c r="F354" i="20"/>
  <c r="F357" i="20" s="1"/>
  <c r="G354" i="19"/>
  <c r="G357" i="19" s="1"/>
  <c r="H354" i="19"/>
  <c r="H357" i="19" s="1"/>
  <c r="I354" i="19"/>
  <c r="I357" i="19" s="1"/>
  <c r="J354" i="19"/>
  <c r="J357" i="19" s="1"/>
  <c r="F354" i="19"/>
  <c r="F357" i="19" s="1"/>
  <c r="G354" i="18"/>
  <c r="G357" i="18" s="1"/>
  <c r="H354" i="18"/>
  <c r="H357" i="18" s="1"/>
  <c r="I354" i="18"/>
  <c r="I357" i="18" s="1"/>
  <c r="J354" i="18"/>
  <c r="J357" i="18" s="1"/>
  <c r="F354" i="18"/>
  <c r="F357" i="18" s="1"/>
  <c r="G354" i="17"/>
  <c r="G357" i="17" s="1"/>
  <c r="H354" i="17"/>
  <c r="H357" i="17" s="1"/>
  <c r="I354" i="17"/>
  <c r="I357" i="17" s="1"/>
  <c r="J354" i="17"/>
  <c r="J357" i="17" s="1"/>
  <c r="F354" i="17"/>
  <c r="F357" i="17" s="1"/>
  <c r="G354" i="16"/>
  <c r="G357" i="16" s="1"/>
  <c r="H354" i="16"/>
  <c r="H357" i="16" s="1"/>
  <c r="I354" i="16"/>
  <c r="I357" i="16" s="1"/>
  <c r="J354" i="16"/>
  <c r="J357" i="16" s="1"/>
  <c r="F354" i="16"/>
  <c r="F357" i="16" s="1"/>
  <c r="G354" i="15" l="1"/>
  <c r="G357" i="15" s="1"/>
  <c r="H354" i="15"/>
  <c r="H357" i="15" s="1"/>
  <c r="I354" i="15"/>
  <c r="I357" i="15" s="1"/>
  <c r="J354" i="15"/>
  <c r="J357" i="15" s="1"/>
  <c r="F354" i="15"/>
  <c r="F357" i="15" s="1"/>
  <c r="G354" i="14"/>
  <c r="G357" i="14" s="1"/>
  <c r="H354" i="14"/>
  <c r="H357" i="14" s="1"/>
  <c r="I354" i="14"/>
  <c r="I357" i="14" s="1"/>
  <c r="F354" i="14"/>
  <c r="F357" i="14" s="1"/>
  <c r="G354" i="13"/>
  <c r="G357" i="13" s="1"/>
  <c r="H354" i="13"/>
  <c r="H357" i="13" s="1"/>
  <c r="I354" i="13"/>
  <c r="I357" i="13" s="1"/>
  <c r="J354" i="13"/>
  <c r="J357" i="13" s="1"/>
  <c r="F354" i="13"/>
  <c r="F357" i="13" s="1"/>
  <c r="J360" i="8" l="1"/>
  <c r="I360" i="8"/>
  <c r="H360" i="8"/>
  <c r="G360" i="8"/>
  <c r="F360" i="8"/>
  <c r="J360" i="7"/>
  <c r="I360" i="7"/>
  <c r="H360" i="7"/>
  <c r="G360" i="7"/>
  <c r="F360" i="7"/>
  <c r="J360" i="6"/>
  <c r="I360" i="6"/>
  <c r="H360" i="6"/>
  <c r="G360" i="6"/>
  <c r="F360" i="6"/>
  <c r="J360" i="2"/>
  <c r="I360" i="2"/>
  <c r="H360" i="2"/>
  <c r="G360" i="2"/>
  <c r="F360" i="2"/>
  <c r="J349" i="5" l="1"/>
  <c r="I349" i="5"/>
  <c r="H349" i="5"/>
  <c r="G349" i="5"/>
  <c r="J349" i="6"/>
  <c r="I349" i="6"/>
  <c r="H349" i="6"/>
  <c r="G349" i="6"/>
  <c r="J349" i="7"/>
  <c r="I349" i="7"/>
  <c r="H349" i="7"/>
  <c r="G349" i="7"/>
  <c r="J349" i="8"/>
  <c r="I349" i="8"/>
  <c r="H349" i="8"/>
  <c r="G349" i="8"/>
  <c r="J349" i="24"/>
  <c r="I349" i="24"/>
  <c r="H349" i="24"/>
  <c r="G349" i="24"/>
  <c r="J349" i="25"/>
  <c r="I349" i="25"/>
  <c r="H349" i="25"/>
  <c r="G349" i="25"/>
  <c r="J349" i="9"/>
  <c r="I349" i="9"/>
  <c r="H349" i="9"/>
  <c r="G349" i="9"/>
  <c r="J349" i="10"/>
  <c r="I349" i="10"/>
  <c r="H349" i="10"/>
  <c r="G349" i="10"/>
  <c r="J349" i="11"/>
  <c r="I349" i="11"/>
  <c r="H349" i="11"/>
  <c r="G349" i="11"/>
  <c r="J349" i="12"/>
  <c r="I349" i="12"/>
  <c r="H349" i="12"/>
  <c r="G349" i="12"/>
  <c r="J349" i="13"/>
  <c r="I349" i="13"/>
  <c r="H349" i="13"/>
  <c r="G349" i="13"/>
  <c r="J349" i="14"/>
  <c r="I349" i="14"/>
  <c r="H349" i="14"/>
  <c r="G349" i="14"/>
  <c r="J349" i="15"/>
  <c r="I349" i="15"/>
  <c r="H349" i="15"/>
  <c r="G349" i="15"/>
  <c r="J349" i="16"/>
  <c r="I349" i="16"/>
  <c r="H349" i="16"/>
  <c r="G349" i="16"/>
  <c r="J349" i="17"/>
  <c r="I349" i="17"/>
  <c r="H349" i="17"/>
  <c r="G349" i="17"/>
  <c r="J349" i="18"/>
  <c r="I349" i="18"/>
  <c r="H349" i="18"/>
  <c r="G349" i="18"/>
  <c r="J349" i="19" l="1"/>
  <c r="I349" i="19"/>
  <c r="H349" i="19"/>
  <c r="G349" i="19"/>
  <c r="J349" i="20"/>
  <c r="I349" i="20"/>
  <c r="H349" i="20"/>
  <c r="G349" i="20"/>
  <c r="J349" i="21"/>
  <c r="I349" i="21"/>
  <c r="H349" i="21"/>
  <c r="G349" i="21"/>
  <c r="J349" i="22"/>
  <c r="I349" i="22"/>
  <c r="H349" i="22"/>
  <c r="G349" i="22"/>
  <c r="K503" i="21"/>
  <c r="K445" i="20"/>
  <c r="K446" i="20"/>
  <c r="K458" i="19"/>
  <c r="K558" i="10"/>
  <c r="K557" i="10"/>
  <c r="K534" i="9"/>
  <c r="K458" i="8"/>
  <c r="K457" i="8"/>
  <c r="K465" i="7"/>
  <c r="K466" i="7"/>
  <c r="K434" i="6"/>
  <c r="K498" i="5"/>
  <c r="J498" i="5"/>
  <c r="J553" i="10"/>
  <c r="J558" i="10"/>
  <c r="J510" i="11"/>
  <c r="J509" i="11"/>
  <c r="J458" i="19"/>
  <c r="J445" i="20"/>
  <c r="J446" i="20"/>
  <c r="J504" i="21"/>
  <c r="J503" i="21"/>
  <c r="I504" i="21"/>
  <c r="I446" i="20"/>
  <c r="I445" i="20"/>
  <c r="I458" i="19"/>
  <c r="I509" i="11"/>
  <c r="I557" i="10"/>
  <c r="I458" i="8"/>
  <c r="I457" i="8"/>
  <c r="I465" i="7"/>
  <c r="I466" i="7"/>
  <c r="I434" i="6"/>
  <c r="I433" i="6"/>
  <c r="I497" i="5"/>
  <c r="I498" i="5"/>
  <c r="H497" i="5"/>
  <c r="H498" i="5"/>
  <c r="H434" i="6"/>
  <c r="H433" i="6"/>
  <c r="H465" i="7"/>
  <c r="H466" i="7"/>
  <c r="H458" i="8"/>
  <c r="H457" i="8"/>
  <c r="H558" i="10"/>
  <c r="H557" i="10"/>
  <c r="H509" i="11"/>
  <c r="H457" i="19"/>
  <c r="H445" i="20"/>
  <c r="H446" i="20"/>
  <c r="H503" i="21"/>
  <c r="J497" i="5" l="1"/>
  <c r="K433" i="6"/>
  <c r="J433" i="6"/>
  <c r="J434" i="6"/>
  <c r="J465" i="7"/>
  <c r="J466" i="7"/>
  <c r="J458" i="8"/>
  <c r="J457" i="8"/>
  <c r="H534" i="9"/>
  <c r="I534" i="9"/>
  <c r="J534" i="9"/>
  <c r="I558" i="10"/>
  <c r="J557" i="10"/>
  <c r="H510" i="11"/>
  <c r="K510" i="11"/>
  <c r="I510" i="11"/>
  <c r="K509" i="11"/>
  <c r="I457" i="19"/>
  <c r="J457" i="19"/>
  <c r="K457" i="19"/>
  <c r="H458" i="19"/>
  <c r="H504" i="21"/>
  <c r="K504" i="21"/>
  <c r="I503" i="21"/>
  <c r="G503" i="21"/>
  <c r="G446" i="20"/>
  <c r="G458" i="19"/>
  <c r="G557" i="10"/>
  <c r="G510" i="11"/>
  <c r="G509" i="11"/>
  <c r="G457" i="8"/>
  <c r="G458" i="8"/>
  <c r="G498" i="5"/>
  <c r="F497" i="5"/>
  <c r="F498" i="5"/>
  <c r="F433" i="6"/>
  <c r="F457" i="8"/>
  <c r="F458" i="8"/>
  <c r="F558" i="10"/>
  <c r="F510" i="11"/>
  <c r="F509" i="11"/>
  <c r="F457" i="19"/>
  <c r="F446" i="20"/>
  <c r="F445" i="20"/>
  <c r="F440" i="22"/>
  <c r="G440" i="22"/>
  <c r="H440" i="22"/>
  <c r="K440" i="22"/>
  <c r="K437" i="22"/>
  <c r="K493" i="21"/>
  <c r="K444" i="20"/>
  <c r="J444" i="20"/>
  <c r="I444" i="20"/>
  <c r="I443" i="20"/>
  <c r="H443" i="20"/>
  <c r="K443" i="20"/>
  <c r="J443" i="20"/>
  <c r="K456" i="19"/>
  <c r="J456" i="19"/>
  <c r="I456" i="19"/>
  <c r="H456" i="19"/>
  <c r="K455" i="19"/>
  <c r="H455" i="19"/>
  <c r="J455" i="19"/>
  <c r="K445" i="19"/>
  <c r="K452" i="18"/>
  <c r="I452" i="18"/>
  <c r="H452" i="18"/>
  <c r="J451" i="18"/>
  <c r="I451" i="18"/>
  <c r="K451" i="18"/>
  <c r="K484" i="17"/>
  <c r="J484" i="17"/>
  <c r="I484" i="17"/>
  <c r="H484" i="17"/>
  <c r="H483" i="17"/>
  <c r="J483" i="17"/>
  <c r="K473" i="17"/>
  <c r="I508" i="16"/>
  <c r="H508" i="16"/>
  <c r="K508" i="16"/>
  <c r="J508" i="16"/>
  <c r="K507" i="16"/>
  <c r="J507" i="16"/>
  <c r="I507" i="16"/>
  <c r="H507" i="16"/>
  <c r="K497" i="16"/>
  <c r="K456" i="15"/>
  <c r="J456" i="15"/>
  <c r="I456" i="15"/>
  <c r="H456" i="15"/>
  <c r="I455" i="15"/>
  <c r="H455" i="15"/>
  <c r="K455" i="15"/>
  <c r="J455" i="15"/>
  <c r="K445" i="15"/>
  <c r="K496" i="14"/>
  <c r="J496" i="14"/>
  <c r="I496" i="14"/>
  <c r="H496" i="14"/>
  <c r="I495" i="14"/>
  <c r="K495" i="14"/>
  <c r="J495" i="14"/>
  <c r="K485" i="14"/>
  <c r="J500" i="13"/>
  <c r="I500" i="13"/>
  <c r="H500" i="13"/>
  <c r="K499" i="13"/>
  <c r="I499" i="13"/>
  <c r="H499" i="13"/>
  <c r="J499" i="13"/>
  <c r="K489" i="13"/>
  <c r="K524" i="12"/>
  <c r="H524" i="12"/>
  <c r="K523" i="12"/>
  <c r="I523" i="12"/>
  <c r="J524" i="12"/>
  <c r="I524" i="12"/>
  <c r="J523" i="12"/>
  <c r="H523" i="12"/>
  <c r="K513" i="12"/>
  <c r="J507" i="11"/>
  <c r="H508" i="11"/>
  <c r="K507" i="11"/>
  <c r="K508" i="11"/>
  <c r="J508" i="11"/>
  <c r="I508" i="11"/>
  <c r="I507" i="11"/>
  <c r="H507" i="11"/>
  <c r="K497" i="11"/>
  <c r="K556" i="10"/>
  <c r="J556" i="10"/>
  <c r="I556" i="10"/>
  <c r="H556" i="10"/>
  <c r="I555" i="10"/>
  <c r="H555" i="10"/>
  <c r="K555" i="10"/>
  <c r="J555" i="10"/>
  <c r="K545" i="10"/>
  <c r="J531" i="9"/>
  <c r="K532" i="9"/>
  <c r="J532" i="9"/>
  <c r="I532" i="9"/>
  <c r="H532" i="9"/>
  <c r="I531" i="9"/>
  <c r="H531" i="9"/>
  <c r="K521" i="9"/>
  <c r="K500" i="25"/>
  <c r="J500" i="25"/>
  <c r="I500" i="25"/>
  <c r="H500" i="25"/>
  <c r="I499" i="25"/>
  <c r="H499" i="25"/>
  <c r="K499" i="25"/>
  <c r="K489" i="25"/>
  <c r="K460" i="24"/>
  <c r="J460" i="24"/>
  <c r="I460" i="24"/>
  <c r="H460" i="24"/>
  <c r="I459" i="24"/>
  <c r="H459" i="24"/>
  <c r="K459" i="24"/>
  <c r="J459" i="24"/>
  <c r="K449" i="24"/>
  <c r="K456" i="8"/>
  <c r="J456" i="8"/>
  <c r="I456" i="8"/>
  <c r="H456" i="8"/>
  <c r="K455" i="8"/>
  <c r="I455" i="8"/>
  <c r="H455" i="8"/>
  <c r="K445" i="8"/>
  <c r="K464" i="7"/>
  <c r="J464" i="7"/>
  <c r="I464" i="7"/>
  <c r="H464" i="7"/>
  <c r="K463" i="7"/>
  <c r="J463" i="7"/>
  <c r="I463" i="7"/>
  <c r="H463" i="7"/>
  <c r="K453" i="7"/>
  <c r="G497" i="5" l="1"/>
  <c r="F434" i="6"/>
  <c r="G434" i="6"/>
  <c r="G433" i="6"/>
  <c r="F466" i="7"/>
  <c r="G466" i="7"/>
  <c r="F465" i="7"/>
  <c r="G465" i="7"/>
  <c r="F534" i="9"/>
  <c r="G534" i="9"/>
  <c r="F557" i="10"/>
  <c r="G558" i="10"/>
  <c r="F458" i="19"/>
  <c r="G457" i="19"/>
  <c r="G445" i="20"/>
  <c r="G504" i="21"/>
  <c r="G508" i="11"/>
  <c r="G452" i="18"/>
  <c r="F555" i="10"/>
  <c r="G556" i="10"/>
  <c r="F532" i="9"/>
  <c r="F508" i="11"/>
  <c r="G456" i="15"/>
  <c r="G455" i="19"/>
  <c r="F456" i="19"/>
  <c r="F508" i="16"/>
  <c r="F455" i="15"/>
  <c r="G531" i="9"/>
  <c r="G484" i="17"/>
  <c r="G507" i="11"/>
  <c r="G463" i="7"/>
  <c r="F459" i="24"/>
  <c r="G460" i="24"/>
  <c r="F460" i="24"/>
  <c r="G456" i="8"/>
  <c r="F464" i="7"/>
  <c r="F443" i="20"/>
  <c r="F451" i="18"/>
  <c r="F483" i="17"/>
  <c r="F507" i="16"/>
  <c r="G455" i="15"/>
  <c r="G500" i="25"/>
  <c r="F499" i="25"/>
  <c r="G459" i="24"/>
  <c r="F456" i="8"/>
  <c r="G464" i="7"/>
  <c r="K483" i="17"/>
  <c r="K500" i="13"/>
  <c r="J455" i="8"/>
  <c r="J499" i="25"/>
  <c r="J452" i="18"/>
  <c r="I455" i="19"/>
  <c r="I483" i="17"/>
  <c r="H495" i="14"/>
  <c r="H451" i="18"/>
  <c r="H444" i="20"/>
  <c r="G444" i="20"/>
  <c r="G456" i="19"/>
  <c r="G451" i="18"/>
  <c r="G483" i="17"/>
  <c r="G508" i="16"/>
  <c r="G507" i="16"/>
  <c r="G495" i="14"/>
  <c r="G499" i="13"/>
  <c r="G500" i="13"/>
  <c r="G523" i="12"/>
  <c r="G524" i="12"/>
  <c r="G532" i="9"/>
  <c r="G499" i="25"/>
  <c r="G455" i="8"/>
  <c r="F463" i="7"/>
  <c r="F455" i="8"/>
  <c r="F500" i="25"/>
  <c r="F531" i="9"/>
  <c r="F556" i="10"/>
  <c r="F507" i="11"/>
  <c r="F523" i="12"/>
  <c r="F524" i="12"/>
  <c r="F499" i="13"/>
  <c r="F500" i="13"/>
  <c r="F496" i="14"/>
  <c r="F495" i="14"/>
  <c r="F456" i="15"/>
  <c r="F484" i="17"/>
  <c r="F452" i="18"/>
  <c r="F455" i="19"/>
  <c r="F444" i="20"/>
  <c r="K432" i="6"/>
  <c r="J432" i="6"/>
  <c r="I432" i="6"/>
  <c r="H432" i="6"/>
  <c r="I431" i="6"/>
  <c r="H431" i="6"/>
  <c r="K431" i="6"/>
  <c r="K421" i="6"/>
  <c r="K496" i="5"/>
  <c r="J496" i="5"/>
  <c r="G496" i="5"/>
  <c r="F496" i="5"/>
  <c r="K485" i="5"/>
  <c r="J431" i="6" l="1"/>
  <c r="G432" i="6"/>
  <c r="G431" i="6"/>
  <c r="G495" i="5"/>
  <c r="F431" i="6"/>
  <c r="F432" i="6"/>
  <c r="K495" i="5"/>
  <c r="J495" i="5"/>
  <c r="I496" i="5"/>
  <c r="I495" i="5"/>
  <c r="H496" i="5"/>
  <c r="H495" i="5"/>
  <c r="F495" i="5"/>
  <c r="K325" i="22"/>
  <c r="J325" i="22"/>
  <c r="I325" i="22"/>
  <c r="H325" i="22"/>
  <c r="G325" i="22"/>
  <c r="K321" i="22"/>
  <c r="J321" i="22"/>
  <c r="I321" i="22"/>
  <c r="H321" i="22"/>
  <c r="G321" i="22"/>
  <c r="F321" i="22"/>
  <c r="K320" i="22"/>
  <c r="J320" i="22"/>
  <c r="I320" i="22"/>
  <c r="H320" i="22"/>
  <c r="G320" i="22"/>
  <c r="F320" i="22"/>
  <c r="K325" i="21"/>
  <c r="J325" i="21"/>
  <c r="I325" i="21"/>
  <c r="H325" i="21"/>
  <c r="G325" i="21"/>
  <c r="K321" i="21"/>
  <c r="J321" i="21"/>
  <c r="I321" i="21"/>
  <c r="H321" i="21"/>
  <c r="G321" i="21"/>
  <c r="F321" i="21"/>
  <c r="K320" i="21"/>
  <c r="J320" i="21"/>
  <c r="I320" i="21"/>
  <c r="H320" i="21"/>
  <c r="G320" i="21"/>
  <c r="F320" i="21"/>
  <c r="K325" i="20"/>
  <c r="J325" i="20"/>
  <c r="I325" i="20"/>
  <c r="H325" i="20"/>
  <c r="G325" i="20"/>
  <c r="K321" i="20"/>
  <c r="J321" i="20"/>
  <c r="I321" i="20"/>
  <c r="H321" i="20"/>
  <c r="G321" i="20"/>
  <c r="F321" i="20"/>
  <c r="K320" i="20"/>
  <c r="J320" i="20"/>
  <c r="I320" i="20"/>
  <c r="H320" i="20"/>
  <c r="G320" i="20"/>
  <c r="F320" i="20"/>
  <c r="K335" i="18"/>
  <c r="J335" i="18"/>
  <c r="I335" i="18"/>
  <c r="K334" i="18"/>
  <c r="J334" i="18"/>
  <c r="I334" i="18"/>
  <c r="J330" i="18"/>
  <c r="K330" i="18"/>
  <c r="J329" i="18"/>
  <c r="K329" i="18"/>
  <c r="K340" i="19" l="1"/>
  <c r="J340" i="19"/>
  <c r="I340" i="19"/>
  <c r="H340" i="19"/>
  <c r="K340" i="18"/>
  <c r="J340" i="18"/>
  <c r="I340" i="18"/>
  <c r="H340" i="18"/>
  <c r="K325" i="19"/>
  <c r="J325" i="19"/>
  <c r="I325" i="19"/>
  <c r="H325" i="19"/>
  <c r="G325" i="19"/>
  <c r="K321" i="19"/>
  <c r="J321" i="19"/>
  <c r="I321" i="19"/>
  <c r="H321" i="19"/>
  <c r="G321" i="19"/>
  <c r="F321" i="19"/>
  <c r="K320" i="19"/>
  <c r="J320" i="19"/>
  <c r="I320" i="19"/>
  <c r="H320" i="19"/>
  <c r="G320" i="19"/>
  <c r="F320" i="19"/>
  <c r="K325" i="18"/>
  <c r="J325" i="18"/>
  <c r="I325" i="18"/>
  <c r="H325" i="18"/>
  <c r="G325" i="18"/>
  <c r="K321" i="18"/>
  <c r="J321" i="18"/>
  <c r="I321" i="18"/>
  <c r="H321" i="18"/>
  <c r="G321" i="18"/>
  <c r="F321" i="18"/>
  <c r="K320" i="18"/>
  <c r="J320" i="18"/>
  <c r="I320" i="18"/>
  <c r="H320" i="18"/>
  <c r="G320" i="18"/>
  <c r="F320" i="18"/>
  <c r="K325" i="17"/>
  <c r="J325" i="17"/>
  <c r="I325" i="17"/>
  <c r="H325" i="17"/>
  <c r="G325" i="17"/>
  <c r="K321" i="17"/>
  <c r="J321" i="17"/>
  <c r="I321" i="17"/>
  <c r="H321" i="17"/>
  <c r="G321" i="17"/>
  <c r="F321" i="17"/>
  <c r="K320" i="17"/>
  <c r="J320" i="17"/>
  <c r="I320" i="17"/>
  <c r="H320" i="17"/>
  <c r="G320" i="17"/>
  <c r="F320" i="17"/>
  <c r="K325" i="16"/>
  <c r="J325" i="16"/>
  <c r="I325" i="16"/>
  <c r="H325" i="16"/>
  <c r="G325" i="16"/>
  <c r="K321" i="16"/>
  <c r="J321" i="16"/>
  <c r="I321" i="16"/>
  <c r="H321" i="16"/>
  <c r="G321" i="16"/>
  <c r="F321" i="16"/>
  <c r="K320" i="16"/>
  <c r="J320" i="16"/>
  <c r="I320" i="16"/>
  <c r="H320" i="16"/>
  <c r="G320" i="16"/>
  <c r="F320" i="16"/>
  <c r="K325" i="15"/>
  <c r="J325" i="15"/>
  <c r="I325" i="15"/>
  <c r="H325" i="15"/>
  <c r="G325" i="15"/>
  <c r="K321" i="15"/>
  <c r="J321" i="15"/>
  <c r="I321" i="15"/>
  <c r="H321" i="15"/>
  <c r="G321" i="15"/>
  <c r="F321" i="15"/>
  <c r="K320" i="15"/>
  <c r="J320" i="15"/>
  <c r="I320" i="15"/>
  <c r="H320" i="15"/>
  <c r="G320" i="15"/>
  <c r="F320" i="15"/>
  <c r="K325" i="14"/>
  <c r="J325" i="14"/>
  <c r="I325" i="14"/>
  <c r="H325" i="14"/>
  <c r="G325" i="14"/>
  <c r="K320" i="14"/>
  <c r="J320" i="14"/>
  <c r="I320" i="14"/>
  <c r="H320" i="14"/>
  <c r="G320" i="14"/>
  <c r="F320" i="14"/>
  <c r="K321" i="14"/>
  <c r="J321" i="14"/>
  <c r="I321" i="14"/>
  <c r="H321" i="14"/>
  <c r="G321" i="14"/>
  <c r="F321" i="14"/>
  <c r="K321" i="13"/>
  <c r="J321" i="13"/>
  <c r="I321" i="13"/>
  <c r="H321" i="13"/>
  <c r="G321" i="13"/>
  <c r="F321" i="13"/>
  <c r="K321" i="12"/>
  <c r="J321" i="12"/>
  <c r="I321" i="12"/>
  <c r="H321" i="12"/>
  <c r="G321" i="12"/>
  <c r="F321" i="12"/>
  <c r="K321" i="11"/>
  <c r="J321" i="11"/>
  <c r="I321" i="11"/>
  <c r="H321" i="11"/>
  <c r="G321" i="11"/>
  <c r="F321" i="11"/>
  <c r="K321" i="10"/>
  <c r="J321" i="10"/>
  <c r="I321" i="10"/>
  <c r="H321" i="10"/>
  <c r="G321" i="10"/>
  <c r="F321" i="10"/>
  <c r="K321" i="9"/>
  <c r="J321" i="9"/>
  <c r="I321" i="9"/>
  <c r="H321" i="9"/>
  <c r="G321" i="9"/>
  <c r="F321" i="9"/>
  <c r="K321" i="25"/>
  <c r="J321" i="25"/>
  <c r="I321" i="25"/>
  <c r="H321" i="25"/>
  <c r="G321" i="25"/>
  <c r="F321" i="25"/>
  <c r="K321" i="24"/>
  <c r="J321" i="24"/>
  <c r="I321" i="24"/>
  <c r="H321" i="24"/>
  <c r="G321" i="24"/>
  <c r="F321" i="24"/>
  <c r="K321" i="8"/>
  <c r="J321" i="8"/>
  <c r="I321" i="8"/>
  <c r="H321" i="8"/>
  <c r="G321" i="8"/>
  <c r="F321" i="8"/>
  <c r="K321" i="7"/>
  <c r="J321" i="7"/>
  <c r="I321" i="7"/>
  <c r="H321" i="7"/>
  <c r="G321" i="7"/>
  <c r="F321" i="7"/>
  <c r="K321" i="6"/>
  <c r="J321" i="6"/>
  <c r="I321" i="6"/>
  <c r="H321" i="6"/>
  <c r="G321" i="6"/>
  <c r="F321" i="6"/>
  <c r="K321" i="5"/>
  <c r="J321" i="5"/>
  <c r="I321" i="5"/>
  <c r="H321" i="5"/>
  <c r="G321" i="5"/>
  <c r="F321" i="5"/>
  <c r="G321" i="2"/>
  <c r="H321" i="2"/>
  <c r="I321" i="2"/>
  <c r="J321" i="2"/>
  <c r="K321" i="2"/>
  <c r="F321" i="2"/>
  <c r="F320" i="2" l="1"/>
  <c r="K325" i="13"/>
  <c r="J325" i="13"/>
  <c r="I325" i="13"/>
  <c r="H325" i="13"/>
  <c r="G325" i="13"/>
  <c r="K320" i="13"/>
  <c r="J320" i="13"/>
  <c r="I320" i="13"/>
  <c r="H320" i="13"/>
  <c r="G320" i="13"/>
  <c r="F320" i="13"/>
  <c r="K325" i="12"/>
  <c r="J325" i="12"/>
  <c r="I325" i="12"/>
  <c r="H325" i="12"/>
  <c r="G325" i="12"/>
  <c r="K320" i="12"/>
  <c r="J320" i="12"/>
  <c r="I320" i="12"/>
  <c r="H320" i="12"/>
  <c r="G320" i="12"/>
  <c r="F320" i="12"/>
  <c r="K325" i="11"/>
  <c r="J325" i="11"/>
  <c r="I325" i="11"/>
  <c r="H325" i="11"/>
  <c r="G325" i="11"/>
  <c r="K320" i="11"/>
  <c r="J320" i="11"/>
  <c r="I320" i="11"/>
  <c r="H320" i="11"/>
  <c r="G320" i="11"/>
  <c r="F320" i="11"/>
  <c r="K330" i="10"/>
  <c r="J330" i="10"/>
  <c r="I330" i="10"/>
  <c r="K329" i="10"/>
  <c r="J329" i="10"/>
  <c r="I329" i="10"/>
  <c r="K325" i="10"/>
  <c r="J325" i="10"/>
  <c r="I325" i="10"/>
  <c r="H325" i="10"/>
  <c r="G325" i="10"/>
  <c r="K320" i="10"/>
  <c r="J320" i="10"/>
  <c r="I320" i="10"/>
  <c r="H320" i="10"/>
  <c r="G320" i="10"/>
  <c r="F320" i="10"/>
  <c r="K325" i="9"/>
  <c r="J325" i="9"/>
  <c r="I325" i="9"/>
  <c r="H325" i="9"/>
  <c r="G325" i="9"/>
  <c r="K320" i="9"/>
  <c r="J320" i="9"/>
  <c r="I320" i="9"/>
  <c r="H320" i="9"/>
  <c r="G320" i="9"/>
  <c r="F320" i="9"/>
  <c r="K330" i="25"/>
  <c r="J330" i="25"/>
  <c r="I330" i="25"/>
  <c r="K329" i="25"/>
  <c r="J329" i="25"/>
  <c r="I329" i="25"/>
  <c r="K325" i="25"/>
  <c r="J325" i="25"/>
  <c r="I325" i="25"/>
  <c r="H325" i="25"/>
  <c r="G325" i="25"/>
  <c r="K320" i="25"/>
  <c r="J320" i="25"/>
  <c r="I320" i="25"/>
  <c r="H320" i="25"/>
  <c r="G320" i="25"/>
  <c r="F320" i="25"/>
  <c r="F100" i="25"/>
  <c r="K325" i="24"/>
  <c r="J325" i="24"/>
  <c r="I325" i="24"/>
  <c r="H325" i="24"/>
  <c r="G325" i="24"/>
  <c r="K320" i="24"/>
  <c r="J320" i="24"/>
  <c r="I320" i="24"/>
  <c r="H320" i="24"/>
  <c r="G320" i="24"/>
  <c r="F320" i="24"/>
  <c r="K325" i="8"/>
  <c r="J325" i="8"/>
  <c r="I325" i="8"/>
  <c r="H325" i="8"/>
  <c r="G325" i="8"/>
  <c r="K320" i="8"/>
  <c r="J320" i="8"/>
  <c r="I320" i="8"/>
  <c r="H320" i="8"/>
  <c r="G320" i="8"/>
  <c r="F320" i="8"/>
  <c r="K329" i="7"/>
  <c r="K330" i="7"/>
  <c r="J330" i="7"/>
  <c r="I330" i="7"/>
  <c r="J329" i="7"/>
  <c r="I329" i="7"/>
  <c r="K325" i="7"/>
  <c r="J325" i="7"/>
  <c r="I325" i="7"/>
  <c r="H325" i="7"/>
  <c r="G325" i="7"/>
  <c r="K329" i="6"/>
  <c r="K330" i="6"/>
  <c r="J330" i="6"/>
  <c r="I330" i="6"/>
  <c r="J329" i="6"/>
  <c r="I329" i="6"/>
  <c r="K325" i="6"/>
  <c r="J325" i="6"/>
  <c r="I325" i="6"/>
  <c r="H325" i="6"/>
  <c r="G325" i="6"/>
  <c r="I315" i="6" l="1"/>
  <c r="I314" i="6"/>
  <c r="I313" i="6"/>
  <c r="I308" i="6"/>
  <c r="I216" i="6"/>
  <c r="I172" i="6"/>
  <c r="I136" i="6"/>
  <c r="I96" i="6"/>
  <c r="I315" i="7"/>
  <c r="I314" i="7"/>
  <c r="I313" i="7"/>
  <c r="I276" i="7"/>
  <c r="I160" i="7"/>
  <c r="I315" i="8"/>
  <c r="I314" i="8"/>
  <c r="I313" i="8"/>
  <c r="I264" i="8"/>
  <c r="I248" i="8"/>
  <c r="I240" i="8"/>
  <c r="I216" i="8"/>
  <c r="I188" i="8"/>
  <c r="I160" i="8"/>
  <c r="I148" i="8"/>
  <c r="I124" i="8"/>
  <c r="I120" i="8"/>
  <c r="I315" i="24"/>
  <c r="I314" i="24"/>
  <c r="I313" i="24"/>
  <c r="I184" i="24"/>
  <c r="I168" i="24"/>
  <c r="I164" i="24"/>
  <c r="I160" i="24"/>
  <c r="I132" i="24"/>
  <c r="I112" i="24"/>
  <c r="I315" i="25"/>
  <c r="I314" i="25"/>
  <c r="I313" i="25"/>
  <c r="I292" i="25"/>
  <c r="I280" i="25"/>
  <c r="I260" i="25"/>
  <c r="I208" i="25"/>
  <c r="I204" i="25"/>
  <c r="I200" i="25"/>
  <c r="I196" i="25"/>
  <c r="I172" i="25"/>
  <c r="I160" i="25"/>
  <c r="I144" i="25"/>
  <c r="I315" i="9"/>
  <c r="I314" i="9"/>
  <c r="I313" i="9"/>
  <c r="I312" i="9"/>
  <c r="I248" i="9"/>
  <c r="I180" i="9"/>
  <c r="I140" i="9"/>
  <c r="I315" i="10"/>
  <c r="I314" i="10"/>
  <c r="I313" i="10"/>
  <c r="I312" i="10"/>
  <c r="I308" i="10"/>
  <c r="I224" i="10"/>
  <c r="I148" i="10"/>
  <c r="I315" i="11"/>
  <c r="I314" i="11"/>
  <c r="I312" i="11"/>
  <c r="I84" i="11"/>
  <c r="I80" i="11"/>
  <c r="I76" i="11"/>
  <c r="I315" i="12"/>
  <c r="I314" i="12"/>
  <c r="I313" i="12"/>
  <c r="I300" i="12"/>
  <c r="I260" i="12"/>
  <c r="I136" i="12"/>
  <c r="I92" i="12"/>
  <c r="I315" i="13"/>
  <c r="I314" i="13"/>
  <c r="I313" i="13"/>
  <c r="I200" i="13"/>
  <c r="I196" i="13"/>
  <c r="I192" i="13"/>
  <c r="I188" i="13"/>
  <c r="I168" i="13"/>
  <c r="I164" i="13"/>
  <c r="I160" i="13"/>
  <c r="I315" i="14"/>
  <c r="I314" i="14"/>
  <c r="I313" i="14"/>
  <c r="I144" i="14"/>
  <c r="I140" i="14"/>
  <c r="I315" i="15"/>
  <c r="I314" i="15"/>
  <c r="I313" i="15"/>
  <c r="I315" i="16" l="1"/>
  <c r="I314" i="16"/>
  <c r="I313" i="16"/>
  <c r="I313" i="18"/>
  <c r="I315" i="17"/>
  <c r="I314" i="17"/>
  <c r="I313" i="17"/>
  <c r="I315" i="18"/>
  <c r="I314" i="18"/>
  <c r="I315" i="19"/>
  <c r="I314" i="19"/>
  <c r="I313" i="19"/>
  <c r="I313" i="20" l="1"/>
  <c r="I315" i="20"/>
  <c r="I314" i="20"/>
  <c r="I315" i="21"/>
  <c r="I314" i="21"/>
  <c r="I313" i="21"/>
  <c r="I156" i="20"/>
  <c r="I152" i="20"/>
  <c r="J329" i="21"/>
  <c r="J330" i="21"/>
  <c r="H339" i="12" l="1"/>
  <c r="J340" i="25"/>
  <c r="H340" i="25"/>
  <c r="K340" i="22"/>
  <c r="J340" i="22"/>
  <c r="I340" i="22"/>
  <c r="H340" i="22"/>
  <c r="K339" i="22"/>
  <c r="J339" i="22"/>
  <c r="I339" i="22"/>
  <c r="H339" i="22"/>
  <c r="K335" i="22"/>
  <c r="J335" i="22"/>
  <c r="I335" i="22"/>
  <c r="K334" i="22"/>
  <c r="J334" i="22"/>
  <c r="I334" i="22"/>
  <c r="K330" i="22"/>
  <c r="J330" i="22"/>
  <c r="I330" i="22"/>
  <c r="K329" i="22"/>
  <c r="J329" i="22"/>
  <c r="I329" i="22"/>
  <c r="K340" i="21"/>
  <c r="J340" i="21"/>
  <c r="I340" i="21"/>
  <c r="H340" i="21"/>
  <c r="K339" i="21"/>
  <c r="J339" i="21"/>
  <c r="I339" i="21"/>
  <c r="H339" i="21"/>
  <c r="K335" i="21"/>
  <c r="J335" i="21"/>
  <c r="I335" i="21"/>
  <c r="K334" i="21"/>
  <c r="J334" i="21"/>
  <c r="I334" i="21"/>
  <c r="K330" i="21"/>
  <c r="I330" i="21"/>
  <c r="K329" i="21"/>
  <c r="I329" i="21"/>
  <c r="K340" i="20"/>
  <c r="J340" i="20"/>
  <c r="I340" i="20"/>
  <c r="H340" i="20"/>
  <c r="K339" i="20"/>
  <c r="J339" i="20"/>
  <c r="I339" i="20"/>
  <c r="H339" i="20"/>
  <c r="K335" i="20"/>
  <c r="J335" i="20"/>
  <c r="I335" i="20"/>
  <c r="K334" i="20"/>
  <c r="J334" i="20"/>
  <c r="I334" i="20"/>
  <c r="K330" i="20"/>
  <c r="J330" i="20"/>
  <c r="I330" i="20"/>
  <c r="K329" i="20"/>
  <c r="J329" i="20"/>
  <c r="I329" i="20"/>
  <c r="K329" i="19"/>
  <c r="K339" i="19"/>
  <c r="J339" i="19"/>
  <c r="I339" i="19"/>
  <c r="H339" i="19"/>
  <c r="K335" i="19"/>
  <c r="J335" i="19"/>
  <c r="I335" i="19"/>
  <c r="K334" i="19"/>
  <c r="J334" i="19"/>
  <c r="I334" i="19"/>
  <c r="K330" i="19"/>
  <c r="J330" i="19"/>
  <c r="I330" i="19"/>
  <c r="J329" i="19"/>
  <c r="I329" i="19"/>
  <c r="K339" i="18"/>
  <c r="J339" i="18"/>
  <c r="I339" i="18"/>
  <c r="H339" i="18"/>
  <c r="I330" i="18"/>
  <c r="I329" i="18"/>
  <c r="K340" i="17"/>
  <c r="J340" i="17"/>
  <c r="I340" i="17"/>
  <c r="H340" i="17"/>
  <c r="K339" i="17"/>
  <c r="J339" i="17"/>
  <c r="I339" i="17"/>
  <c r="H339" i="17"/>
  <c r="K335" i="17"/>
  <c r="J335" i="17"/>
  <c r="I335" i="17"/>
  <c r="K334" i="17"/>
  <c r="J334" i="17"/>
  <c r="I334" i="17"/>
  <c r="K330" i="17"/>
  <c r="J330" i="17"/>
  <c r="I330" i="17"/>
  <c r="K329" i="17"/>
  <c r="J329" i="17"/>
  <c r="I329" i="17"/>
  <c r="K340" i="16"/>
  <c r="J340" i="16"/>
  <c r="I340" i="16"/>
  <c r="H340" i="16"/>
  <c r="K339" i="16"/>
  <c r="J339" i="16"/>
  <c r="I339" i="16"/>
  <c r="H339" i="16"/>
  <c r="K335" i="16"/>
  <c r="J335" i="16"/>
  <c r="I335" i="16"/>
  <c r="K334" i="16"/>
  <c r="J334" i="16"/>
  <c r="I334" i="16"/>
  <c r="K330" i="16"/>
  <c r="J330" i="16"/>
  <c r="I330" i="16"/>
  <c r="K329" i="16"/>
  <c r="J329" i="16"/>
  <c r="K340" i="15"/>
  <c r="J340" i="15"/>
  <c r="I340" i="15"/>
  <c r="H340" i="15"/>
  <c r="K339" i="15"/>
  <c r="J339" i="15"/>
  <c r="I339" i="15"/>
  <c r="H339" i="15"/>
  <c r="K335" i="15"/>
  <c r="J335" i="15"/>
  <c r="I335" i="15"/>
  <c r="K334" i="15"/>
  <c r="J334" i="15"/>
  <c r="I334" i="15"/>
  <c r="K330" i="15"/>
  <c r="J330" i="15"/>
  <c r="I330" i="15"/>
  <c r="K329" i="15"/>
  <c r="J329" i="15"/>
  <c r="I329" i="15"/>
  <c r="K340" i="14"/>
  <c r="J340" i="14"/>
  <c r="I340" i="14"/>
  <c r="H340" i="14"/>
  <c r="K339" i="14"/>
  <c r="J339" i="14"/>
  <c r="I339" i="14"/>
  <c r="H339" i="14"/>
  <c r="K335" i="14"/>
  <c r="J335" i="14"/>
  <c r="I335" i="14"/>
  <c r="K334" i="14"/>
  <c r="J334" i="14"/>
  <c r="I334" i="14"/>
  <c r="K330" i="14"/>
  <c r="J330" i="14"/>
  <c r="I330" i="14"/>
  <c r="K329" i="14"/>
  <c r="J329" i="14"/>
  <c r="I329" i="14"/>
  <c r="K340" i="13"/>
  <c r="J340" i="13"/>
  <c r="I340" i="13"/>
  <c r="H340" i="13"/>
  <c r="K339" i="13"/>
  <c r="J339" i="13"/>
  <c r="I339" i="13"/>
  <c r="H339" i="13"/>
  <c r="K335" i="13"/>
  <c r="J335" i="13"/>
  <c r="I335" i="13"/>
  <c r="K334" i="13"/>
  <c r="J334" i="13"/>
  <c r="I334" i="13"/>
  <c r="K330" i="13"/>
  <c r="J330" i="13"/>
  <c r="I330" i="13"/>
  <c r="K329" i="13"/>
  <c r="J329" i="13"/>
  <c r="I329" i="13"/>
  <c r="K340" i="12"/>
  <c r="J340" i="12"/>
  <c r="I340" i="12"/>
  <c r="K339" i="12"/>
  <c r="J339" i="12"/>
  <c r="I339" i="12"/>
  <c r="K335" i="12"/>
  <c r="J335" i="12"/>
  <c r="I335" i="12"/>
  <c r="K334" i="12"/>
  <c r="J334" i="12"/>
  <c r="I334" i="12"/>
  <c r="K330" i="12"/>
  <c r="J330" i="12"/>
  <c r="I330" i="12"/>
  <c r="K329" i="12"/>
  <c r="J329" i="12"/>
  <c r="I329" i="12"/>
  <c r="K340" i="11"/>
  <c r="J340" i="11"/>
  <c r="I340" i="11"/>
  <c r="H340" i="11"/>
  <c r="K339" i="11"/>
  <c r="J339" i="11"/>
  <c r="I339" i="11"/>
  <c r="H339" i="11"/>
  <c r="K335" i="11"/>
  <c r="J335" i="11"/>
  <c r="I335" i="11"/>
  <c r="K334" i="11"/>
  <c r="J334" i="11"/>
  <c r="I334" i="11"/>
  <c r="K330" i="11"/>
  <c r="J330" i="11"/>
  <c r="I330" i="11"/>
  <c r="I329" i="11"/>
  <c r="K340" i="10"/>
  <c r="J340" i="10"/>
  <c r="I340" i="10"/>
  <c r="H340" i="10"/>
  <c r="K339" i="10"/>
  <c r="J339" i="10"/>
  <c r="I339" i="10"/>
  <c r="H339" i="10"/>
  <c r="K335" i="10"/>
  <c r="J335" i="10"/>
  <c r="I335" i="10"/>
  <c r="K334" i="10"/>
  <c r="J334" i="10"/>
  <c r="I334" i="10"/>
  <c r="K340" i="9"/>
  <c r="J340" i="9"/>
  <c r="I340" i="9"/>
  <c r="H340" i="9"/>
  <c r="K339" i="9"/>
  <c r="J339" i="9"/>
  <c r="I339" i="9"/>
  <c r="H339" i="9"/>
  <c r="K335" i="9"/>
  <c r="J335" i="9"/>
  <c r="I335" i="9"/>
  <c r="K334" i="9"/>
  <c r="J334" i="9"/>
  <c r="I334" i="9"/>
  <c r="K330" i="9"/>
  <c r="J330" i="9"/>
  <c r="I330" i="9"/>
  <c r="K329" i="9"/>
  <c r="J329" i="9"/>
  <c r="I329" i="9"/>
  <c r="K340" i="25"/>
  <c r="K339" i="25"/>
  <c r="J339" i="25"/>
  <c r="I339" i="25"/>
  <c r="H339" i="25"/>
  <c r="K335" i="25"/>
  <c r="J335" i="25"/>
  <c r="I335" i="25"/>
  <c r="K334" i="25"/>
  <c r="J334" i="25"/>
  <c r="I334" i="25"/>
  <c r="K340" i="24"/>
  <c r="J340" i="24"/>
  <c r="I340" i="24"/>
  <c r="H340" i="24"/>
  <c r="K339" i="24"/>
  <c r="J339" i="24"/>
  <c r="I339" i="24"/>
  <c r="H339" i="24"/>
  <c r="K335" i="24"/>
  <c r="J335" i="24"/>
  <c r="I335" i="24"/>
  <c r="K334" i="24"/>
  <c r="J334" i="24"/>
  <c r="I334" i="24"/>
  <c r="K330" i="24"/>
  <c r="J330" i="24"/>
  <c r="I330" i="24"/>
  <c r="K329" i="24"/>
  <c r="J329" i="24"/>
  <c r="I329" i="24"/>
  <c r="K329" i="8"/>
  <c r="K330" i="8"/>
  <c r="K340" i="8"/>
  <c r="J340" i="8"/>
  <c r="I340" i="8"/>
  <c r="H340" i="8"/>
  <c r="K339" i="8"/>
  <c r="J339" i="8"/>
  <c r="I339" i="8"/>
  <c r="H339" i="8"/>
  <c r="K335" i="8"/>
  <c r="J335" i="8"/>
  <c r="I335" i="8"/>
  <c r="K334" i="8"/>
  <c r="J334" i="8"/>
  <c r="I334" i="8"/>
  <c r="J330" i="8"/>
  <c r="I330" i="8"/>
  <c r="J329" i="8"/>
  <c r="I329" i="8"/>
  <c r="K340" i="7"/>
  <c r="J340" i="7"/>
  <c r="I340" i="7"/>
  <c r="H340" i="7"/>
  <c r="K339" i="7"/>
  <c r="J339" i="7"/>
  <c r="I339" i="7"/>
  <c r="H339" i="7"/>
  <c r="K335" i="7"/>
  <c r="J335" i="7"/>
  <c r="I335" i="7"/>
  <c r="K334" i="7"/>
  <c r="J334" i="7"/>
  <c r="I334" i="7"/>
  <c r="K340" i="6"/>
  <c r="J340" i="6"/>
  <c r="I340" i="6"/>
  <c r="H340" i="6"/>
  <c r="K339" i="6"/>
  <c r="J339" i="6"/>
  <c r="I339" i="6"/>
  <c r="H339" i="6"/>
  <c r="K335" i="6"/>
  <c r="J335" i="6"/>
  <c r="I335" i="6"/>
  <c r="K334" i="6"/>
  <c r="J334" i="6"/>
  <c r="I334" i="6"/>
  <c r="E345" i="6"/>
  <c r="F345" i="6"/>
  <c r="G345" i="6"/>
  <c r="H345" i="6"/>
  <c r="I345" i="6"/>
  <c r="H340" i="12" l="1"/>
  <c r="I340" i="25"/>
  <c r="F313" i="15"/>
  <c r="I313" i="2"/>
  <c r="I315" i="22" l="1"/>
  <c r="I314" i="22"/>
  <c r="I313" i="22"/>
  <c r="I312" i="22"/>
  <c r="I180" i="22"/>
  <c r="F315" i="22" l="1"/>
  <c r="F314" i="22"/>
  <c r="F313" i="22"/>
  <c r="F96" i="22"/>
  <c r="F315" i="21"/>
  <c r="F314" i="21"/>
  <c r="F313" i="21"/>
  <c r="F315" i="20"/>
  <c r="F314" i="20"/>
  <c r="F313" i="20"/>
  <c r="F192" i="20"/>
  <c r="F315" i="19"/>
  <c r="F314" i="19"/>
  <c r="F313" i="19"/>
  <c r="F240" i="19"/>
  <c r="F200" i="19"/>
  <c r="F192" i="19"/>
  <c r="F315" i="18"/>
  <c r="F314" i="18"/>
  <c r="F313" i="18"/>
  <c r="F292" i="18"/>
  <c r="F232" i="18"/>
  <c r="F192" i="18"/>
  <c r="F312" i="22"/>
  <c r="I308" i="22"/>
  <c r="F308" i="22"/>
  <c r="I304" i="22"/>
  <c r="F304" i="22"/>
  <c r="I300" i="22"/>
  <c r="F300" i="22"/>
  <c r="I296" i="22"/>
  <c r="F296" i="22"/>
  <c r="I292" i="22"/>
  <c r="F292" i="22"/>
  <c r="I288" i="22"/>
  <c r="F288" i="22"/>
  <c r="I284" i="22"/>
  <c r="F284" i="22"/>
  <c r="I280" i="22"/>
  <c r="F280" i="22"/>
  <c r="I276" i="22"/>
  <c r="F276" i="22"/>
  <c r="I272" i="22"/>
  <c r="F272" i="22"/>
  <c r="I268" i="22"/>
  <c r="F268" i="22"/>
  <c r="I264" i="22"/>
  <c r="F264" i="22"/>
  <c r="I260" i="22"/>
  <c r="F260" i="22"/>
  <c r="I256" i="22"/>
  <c r="F256" i="22"/>
  <c r="I252" i="22"/>
  <c r="F252" i="22"/>
  <c r="I248" i="22"/>
  <c r="F248" i="22"/>
  <c r="I244" i="22"/>
  <c r="F244" i="22"/>
  <c r="I240" i="22"/>
  <c r="F240" i="22"/>
  <c r="I236" i="22"/>
  <c r="F236" i="22"/>
  <c r="I228" i="22"/>
  <c r="I220" i="22"/>
  <c r="F220" i="22"/>
  <c r="I216" i="22"/>
  <c r="F216" i="22"/>
  <c r="I212" i="22"/>
  <c r="F212" i="22"/>
  <c r="I208" i="22"/>
  <c r="F208" i="22"/>
  <c r="I204" i="22"/>
  <c r="F204" i="22"/>
  <c r="I200" i="22"/>
  <c r="F200" i="22"/>
  <c r="I196" i="22"/>
  <c r="F196" i="22"/>
  <c r="I192" i="22"/>
  <c r="I188" i="22"/>
  <c r="F188" i="22"/>
  <c r="I184" i="22"/>
  <c r="F184" i="22"/>
  <c r="F180" i="22"/>
  <c r="I176" i="22"/>
  <c r="F176" i="22"/>
  <c r="I172" i="22"/>
  <c r="F172" i="22"/>
  <c r="I168" i="22"/>
  <c r="F168" i="22"/>
  <c r="I164" i="22"/>
  <c r="F164" i="22"/>
  <c r="I160" i="22"/>
  <c r="F160" i="22"/>
  <c r="I156" i="22"/>
  <c r="F156" i="22"/>
  <c r="I152" i="22"/>
  <c r="F152" i="22"/>
  <c r="I148" i="22"/>
  <c r="F148" i="22"/>
  <c r="I144" i="22"/>
  <c r="F144" i="22"/>
  <c r="I140" i="22"/>
  <c r="F140" i="22"/>
  <c r="I136" i="22"/>
  <c r="F136" i="22"/>
  <c r="I132" i="22"/>
  <c r="F132" i="22"/>
  <c r="I128" i="22"/>
  <c r="F128" i="22"/>
  <c r="I124" i="22"/>
  <c r="F124" i="22"/>
  <c r="I120" i="22"/>
  <c r="F120" i="22"/>
  <c r="I116" i="22"/>
  <c r="F116" i="22"/>
  <c r="I112" i="22"/>
  <c r="F112" i="22"/>
  <c r="I108" i="22"/>
  <c r="F108" i="22"/>
  <c r="I104" i="22"/>
  <c r="F104" i="22"/>
  <c r="I100" i="22"/>
  <c r="F100" i="22"/>
  <c r="I96" i="22"/>
  <c r="I92" i="22"/>
  <c r="F92" i="22"/>
  <c r="I88" i="22"/>
  <c r="F88" i="22"/>
  <c r="I84" i="22"/>
  <c r="F84" i="22"/>
  <c r="I80" i="22"/>
  <c r="F80" i="22"/>
  <c r="I76" i="22"/>
  <c r="F76" i="22"/>
  <c r="I72" i="22"/>
  <c r="F72" i="22"/>
  <c r="F68" i="22"/>
  <c r="I312" i="21"/>
  <c r="F312" i="21"/>
  <c r="I308" i="21"/>
  <c r="F308" i="21"/>
  <c r="I304" i="21"/>
  <c r="F304" i="21"/>
  <c r="I300" i="21"/>
  <c r="F300" i="21"/>
  <c r="I296" i="21"/>
  <c r="F296" i="21"/>
  <c r="I292" i="21"/>
  <c r="F292" i="21"/>
  <c r="I288" i="21"/>
  <c r="F288" i="21"/>
  <c r="I284" i="21"/>
  <c r="F284" i="21"/>
  <c r="I280" i="21"/>
  <c r="F280" i="21"/>
  <c r="I276" i="21"/>
  <c r="F276" i="21"/>
  <c r="I272" i="21"/>
  <c r="F272" i="21"/>
  <c r="I268" i="21"/>
  <c r="F268" i="21"/>
  <c r="I264" i="21"/>
  <c r="F264" i="21"/>
  <c r="I260" i="21"/>
  <c r="F260" i="21"/>
  <c r="I256" i="21"/>
  <c r="F256" i="21"/>
  <c r="I252" i="21"/>
  <c r="F252" i="21"/>
  <c r="I248" i="21"/>
  <c r="F248" i="21"/>
  <c r="I244" i="21"/>
  <c r="F244" i="21"/>
  <c r="I240" i="21"/>
  <c r="F240" i="21"/>
  <c r="I236" i="21"/>
  <c r="F236" i="21"/>
  <c r="I224" i="21"/>
  <c r="I220" i="21"/>
  <c r="F220" i="21"/>
  <c r="I216" i="21"/>
  <c r="F216" i="21"/>
  <c r="I212" i="21"/>
  <c r="F212" i="21"/>
  <c r="I208" i="21"/>
  <c r="F208" i="21"/>
  <c r="I204" i="21"/>
  <c r="F204" i="21"/>
  <c r="I200" i="21"/>
  <c r="F200" i="21"/>
  <c r="I196" i="21"/>
  <c r="F196" i="21"/>
  <c r="I192" i="21"/>
  <c r="I188" i="21"/>
  <c r="F188" i="21"/>
  <c r="I184" i="21"/>
  <c r="F184" i="21"/>
  <c r="I180" i="21"/>
  <c r="F180" i="21"/>
  <c r="I176" i="21"/>
  <c r="F176" i="21"/>
  <c r="I172" i="21"/>
  <c r="F172" i="21"/>
  <c r="I168" i="21"/>
  <c r="F168" i="21"/>
  <c r="I164" i="21"/>
  <c r="F164" i="21"/>
  <c r="I160" i="21"/>
  <c r="F160" i="21"/>
  <c r="I156" i="21"/>
  <c r="F156" i="21"/>
  <c r="I152" i="21"/>
  <c r="F152" i="21"/>
  <c r="I148" i="21"/>
  <c r="F148" i="21"/>
  <c r="I144" i="21"/>
  <c r="F144" i="21"/>
  <c r="I140" i="21"/>
  <c r="F140" i="21"/>
  <c r="I136" i="21"/>
  <c r="F136" i="21"/>
  <c r="I132" i="21"/>
  <c r="F132" i="21"/>
  <c r="I128" i="21"/>
  <c r="F128" i="21"/>
  <c r="I124" i="21"/>
  <c r="F124" i="21"/>
  <c r="I120" i="21"/>
  <c r="F120" i="21"/>
  <c r="I116" i="21"/>
  <c r="F116" i="21"/>
  <c r="I112" i="21"/>
  <c r="F112" i="21"/>
  <c r="I108" i="21"/>
  <c r="F108" i="21"/>
  <c r="I104" i="21"/>
  <c r="F104" i="21"/>
  <c r="I100" i="21"/>
  <c r="F100" i="21"/>
  <c r="I96" i="21"/>
  <c r="F96" i="21"/>
  <c r="I92" i="21"/>
  <c r="F92" i="21"/>
  <c r="I88" i="21"/>
  <c r="F88" i="21"/>
  <c r="I84" i="21"/>
  <c r="F84" i="21"/>
  <c r="I80" i="21"/>
  <c r="F80" i="21"/>
  <c r="I76" i="21"/>
  <c r="F76" i="21"/>
  <c r="I72" i="21"/>
  <c r="F72" i="21"/>
  <c r="F68" i="21"/>
  <c r="I312" i="20"/>
  <c r="F312" i="20"/>
  <c r="I308" i="20"/>
  <c r="F308" i="20"/>
  <c r="I304" i="20"/>
  <c r="F304" i="20"/>
  <c r="I300" i="20"/>
  <c r="F300" i="20"/>
  <c r="I296" i="20"/>
  <c r="F296" i="20"/>
  <c r="I292" i="20"/>
  <c r="F292" i="20"/>
  <c r="I288" i="20"/>
  <c r="F288" i="20"/>
  <c r="I284" i="20"/>
  <c r="F284" i="20"/>
  <c r="I280" i="20"/>
  <c r="F280" i="20"/>
  <c r="I276" i="20"/>
  <c r="F276" i="20"/>
  <c r="I272" i="20"/>
  <c r="F272" i="20"/>
  <c r="I268" i="20"/>
  <c r="F268" i="20"/>
  <c r="I264" i="20"/>
  <c r="F264" i="20"/>
  <c r="I260" i="20"/>
  <c r="F260" i="20"/>
  <c r="I256" i="20"/>
  <c r="F256" i="20"/>
  <c r="I252" i="20"/>
  <c r="F252" i="20"/>
  <c r="I248" i="20"/>
  <c r="F248" i="20"/>
  <c r="I244" i="20"/>
  <c r="F244" i="20"/>
  <c r="I240" i="20"/>
  <c r="F240" i="20"/>
  <c r="I236" i="20"/>
  <c r="F236" i="20"/>
  <c r="I224" i="20"/>
  <c r="I220" i="20"/>
  <c r="F220" i="20"/>
  <c r="I216" i="20"/>
  <c r="F216" i="20"/>
  <c r="I212" i="20"/>
  <c r="F212" i="20"/>
  <c r="I208" i="20"/>
  <c r="F208" i="20"/>
  <c r="I204" i="20"/>
  <c r="F204" i="20"/>
  <c r="I200" i="20"/>
  <c r="F200" i="20"/>
  <c r="I196" i="20"/>
  <c r="F196" i="20"/>
  <c r="I192" i="20"/>
  <c r="I188" i="20"/>
  <c r="F188" i="20"/>
  <c r="I184" i="20"/>
  <c r="F184" i="20"/>
  <c r="I180" i="20"/>
  <c r="F180" i="20"/>
  <c r="I176" i="20"/>
  <c r="F176" i="20"/>
  <c r="I172" i="20"/>
  <c r="F172" i="20"/>
  <c r="I168" i="20"/>
  <c r="F168" i="20"/>
  <c r="I164" i="20"/>
  <c r="F164" i="20"/>
  <c r="I160" i="20"/>
  <c r="F160" i="20"/>
  <c r="F156" i="20"/>
  <c r="F152" i="20"/>
  <c r="I148" i="20"/>
  <c r="F148" i="20"/>
  <c r="I144" i="20"/>
  <c r="F144" i="20"/>
  <c r="I140" i="20"/>
  <c r="F140" i="20"/>
  <c r="I136" i="20"/>
  <c r="F136" i="20"/>
  <c r="I132" i="20"/>
  <c r="F132" i="20"/>
  <c r="I128" i="20"/>
  <c r="F128" i="20"/>
  <c r="I124" i="20"/>
  <c r="I120" i="20"/>
  <c r="F120" i="20"/>
  <c r="I116" i="20"/>
  <c r="F116" i="20"/>
  <c r="I112" i="20"/>
  <c r="F112" i="20"/>
  <c r="I108" i="20"/>
  <c r="F108" i="20"/>
  <c r="I104" i="20"/>
  <c r="F104" i="20"/>
  <c r="I100" i="20"/>
  <c r="F100" i="20"/>
  <c r="I96" i="20"/>
  <c r="F96" i="20"/>
  <c r="I92" i="20"/>
  <c r="F92" i="20"/>
  <c r="I88" i="20"/>
  <c r="F88" i="20"/>
  <c r="I84" i="20"/>
  <c r="F84" i="20"/>
  <c r="I80" i="20"/>
  <c r="F80" i="20"/>
  <c r="I76" i="20"/>
  <c r="F76" i="20"/>
  <c r="I72" i="20"/>
  <c r="F72" i="20"/>
  <c r="F68" i="20"/>
  <c r="I312" i="19"/>
  <c r="F312" i="19"/>
  <c r="I308" i="19"/>
  <c r="F308" i="19"/>
  <c r="I304" i="19"/>
  <c r="F304" i="19"/>
  <c r="I300" i="19"/>
  <c r="F300" i="19"/>
  <c r="I296" i="19"/>
  <c r="F296" i="19"/>
  <c r="I292" i="19"/>
  <c r="F292" i="19"/>
  <c r="I288" i="19"/>
  <c r="F288" i="19"/>
  <c r="I284" i="19"/>
  <c r="F284" i="19"/>
  <c r="I280" i="19"/>
  <c r="F280" i="19"/>
  <c r="I276" i="19"/>
  <c r="F276" i="19"/>
  <c r="I272" i="19"/>
  <c r="F272" i="19"/>
  <c r="I268" i="19"/>
  <c r="F268" i="19"/>
  <c r="I264" i="19"/>
  <c r="F264" i="19"/>
  <c r="I260" i="19"/>
  <c r="F260" i="19"/>
  <c r="I256" i="19"/>
  <c r="F256" i="19"/>
  <c r="I252" i="19"/>
  <c r="F252" i="19"/>
  <c r="I248" i="19"/>
  <c r="F248" i="19"/>
  <c r="I244" i="19"/>
  <c r="F244" i="19"/>
  <c r="I240" i="19"/>
  <c r="I236" i="19"/>
  <c r="F236" i="19"/>
  <c r="I232" i="19"/>
  <c r="I228" i="19"/>
  <c r="I224" i="19"/>
  <c r="F224" i="19"/>
  <c r="I220" i="19"/>
  <c r="F220" i="19"/>
  <c r="I216" i="19"/>
  <c r="F216" i="19"/>
  <c r="I212" i="19"/>
  <c r="F212" i="19"/>
  <c r="I208" i="19"/>
  <c r="F208" i="19"/>
  <c r="I204" i="19"/>
  <c r="F204" i="19"/>
  <c r="I200" i="19"/>
  <c r="I196" i="19"/>
  <c r="F196" i="19"/>
  <c r="I192" i="19"/>
  <c r="I188" i="19"/>
  <c r="F188" i="19"/>
  <c r="I184" i="19"/>
  <c r="F184" i="19"/>
  <c r="I180" i="19"/>
  <c r="F180" i="19"/>
  <c r="I176" i="19"/>
  <c r="F176" i="19"/>
  <c r="I172" i="19"/>
  <c r="F172" i="19"/>
  <c r="I168" i="19"/>
  <c r="F168" i="19"/>
  <c r="I164" i="19"/>
  <c r="F164" i="19"/>
  <c r="I160" i="19"/>
  <c r="F160" i="19"/>
  <c r="I156" i="19"/>
  <c r="F156" i="19"/>
  <c r="I152" i="19"/>
  <c r="F152" i="19"/>
  <c r="I148" i="19"/>
  <c r="F148" i="19"/>
  <c r="I144" i="19"/>
  <c r="F144" i="19"/>
  <c r="I140" i="19"/>
  <c r="F140" i="19"/>
  <c r="I136" i="19"/>
  <c r="F136" i="19"/>
  <c r="I132" i="19"/>
  <c r="F132" i="19"/>
  <c r="I128" i="19"/>
  <c r="F128" i="19"/>
  <c r="I124" i="19"/>
  <c r="F124" i="19"/>
  <c r="I120" i="19"/>
  <c r="F120" i="19"/>
  <c r="I116" i="19"/>
  <c r="F116" i="19"/>
  <c r="I112" i="19"/>
  <c r="F112" i="19"/>
  <c r="I108" i="19"/>
  <c r="F108" i="19"/>
  <c r="I104" i="19"/>
  <c r="F104" i="19"/>
  <c r="I100" i="19"/>
  <c r="F100" i="19"/>
  <c r="I96" i="19"/>
  <c r="F96" i="19"/>
  <c r="I92" i="19"/>
  <c r="F92" i="19"/>
  <c r="I88" i="19"/>
  <c r="F88" i="19"/>
  <c r="I84" i="19"/>
  <c r="F84" i="19"/>
  <c r="I80" i="19"/>
  <c r="F80" i="19"/>
  <c r="I76" i="19"/>
  <c r="F76" i="19"/>
  <c r="I72" i="19"/>
  <c r="F72" i="19"/>
  <c r="F68" i="19"/>
  <c r="F315" i="17"/>
  <c r="F313" i="17"/>
  <c r="F192" i="17"/>
  <c r="F315" i="16"/>
  <c r="F314" i="16"/>
  <c r="F313" i="16"/>
  <c r="F304" i="16"/>
  <c r="F308" i="16"/>
  <c r="F232" i="16"/>
  <c r="F192" i="16"/>
  <c r="F112" i="16"/>
  <c r="I312" i="18"/>
  <c r="F312" i="18"/>
  <c r="I308" i="18"/>
  <c r="F308" i="18"/>
  <c r="I304" i="18"/>
  <c r="F304" i="18"/>
  <c r="I300" i="18"/>
  <c r="F300" i="18"/>
  <c r="I296" i="18"/>
  <c r="F296" i="18"/>
  <c r="I292" i="18"/>
  <c r="I288" i="18"/>
  <c r="F288" i="18"/>
  <c r="I284" i="18"/>
  <c r="F284" i="18"/>
  <c r="I280" i="18"/>
  <c r="F280" i="18"/>
  <c r="I276" i="18"/>
  <c r="F276" i="18"/>
  <c r="I272" i="18"/>
  <c r="F272" i="18"/>
  <c r="I268" i="18"/>
  <c r="F268" i="18"/>
  <c r="I264" i="18"/>
  <c r="F264" i="18"/>
  <c r="I260" i="18"/>
  <c r="F260" i="18"/>
  <c r="I256" i="18"/>
  <c r="F256" i="18"/>
  <c r="I252" i="18"/>
  <c r="F252" i="18"/>
  <c r="I248" i="18"/>
  <c r="F248" i="18"/>
  <c r="I244" i="18"/>
  <c r="F244" i="18"/>
  <c r="I240" i="18"/>
  <c r="F240" i="18"/>
  <c r="I236" i="18"/>
  <c r="F236" i="18"/>
  <c r="I232" i="18"/>
  <c r="I224" i="18"/>
  <c r="F224" i="18"/>
  <c r="I220" i="18"/>
  <c r="F220" i="18"/>
  <c r="I216" i="18"/>
  <c r="F216" i="18"/>
  <c r="I212" i="18"/>
  <c r="F212" i="18"/>
  <c r="I208" i="18"/>
  <c r="F208" i="18"/>
  <c r="I204" i="18"/>
  <c r="F204" i="18"/>
  <c r="I200" i="18"/>
  <c r="F200" i="18"/>
  <c r="I196" i="18"/>
  <c r="F196" i="18"/>
  <c r="I192" i="18"/>
  <c r="I188" i="18"/>
  <c r="F188" i="18"/>
  <c r="I184" i="18"/>
  <c r="F184" i="18"/>
  <c r="I180" i="18"/>
  <c r="F180" i="18"/>
  <c r="I176" i="18"/>
  <c r="F176" i="18"/>
  <c r="I172" i="18"/>
  <c r="F172" i="18"/>
  <c r="I168" i="18"/>
  <c r="F168" i="18"/>
  <c r="I164" i="18"/>
  <c r="F164" i="18"/>
  <c r="I160" i="18"/>
  <c r="F160" i="18"/>
  <c r="I156" i="18"/>
  <c r="F156" i="18"/>
  <c r="I152" i="18"/>
  <c r="F152" i="18"/>
  <c r="I148" i="18"/>
  <c r="F148" i="18"/>
  <c r="I144" i="18"/>
  <c r="F144" i="18"/>
  <c r="I140" i="18"/>
  <c r="F140" i="18"/>
  <c r="I136" i="18"/>
  <c r="F136" i="18"/>
  <c r="I132" i="18"/>
  <c r="F132" i="18"/>
  <c r="I128" i="18"/>
  <c r="F128" i="18"/>
  <c r="I124" i="18"/>
  <c r="F124" i="18"/>
  <c r="I120" i="18"/>
  <c r="F120" i="18"/>
  <c r="I116" i="18"/>
  <c r="F116" i="18"/>
  <c r="I112" i="18"/>
  <c r="F112" i="18"/>
  <c r="I108" i="18"/>
  <c r="F108" i="18"/>
  <c r="I104" i="18"/>
  <c r="F104" i="18"/>
  <c r="I100" i="18"/>
  <c r="F100" i="18"/>
  <c r="I96" i="18"/>
  <c r="F96" i="18"/>
  <c r="I92" i="18"/>
  <c r="F92" i="18"/>
  <c r="I88" i="18"/>
  <c r="F88" i="18"/>
  <c r="I84" i="18"/>
  <c r="F84" i="18"/>
  <c r="I80" i="18"/>
  <c r="F80" i="18"/>
  <c r="I76" i="18"/>
  <c r="F76" i="18"/>
  <c r="I72" i="18"/>
  <c r="F72" i="18"/>
  <c r="F68" i="18"/>
  <c r="F314" i="17"/>
  <c r="I312" i="17"/>
  <c r="F312" i="17"/>
  <c r="I308" i="17"/>
  <c r="F308" i="17"/>
  <c r="I304" i="17"/>
  <c r="F304" i="17"/>
  <c r="I300" i="17"/>
  <c r="F300" i="17"/>
  <c r="I296" i="17"/>
  <c r="F296" i="17"/>
  <c r="I292" i="17"/>
  <c r="F292" i="17"/>
  <c r="I288" i="17"/>
  <c r="F288" i="17"/>
  <c r="I284" i="17"/>
  <c r="F284" i="17"/>
  <c r="I280" i="17"/>
  <c r="F280" i="17"/>
  <c r="I276" i="17"/>
  <c r="F276" i="17"/>
  <c r="I272" i="17"/>
  <c r="F272" i="17"/>
  <c r="I268" i="17"/>
  <c r="F268" i="17"/>
  <c r="I264" i="17"/>
  <c r="F264" i="17"/>
  <c r="I260" i="17"/>
  <c r="F260" i="17"/>
  <c r="I256" i="17"/>
  <c r="F256" i="17"/>
  <c r="I252" i="17"/>
  <c r="F252" i="17"/>
  <c r="I248" i="17"/>
  <c r="F248" i="17"/>
  <c r="I244" i="17"/>
  <c r="F244" i="17"/>
  <c r="I240" i="17"/>
  <c r="F240" i="17"/>
  <c r="I236" i="17"/>
  <c r="F236" i="17"/>
  <c r="I232" i="17"/>
  <c r="I228" i="17"/>
  <c r="I224" i="17"/>
  <c r="F224" i="17"/>
  <c r="I220" i="17"/>
  <c r="F220" i="17"/>
  <c r="I216" i="17"/>
  <c r="F216" i="17"/>
  <c r="I212" i="17"/>
  <c r="F212" i="17"/>
  <c r="I208" i="17"/>
  <c r="F208" i="17"/>
  <c r="I204" i="17"/>
  <c r="F204" i="17"/>
  <c r="I200" i="17"/>
  <c r="F200" i="17"/>
  <c r="I196" i="17"/>
  <c r="F196" i="17"/>
  <c r="I192" i="17"/>
  <c r="I188" i="17"/>
  <c r="F188" i="17"/>
  <c r="I184" i="17"/>
  <c r="F184" i="17"/>
  <c r="I180" i="17"/>
  <c r="F180" i="17"/>
  <c r="I176" i="17"/>
  <c r="F176" i="17"/>
  <c r="I172" i="17"/>
  <c r="F172" i="17"/>
  <c r="I168" i="17"/>
  <c r="F168" i="17"/>
  <c r="I164" i="17"/>
  <c r="F164" i="17"/>
  <c r="I160" i="17"/>
  <c r="F160" i="17"/>
  <c r="I156" i="17"/>
  <c r="F156" i="17"/>
  <c r="I152" i="17"/>
  <c r="F152" i="17"/>
  <c r="I148" i="17"/>
  <c r="F148" i="17"/>
  <c r="I144" i="17"/>
  <c r="F144" i="17"/>
  <c r="I140" i="17"/>
  <c r="F140" i="17"/>
  <c r="I136" i="17"/>
  <c r="F136" i="17"/>
  <c r="I132" i="17"/>
  <c r="F132" i="17"/>
  <c r="I128" i="17"/>
  <c r="F128" i="17"/>
  <c r="I124" i="17"/>
  <c r="F124" i="17"/>
  <c r="I120" i="17"/>
  <c r="F120" i="17"/>
  <c r="I116" i="17"/>
  <c r="F116" i="17"/>
  <c r="I112" i="17"/>
  <c r="F112" i="17"/>
  <c r="I108" i="17"/>
  <c r="F108" i="17"/>
  <c r="I104" i="17"/>
  <c r="F104" i="17"/>
  <c r="I100" i="17"/>
  <c r="F100" i="17"/>
  <c r="I96" i="17"/>
  <c r="F96" i="17"/>
  <c r="I92" i="17"/>
  <c r="F92" i="17"/>
  <c r="I88" i="17"/>
  <c r="F88" i="17"/>
  <c r="I84" i="17"/>
  <c r="F84" i="17"/>
  <c r="I80" i="17"/>
  <c r="F80" i="17"/>
  <c r="I76" i="17"/>
  <c r="F76" i="17"/>
  <c r="I72" i="17"/>
  <c r="F72" i="17"/>
  <c r="F68" i="17"/>
  <c r="I312" i="16"/>
  <c r="F312" i="16"/>
  <c r="I308" i="16"/>
  <c r="I304" i="16"/>
  <c r="I300" i="16"/>
  <c r="F300" i="16"/>
  <c r="I296" i="16"/>
  <c r="F296" i="16"/>
  <c r="I292" i="16"/>
  <c r="F292" i="16"/>
  <c r="I288" i="16"/>
  <c r="F288" i="16"/>
  <c r="I284" i="16"/>
  <c r="F284" i="16"/>
  <c r="I280" i="16"/>
  <c r="F280" i="16"/>
  <c r="I276" i="16"/>
  <c r="F276" i="16"/>
  <c r="I272" i="16"/>
  <c r="F272" i="16"/>
  <c r="I268" i="16"/>
  <c r="F268" i="16"/>
  <c r="I264" i="16"/>
  <c r="F264" i="16"/>
  <c r="I260" i="16"/>
  <c r="F260" i="16"/>
  <c r="I256" i="16"/>
  <c r="F256" i="16"/>
  <c r="I252" i="16"/>
  <c r="F252" i="16"/>
  <c r="I248" i="16"/>
  <c r="F248" i="16"/>
  <c r="I244" i="16"/>
  <c r="F244" i="16"/>
  <c r="I240" i="16"/>
  <c r="F240" i="16"/>
  <c r="I236" i="16"/>
  <c r="F236" i="16"/>
  <c r="I232" i="16"/>
  <c r="I228" i="16"/>
  <c r="I224" i="16"/>
  <c r="F224" i="16"/>
  <c r="I220" i="16"/>
  <c r="F220" i="16"/>
  <c r="I216" i="16"/>
  <c r="F216" i="16"/>
  <c r="I212" i="16"/>
  <c r="F212" i="16"/>
  <c r="I208" i="16"/>
  <c r="F208" i="16"/>
  <c r="I204" i="16"/>
  <c r="F204" i="16"/>
  <c r="I200" i="16"/>
  <c r="F200" i="16"/>
  <c r="I196" i="16"/>
  <c r="F196" i="16"/>
  <c r="I192" i="16"/>
  <c r="I188" i="16"/>
  <c r="F188" i="16"/>
  <c r="I184" i="16"/>
  <c r="F184" i="16"/>
  <c r="I180" i="16"/>
  <c r="F180" i="16"/>
  <c r="I176" i="16"/>
  <c r="F176" i="16"/>
  <c r="I172" i="16"/>
  <c r="F172" i="16"/>
  <c r="I168" i="16"/>
  <c r="F168" i="16"/>
  <c r="I164" i="16"/>
  <c r="F164" i="16"/>
  <c r="I160" i="16"/>
  <c r="F160" i="16"/>
  <c r="I156" i="16"/>
  <c r="F156" i="16"/>
  <c r="I152" i="16"/>
  <c r="F152" i="16"/>
  <c r="I148" i="16"/>
  <c r="F148" i="16"/>
  <c r="I144" i="16"/>
  <c r="F144" i="16"/>
  <c r="I140" i="16"/>
  <c r="F140" i="16"/>
  <c r="I136" i="16"/>
  <c r="F136" i="16"/>
  <c r="I132" i="16"/>
  <c r="F132" i="16"/>
  <c r="I128" i="16"/>
  <c r="F128" i="16"/>
  <c r="I124" i="16"/>
  <c r="F124" i="16"/>
  <c r="I120" i="16"/>
  <c r="F120" i="16"/>
  <c r="I116" i="16"/>
  <c r="F116" i="16"/>
  <c r="I112" i="16"/>
  <c r="I108" i="16"/>
  <c r="F108" i="16"/>
  <c r="I104" i="16"/>
  <c r="F104" i="16"/>
  <c r="I100" i="16"/>
  <c r="F100" i="16"/>
  <c r="I96" i="16"/>
  <c r="F96" i="16"/>
  <c r="I92" i="16"/>
  <c r="F92" i="16"/>
  <c r="I88" i="16"/>
  <c r="F88" i="16"/>
  <c r="I84" i="16"/>
  <c r="F84" i="16"/>
  <c r="I80" i="16"/>
  <c r="F80" i="16"/>
  <c r="I76" i="16"/>
  <c r="F76" i="16"/>
  <c r="I72" i="16"/>
  <c r="F72" i="16"/>
  <c r="F68" i="16"/>
  <c r="F315" i="15"/>
  <c r="F314" i="15"/>
  <c r="F248" i="15"/>
  <c r="F315" i="14"/>
  <c r="F314" i="14"/>
  <c r="F313" i="14"/>
  <c r="F112" i="14"/>
  <c r="F76" i="14"/>
  <c r="I312" i="15"/>
  <c r="F312" i="15"/>
  <c r="I308" i="15"/>
  <c r="F308" i="15"/>
  <c r="I304" i="15"/>
  <c r="F304" i="15"/>
  <c r="I300" i="15"/>
  <c r="F300" i="15"/>
  <c r="I296" i="15"/>
  <c r="F296" i="15"/>
  <c r="I292" i="15"/>
  <c r="F292" i="15"/>
  <c r="I288" i="15"/>
  <c r="F288" i="15"/>
  <c r="I284" i="15"/>
  <c r="F284" i="15"/>
  <c r="I280" i="15"/>
  <c r="F280" i="15"/>
  <c r="I276" i="15"/>
  <c r="F276" i="15"/>
  <c r="I272" i="15"/>
  <c r="F272" i="15"/>
  <c r="I268" i="15"/>
  <c r="F268" i="15"/>
  <c r="I264" i="15"/>
  <c r="F264" i="15"/>
  <c r="I260" i="15"/>
  <c r="F260" i="15"/>
  <c r="I256" i="15"/>
  <c r="F256" i="15"/>
  <c r="I252" i="15"/>
  <c r="F252" i="15"/>
  <c r="I248" i="15"/>
  <c r="I244" i="15"/>
  <c r="F244" i="15"/>
  <c r="I240" i="15"/>
  <c r="F240" i="15"/>
  <c r="I236" i="15"/>
  <c r="F236" i="15"/>
  <c r="I232" i="15"/>
  <c r="I228" i="15"/>
  <c r="I224" i="15"/>
  <c r="F224" i="15"/>
  <c r="I220" i="15"/>
  <c r="F220" i="15"/>
  <c r="I216" i="15"/>
  <c r="F216" i="15"/>
  <c r="I212" i="15"/>
  <c r="F212" i="15"/>
  <c r="I208" i="15"/>
  <c r="F208" i="15"/>
  <c r="I204" i="15"/>
  <c r="F204" i="15"/>
  <c r="I200" i="15"/>
  <c r="F200" i="15"/>
  <c r="I196" i="15"/>
  <c r="F196" i="15"/>
  <c r="I192" i="15"/>
  <c r="I188" i="15"/>
  <c r="F188" i="15"/>
  <c r="I184" i="15"/>
  <c r="F184" i="15"/>
  <c r="I180" i="15"/>
  <c r="F180" i="15"/>
  <c r="I176" i="15"/>
  <c r="F176" i="15"/>
  <c r="I172" i="15"/>
  <c r="F172" i="15"/>
  <c r="I168" i="15"/>
  <c r="F168" i="15"/>
  <c r="I164" i="15"/>
  <c r="F164" i="15"/>
  <c r="I160" i="15"/>
  <c r="F160" i="15"/>
  <c r="I156" i="15"/>
  <c r="F156" i="15"/>
  <c r="I152" i="15"/>
  <c r="F152" i="15"/>
  <c r="I148" i="15"/>
  <c r="F148" i="15"/>
  <c r="I144" i="15"/>
  <c r="F144" i="15"/>
  <c r="I140" i="15"/>
  <c r="F140" i="15"/>
  <c r="I136" i="15"/>
  <c r="F136" i="15"/>
  <c r="I132" i="15"/>
  <c r="F132" i="15"/>
  <c r="I128" i="15"/>
  <c r="F128" i="15"/>
  <c r="I124" i="15"/>
  <c r="F124" i="15"/>
  <c r="I120" i="15"/>
  <c r="F120" i="15"/>
  <c r="I116" i="15"/>
  <c r="F116" i="15"/>
  <c r="I112" i="15"/>
  <c r="F112" i="15"/>
  <c r="I108" i="15"/>
  <c r="F108" i="15"/>
  <c r="I104" i="15"/>
  <c r="F104" i="15"/>
  <c r="I100" i="15"/>
  <c r="F100" i="15"/>
  <c r="I96" i="15"/>
  <c r="F96" i="15"/>
  <c r="I92" i="15"/>
  <c r="F92" i="15"/>
  <c r="I88" i="15"/>
  <c r="F88" i="15"/>
  <c r="I84" i="15"/>
  <c r="F84" i="15"/>
  <c r="I80" i="15"/>
  <c r="F80" i="15"/>
  <c r="I76" i="15"/>
  <c r="F76" i="15"/>
  <c r="I72" i="15"/>
  <c r="F72" i="15"/>
  <c r="F68" i="15"/>
  <c r="I312" i="14"/>
  <c r="F312" i="14"/>
  <c r="I308" i="14"/>
  <c r="F308" i="14"/>
  <c r="I304" i="14"/>
  <c r="F304" i="14"/>
  <c r="I300" i="14"/>
  <c r="F300" i="14"/>
  <c r="I296" i="14"/>
  <c r="F296" i="14"/>
  <c r="I292" i="14"/>
  <c r="F292" i="14"/>
  <c r="I288" i="14"/>
  <c r="F288" i="14"/>
  <c r="I284" i="14"/>
  <c r="F284" i="14"/>
  <c r="I280" i="14"/>
  <c r="F280" i="14"/>
  <c r="I276" i="14"/>
  <c r="F276" i="14"/>
  <c r="I272" i="14"/>
  <c r="F272" i="14"/>
  <c r="I268" i="14"/>
  <c r="F268" i="14"/>
  <c r="I264" i="14"/>
  <c r="F264" i="14"/>
  <c r="I260" i="14"/>
  <c r="F260" i="14"/>
  <c r="I256" i="14"/>
  <c r="F256" i="14"/>
  <c r="I252" i="14"/>
  <c r="F252" i="14"/>
  <c r="I248" i="14"/>
  <c r="F248" i="14"/>
  <c r="I244" i="14"/>
  <c r="F244" i="14"/>
  <c r="I240" i="14"/>
  <c r="F240" i="14"/>
  <c r="I236" i="14"/>
  <c r="F236" i="14"/>
  <c r="I232" i="14"/>
  <c r="F232" i="14"/>
  <c r="I228" i="14"/>
  <c r="I224" i="14"/>
  <c r="F224" i="14"/>
  <c r="I220" i="14"/>
  <c r="F220" i="14"/>
  <c r="I216" i="14"/>
  <c r="F216" i="14"/>
  <c r="I212" i="14"/>
  <c r="F212" i="14"/>
  <c r="I208" i="14"/>
  <c r="F208" i="14"/>
  <c r="I204" i="14"/>
  <c r="F204" i="14"/>
  <c r="I200" i="14"/>
  <c r="F200" i="14"/>
  <c r="I196" i="14"/>
  <c r="F196" i="14"/>
  <c r="I192" i="14"/>
  <c r="I188" i="14"/>
  <c r="F188" i="14"/>
  <c r="I184" i="14"/>
  <c r="F184" i="14"/>
  <c r="I180" i="14"/>
  <c r="F180" i="14"/>
  <c r="I176" i="14"/>
  <c r="F176" i="14"/>
  <c r="I172" i="14"/>
  <c r="F172" i="14"/>
  <c r="I168" i="14"/>
  <c r="F168" i="14"/>
  <c r="I164" i="14"/>
  <c r="F164" i="14"/>
  <c r="I160" i="14"/>
  <c r="F160" i="14"/>
  <c r="I156" i="14"/>
  <c r="F156" i="14"/>
  <c r="I152" i="14"/>
  <c r="F152" i="14"/>
  <c r="I148" i="14"/>
  <c r="F148" i="14"/>
  <c r="F144" i="14"/>
  <c r="F140" i="14"/>
  <c r="I136" i="14"/>
  <c r="F136" i="14"/>
  <c r="I132" i="14"/>
  <c r="F132" i="14"/>
  <c r="I128" i="14"/>
  <c r="F128" i="14"/>
  <c r="I124" i="14"/>
  <c r="F124" i="14"/>
  <c r="I120" i="14"/>
  <c r="F120" i="14"/>
  <c r="I116" i="14"/>
  <c r="F116" i="14"/>
  <c r="I112" i="14"/>
  <c r="I108" i="14"/>
  <c r="F108" i="14"/>
  <c r="I104" i="14"/>
  <c r="F104" i="14"/>
  <c r="I100" i="14"/>
  <c r="F100" i="14"/>
  <c r="I96" i="14"/>
  <c r="F96" i="14"/>
  <c r="I92" i="14"/>
  <c r="F92" i="14"/>
  <c r="I88" i="14"/>
  <c r="F88" i="14"/>
  <c r="I84" i="14"/>
  <c r="F84" i="14"/>
  <c r="I80" i="14"/>
  <c r="F80" i="14"/>
  <c r="I76" i="14"/>
  <c r="I72" i="14"/>
  <c r="F72" i="14"/>
  <c r="F68" i="14"/>
  <c r="F315" i="13"/>
  <c r="F314" i="13"/>
  <c r="F313" i="13"/>
  <c r="F232" i="13"/>
  <c r="I312" i="13"/>
  <c r="F312" i="13"/>
  <c r="I308" i="13"/>
  <c r="F308" i="13"/>
  <c r="I304" i="13"/>
  <c r="F304" i="13"/>
  <c r="I300" i="13"/>
  <c r="F300" i="13"/>
  <c r="I296" i="13"/>
  <c r="F296" i="13"/>
  <c r="I292" i="13"/>
  <c r="F292" i="13"/>
  <c r="I288" i="13"/>
  <c r="F288" i="13"/>
  <c r="I284" i="13"/>
  <c r="F284" i="13"/>
  <c r="I280" i="13"/>
  <c r="F280" i="13"/>
  <c r="I276" i="13"/>
  <c r="F276" i="13"/>
  <c r="I272" i="13"/>
  <c r="F272" i="13"/>
  <c r="I268" i="13"/>
  <c r="F268" i="13"/>
  <c r="I264" i="13"/>
  <c r="F264" i="13"/>
  <c r="I260" i="13"/>
  <c r="F260" i="13"/>
  <c r="I256" i="13"/>
  <c r="F256" i="13"/>
  <c r="I252" i="13"/>
  <c r="F252" i="13"/>
  <c r="I248" i="13"/>
  <c r="F248" i="13"/>
  <c r="I244" i="13"/>
  <c r="F244" i="13"/>
  <c r="I240" i="13"/>
  <c r="F240" i="13"/>
  <c r="I236" i="13"/>
  <c r="F236" i="13"/>
  <c r="I232" i="13"/>
  <c r="I228" i="13"/>
  <c r="I224" i="13"/>
  <c r="F224" i="13"/>
  <c r="I220" i="13"/>
  <c r="F220" i="13"/>
  <c r="I216" i="13"/>
  <c r="F216" i="13"/>
  <c r="I212" i="13"/>
  <c r="F212" i="13"/>
  <c r="I208" i="13"/>
  <c r="F208" i="13"/>
  <c r="I204" i="13"/>
  <c r="F204" i="13"/>
  <c r="F200" i="13"/>
  <c r="F196" i="13"/>
  <c r="F192" i="13"/>
  <c r="F188" i="13"/>
  <c r="I184" i="13"/>
  <c r="F184" i="13"/>
  <c r="I180" i="13"/>
  <c r="F180" i="13"/>
  <c r="I176" i="13"/>
  <c r="F176" i="13"/>
  <c r="I172" i="13"/>
  <c r="F172" i="13"/>
  <c r="F168" i="13"/>
  <c r="F164" i="13"/>
  <c r="F160" i="13"/>
  <c r="I156" i="13"/>
  <c r="F156" i="13"/>
  <c r="I152" i="13"/>
  <c r="F152" i="13"/>
  <c r="I148" i="13"/>
  <c r="F148" i="13"/>
  <c r="I144" i="13"/>
  <c r="F144" i="13"/>
  <c r="I140" i="13"/>
  <c r="F140" i="13"/>
  <c r="I136" i="13"/>
  <c r="F136" i="13"/>
  <c r="I132" i="13"/>
  <c r="F132" i="13"/>
  <c r="I128" i="13"/>
  <c r="F128" i="13"/>
  <c r="I124" i="13"/>
  <c r="F124" i="13"/>
  <c r="I120" i="13"/>
  <c r="F120" i="13"/>
  <c r="I116" i="13"/>
  <c r="F116" i="13"/>
  <c r="I112" i="13"/>
  <c r="F112" i="13"/>
  <c r="I108" i="13"/>
  <c r="F108" i="13"/>
  <c r="I104" i="13"/>
  <c r="F104" i="13"/>
  <c r="I100" i="13"/>
  <c r="F100" i="13"/>
  <c r="I96" i="13"/>
  <c r="F96" i="13"/>
  <c r="I92" i="13"/>
  <c r="F92" i="13"/>
  <c r="I88" i="13"/>
  <c r="F88" i="13"/>
  <c r="I84" i="13"/>
  <c r="F84" i="13"/>
  <c r="I80" i="13"/>
  <c r="F80" i="13"/>
  <c r="I76" i="13"/>
  <c r="F76" i="13"/>
  <c r="I72" i="13"/>
  <c r="F72" i="13"/>
  <c r="F68" i="13"/>
  <c r="F315" i="12"/>
  <c r="F314" i="12"/>
  <c r="F313" i="12"/>
  <c r="F308" i="12"/>
  <c r="F256" i="12"/>
  <c r="F192" i="12"/>
  <c r="I312" i="12"/>
  <c r="F312" i="12"/>
  <c r="I308" i="12"/>
  <c r="I304" i="12"/>
  <c r="F304" i="12"/>
  <c r="F300" i="12"/>
  <c r="I296" i="12"/>
  <c r="F296" i="12"/>
  <c r="I292" i="12"/>
  <c r="F292" i="12"/>
  <c r="I288" i="12"/>
  <c r="F288" i="12"/>
  <c r="I284" i="12"/>
  <c r="F284" i="12"/>
  <c r="I280" i="12"/>
  <c r="F280" i="12"/>
  <c r="I276" i="12"/>
  <c r="F276" i="12"/>
  <c r="I272" i="12"/>
  <c r="F272" i="12"/>
  <c r="I268" i="12"/>
  <c r="F268" i="12"/>
  <c r="I264" i="12"/>
  <c r="F264" i="12"/>
  <c r="F260" i="12"/>
  <c r="I256" i="12"/>
  <c r="I252" i="12"/>
  <c r="F252" i="12"/>
  <c r="I248" i="12"/>
  <c r="F248" i="12"/>
  <c r="I244" i="12"/>
  <c r="F244" i="12"/>
  <c r="I240" i="12"/>
  <c r="F240" i="12"/>
  <c r="I236" i="12"/>
  <c r="F236" i="12"/>
  <c r="I232" i="12"/>
  <c r="I228" i="12"/>
  <c r="I224" i="12"/>
  <c r="F224" i="12"/>
  <c r="I220" i="12"/>
  <c r="F220" i="12"/>
  <c r="I216" i="12"/>
  <c r="F216" i="12"/>
  <c r="I212" i="12"/>
  <c r="F212" i="12"/>
  <c r="I208" i="12"/>
  <c r="F208" i="12"/>
  <c r="I204" i="12"/>
  <c r="F204" i="12"/>
  <c r="I200" i="12"/>
  <c r="F200" i="12"/>
  <c r="I196" i="12"/>
  <c r="F196" i="12"/>
  <c r="I192" i="12"/>
  <c r="I188" i="12"/>
  <c r="F188" i="12"/>
  <c r="I184" i="12"/>
  <c r="F184" i="12"/>
  <c r="I180" i="12"/>
  <c r="F180" i="12"/>
  <c r="I176" i="12"/>
  <c r="F176" i="12"/>
  <c r="I172" i="12"/>
  <c r="F172" i="12"/>
  <c r="I168" i="12"/>
  <c r="F168" i="12"/>
  <c r="I164" i="12"/>
  <c r="F164" i="12"/>
  <c r="I160" i="12"/>
  <c r="F160" i="12"/>
  <c r="I156" i="12"/>
  <c r="F156" i="12"/>
  <c r="I152" i="12"/>
  <c r="F152" i="12"/>
  <c r="I148" i="12"/>
  <c r="F148" i="12"/>
  <c r="I144" i="12"/>
  <c r="F144" i="12"/>
  <c r="I140" i="12"/>
  <c r="F140" i="12"/>
  <c r="F136" i="12"/>
  <c r="I132" i="12"/>
  <c r="F132" i="12"/>
  <c r="I128" i="12"/>
  <c r="F128" i="12"/>
  <c r="I124" i="12"/>
  <c r="F124" i="12"/>
  <c r="I120" i="12"/>
  <c r="F120" i="12"/>
  <c r="I116" i="12"/>
  <c r="F116" i="12"/>
  <c r="I112" i="12"/>
  <c r="F112" i="12"/>
  <c r="I108" i="12"/>
  <c r="F108" i="12"/>
  <c r="I104" i="12"/>
  <c r="F104" i="12"/>
  <c r="I100" i="12"/>
  <c r="F100" i="12"/>
  <c r="I96" i="12"/>
  <c r="F96" i="12"/>
  <c r="F92" i="12"/>
  <c r="I88" i="12"/>
  <c r="F88" i="12"/>
  <c r="I84" i="12"/>
  <c r="F84" i="12"/>
  <c r="I80" i="12"/>
  <c r="F80" i="12"/>
  <c r="I76" i="12"/>
  <c r="F76" i="12"/>
  <c r="I72" i="12"/>
  <c r="F72" i="12"/>
  <c r="F68" i="12"/>
  <c r="F315" i="11"/>
  <c r="F314" i="11"/>
  <c r="F313" i="11"/>
  <c r="F128" i="11"/>
  <c r="I313" i="11"/>
  <c r="F312" i="11"/>
  <c r="I308" i="11"/>
  <c r="F308" i="11"/>
  <c r="I304" i="11"/>
  <c r="F304" i="11"/>
  <c r="I300" i="11"/>
  <c r="F300" i="11"/>
  <c r="I296" i="11"/>
  <c r="F296" i="11"/>
  <c r="I292" i="11"/>
  <c r="F292" i="11"/>
  <c r="I288" i="11"/>
  <c r="F288" i="11"/>
  <c r="I284" i="11"/>
  <c r="F284" i="11"/>
  <c r="I280" i="11"/>
  <c r="F280" i="11"/>
  <c r="I276" i="11"/>
  <c r="F276" i="11"/>
  <c r="I272" i="11"/>
  <c r="F272" i="11"/>
  <c r="I268" i="11"/>
  <c r="F268" i="11"/>
  <c r="I264" i="11"/>
  <c r="F264" i="11"/>
  <c r="I260" i="11"/>
  <c r="F260" i="11"/>
  <c r="I256" i="11"/>
  <c r="F256" i="11"/>
  <c r="I252" i="11"/>
  <c r="F252" i="11"/>
  <c r="I248" i="11"/>
  <c r="F248" i="11"/>
  <c r="I244" i="11"/>
  <c r="F244" i="11"/>
  <c r="I240" i="11"/>
  <c r="F240" i="11"/>
  <c r="I236" i="11"/>
  <c r="F236" i="11"/>
  <c r="I232" i="11"/>
  <c r="F232" i="11"/>
  <c r="I228" i="11"/>
  <c r="I224" i="11"/>
  <c r="F224" i="11"/>
  <c r="I220" i="11"/>
  <c r="F220" i="11"/>
  <c r="I216" i="11"/>
  <c r="F216" i="11"/>
  <c r="I212" i="11"/>
  <c r="F212" i="11"/>
  <c r="I208" i="11"/>
  <c r="F208" i="11"/>
  <c r="I204" i="11"/>
  <c r="F204" i="11"/>
  <c r="I200" i="11"/>
  <c r="F200" i="11"/>
  <c r="I196" i="11"/>
  <c r="F196" i="11"/>
  <c r="I192" i="11"/>
  <c r="I188" i="11"/>
  <c r="F188" i="11"/>
  <c r="I184" i="11"/>
  <c r="F184" i="11"/>
  <c r="I180" i="11"/>
  <c r="F180" i="11"/>
  <c r="I176" i="11"/>
  <c r="F176" i="11"/>
  <c r="I172" i="11"/>
  <c r="F172" i="11"/>
  <c r="I168" i="11"/>
  <c r="F168" i="11"/>
  <c r="I164" i="11"/>
  <c r="F164" i="11"/>
  <c r="I160" i="11"/>
  <c r="F160" i="11"/>
  <c r="I156" i="11"/>
  <c r="F156" i="11"/>
  <c r="I152" i="11"/>
  <c r="F152" i="11"/>
  <c r="I148" i="11"/>
  <c r="F148" i="11"/>
  <c r="I144" i="11"/>
  <c r="F144" i="11"/>
  <c r="I140" i="11"/>
  <c r="F140" i="11"/>
  <c r="I136" i="11"/>
  <c r="F136" i="11"/>
  <c r="I132" i="11"/>
  <c r="F132" i="11"/>
  <c r="I128" i="11"/>
  <c r="I124" i="11"/>
  <c r="F124" i="11"/>
  <c r="I120" i="11"/>
  <c r="F120" i="11"/>
  <c r="I116" i="11"/>
  <c r="F116" i="11"/>
  <c r="I112" i="11"/>
  <c r="F112" i="11"/>
  <c r="I108" i="11"/>
  <c r="F108" i="11"/>
  <c r="I104" i="11"/>
  <c r="F104" i="11"/>
  <c r="I100" i="11"/>
  <c r="F100" i="11"/>
  <c r="I96" i="11"/>
  <c r="F96" i="11"/>
  <c r="I92" i="11"/>
  <c r="F92" i="11"/>
  <c r="I88" i="11"/>
  <c r="F88" i="11"/>
  <c r="F84" i="11"/>
  <c r="F80" i="11"/>
  <c r="F76" i="11"/>
  <c r="I72" i="11"/>
  <c r="F72" i="11"/>
  <c r="F68" i="11"/>
  <c r="F315" i="10"/>
  <c r="F314" i="10"/>
  <c r="F313" i="10"/>
  <c r="F224" i="10"/>
  <c r="F232" i="10"/>
  <c r="F76" i="10"/>
  <c r="F80" i="10"/>
  <c r="F312" i="10"/>
  <c r="F308" i="10"/>
  <c r="I304" i="10"/>
  <c r="F304" i="10"/>
  <c r="I300" i="10"/>
  <c r="F300" i="10"/>
  <c r="I296" i="10"/>
  <c r="F296" i="10"/>
  <c r="I292" i="10"/>
  <c r="F292" i="10"/>
  <c r="I288" i="10"/>
  <c r="F288" i="10"/>
  <c r="I284" i="10"/>
  <c r="F284" i="10"/>
  <c r="I280" i="10"/>
  <c r="F280" i="10"/>
  <c r="I276" i="10"/>
  <c r="F276" i="10"/>
  <c r="I272" i="10"/>
  <c r="F272" i="10"/>
  <c r="I268" i="10"/>
  <c r="F268" i="10"/>
  <c r="I264" i="10"/>
  <c r="F264" i="10"/>
  <c r="I260" i="10"/>
  <c r="F260" i="10"/>
  <c r="I256" i="10"/>
  <c r="F256" i="10"/>
  <c r="I252" i="10"/>
  <c r="F252" i="10"/>
  <c r="I248" i="10"/>
  <c r="F248" i="10"/>
  <c r="I244" i="10"/>
  <c r="F244" i="10"/>
  <c r="I240" i="10"/>
  <c r="F240" i="10"/>
  <c r="I236" i="10"/>
  <c r="F236" i="10"/>
  <c r="I232" i="10"/>
  <c r="I228" i="10"/>
  <c r="I220" i="10"/>
  <c r="F220" i="10"/>
  <c r="I216" i="10"/>
  <c r="F216" i="10"/>
  <c r="I212" i="10"/>
  <c r="F212" i="10"/>
  <c r="I208" i="10"/>
  <c r="F208" i="10"/>
  <c r="I204" i="10"/>
  <c r="F204" i="10"/>
  <c r="I200" i="10"/>
  <c r="F200" i="10"/>
  <c r="I196" i="10"/>
  <c r="F196" i="10"/>
  <c r="I192" i="10"/>
  <c r="F192" i="10"/>
  <c r="I188" i="10"/>
  <c r="F188" i="10"/>
  <c r="I184" i="10"/>
  <c r="F184" i="10"/>
  <c r="I180" i="10"/>
  <c r="F180" i="10"/>
  <c r="I176" i="10"/>
  <c r="F176" i="10"/>
  <c r="I172" i="10"/>
  <c r="F172" i="10"/>
  <c r="I168" i="10"/>
  <c r="F168" i="10"/>
  <c r="I164" i="10"/>
  <c r="F164" i="10"/>
  <c r="I160" i="10"/>
  <c r="F160" i="10"/>
  <c r="I156" i="10"/>
  <c r="F156" i="10"/>
  <c r="I152" i="10"/>
  <c r="F152" i="10"/>
  <c r="F148" i="10"/>
  <c r="I144" i="10"/>
  <c r="F144" i="10"/>
  <c r="I140" i="10"/>
  <c r="F140" i="10"/>
  <c r="I136" i="10"/>
  <c r="F136" i="10"/>
  <c r="I132" i="10"/>
  <c r="F132" i="10"/>
  <c r="I128" i="10"/>
  <c r="F128" i="10"/>
  <c r="I124" i="10"/>
  <c r="F124" i="10"/>
  <c r="I120" i="10"/>
  <c r="F120" i="10"/>
  <c r="I116" i="10"/>
  <c r="F116" i="10"/>
  <c r="I112" i="10"/>
  <c r="F112" i="10"/>
  <c r="I108" i="10"/>
  <c r="F108" i="10"/>
  <c r="I104" i="10"/>
  <c r="F104" i="10"/>
  <c r="I100" i="10"/>
  <c r="F100" i="10"/>
  <c r="I96" i="10"/>
  <c r="F96" i="10"/>
  <c r="I92" i="10"/>
  <c r="F92" i="10"/>
  <c r="I88" i="10"/>
  <c r="F88" i="10"/>
  <c r="I84" i="10"/>
  <c r="F84" i="10"/>
  <c r="I80" i="10"/>
  <c r="I76" i="10"/>
  <c r="I72" i="10"/>
  <c r="F72" i="10"/>
  <c r="F68" i="10"/>
  <c r="F315" i="9"/>
  <c r="F314" i="9"/>
  <c r="F313" i="9"/>
  <c r="F312" i="9"/>
  <c r="I308" i="9"/>
  <c r="F308" i="9"/>
  <c r="I304" i="9"/>
  <c r="F304" i="9"/>
  <c r="I300" i="9"/>
  <c r="F300" i="9"/>
  <c r="I296" i="9"/>
  <c r="F296" i="9"/>
  <c r="I292" i="9"/>
  <c r="F292" i="9"/>
  <c r="I288" i="9"/>
  <c r="F288" i="9"/>
  <c r="I284" i="9"/>
  <c r="F284" i="9"/>
  <c r="I280" i="9"/>
  <c r="F280" i="9"/>
  <c r="I276" i="9"/>
  <c r="F276" i="9"/>
  <c r="I272" i="9"/>
  <c r="F272" i="9"/>
  <c r="I268" i="9"/>
  <c r="F268" i="9"/>
  <c r="I264" i="9"/>
  <c r="F264" i="9"/>
  <c r="I260" i="9"/>
  <c r="F260" i="9"/>
  <c r="I256" i="9"/>
  <c r="F256" i="9"/>
  <c r="I252" i="9"/>
  <c r="F252" i="9"/>
  <c r="F248" i="9"/>
  <c r="I244" i="9"/>
  <c r="F244" i="9"/>
  <c r="I240" i="9"/>
  <c r="F240" i="9"/>
  <c r="I236" i="9"/>
  <c r="F236" i="9"/>
  <c r="I232" i="9"/>
  <c r="I228" i="9"/>
  <c r="I224" i="9"/>
  <c r="F224" i="9"/>
  <c r="I220" i="9"/>
  <c r="F220" i="9"/>
  <c r="I216" i="9"/>
  <c r="F216" i="9"/>
  <c r="I212" i="9"/>
  <c r="F212" i="9"/>
  <c r="I208" i="9"/>
  <c r="F208" i="9"/>
  <c r="I204" i="9"/>
  <c r="F204" i="9"/>
  <c r="I200" i="9"/>
  <c r="F200" i="9"/>
  <c r="I196" i="9"/>
  <c r="F196" i="9"/>
  <c r="I192" i="9"/>
  <c r="F192" i="9"/>
  <c r="I188" i="9"/>
  <c r="F188" i="9"/>
  <c r="I184" i="9"/>
  <c r="F184" i="9"/>
  <c r="F180" i="9"/>
  <c r="I176" i="9"/>
  <c r="F176" i="9"/>
  <c r="I172" i="9"/>
  <c r="F172" i="9"/>
  <c r="I168" i="9"/>
  <c r="F168" i="9"/>
  <c r="I164" i="9"/>
  <c r="F164" i="9"/>
  <c r="I160" i="9"/>
  <c r="F160" i="9"/>
  <c r="I156" i="9"/>
  <c r="F156" i="9"/>
  <c r="I152" i="9"/>
  <c r="F152" i="9"/>
  <c r="I148" i="9"/>
  <c r="F148" i="9"/>
  <c r="I144" i="9"/>
  <c r="F144" i="9"/>
  <c r="F140" i="9"/>
  <c r="I136" i="9"/>
  <c r="F136" i="9"/>
  <c r="I132" i="9"/>
  <c r="F132" i="9"/>
  <c r="I128" i="9"/>
  <c r="F128" i="9"/>
  <c r="I124" i="9"/>
  <c r="F124" i="9"/>
  <c r="I120" i="9"/>
  <c r="F120" i="9"/>
  <c r="I116" i="9"/>
  <c r="F116" i="9"/>
  <c r="I112" i="9"/>
  <c r="F112" i="9"/>
  <c r="I108" i="9"/>
  <c r="F108" i="9"/>
  <c r="I104" i="9"/>
  <c r="F104" i="9"/>
  <c r="I100" i="9"/>
  <c r="F100" i="9"/>
  <c r="I96" i="9"/>
  <c r="F96" i="9"/>
  <c r="I92" i="9"/>
  <c r="F92" i="9"/>
  <c r="I88" i="9"/>
  <c r="F88" i="9"/>
  <c r="I84" i="9"/>
  <c r="F84" i="9"/>
  <c r="I80" i="9"/>
  <c r="F80" i="9"/>
  <c r="I76" i="9"/>
  <c r="F76" i="9"/>
  <c r="I72" i="9"/>
  <c r="F72" i="9"/>
  <c r="F68" i="9"/>
  <c r="F315" i="25"/>
  <c r="F314" i="25"/>
  <c r="F313" i="25"/>
  <c r="F192" i="25"/>
  <c r="I312" i="25"/>
  <c r="F312" i="25"/>
  <c r="I308" i="25"/>
  <c r="F308" i="25"/>
  <c r="I304" i="25"/>
  <c r="F304" i="25"/>
  <c r="I300" i="25"/>
  <c r="F300" i="25"/>
  <c r="I296" i="25"/>
  <c r="F296" i="25"/>
  <c r="F292" i="25"/>
  <c r="I288" i="25"/>
  <c r="F288" i="25"/>
  <c r="I284" i="25"/>
  <c r="F284" i="25"/>
  <c r="F280" i="25"/>
  <c r="I276" i="25"/>
  <c r="F276" i="25"/>
  <c r="I272" i="25"/>
  <c r="F272" i="25"/>
  <c r="I268" i="25"/>
  <c r="F268" i="25"/>
  <c r="I264" i="25"/>
  <c r="F264" i="25"/>
  <c r="F260" i="25"/>
  <c r="I256" i="25"/>
  <c r="F256" i="25"/>
  <c r="I252" i="25"/>
  <c r="F252" i="25"/>
  <c r="I248" i="25"/>
  <c r="F248" i="25"/>
  <c r="I244" i="25"/>
  <c r="F244" i="25"/>
  <c r="I240" i="25"/>
  <c r="F240" i="25"/>
  <c r="I236" i="25"/>
  <c r="F236" i="25"/>
  <c r="I232" i="25"/>
  <c r="F232" i="25"/>
  <c r="I228" i="25"/>
  <c r="I224" i="25"/>
  <c r="F224" i="25"/>
  <c r="I220" i="25"/>
  <c r="F220" i="25"/>
  <c r="I216" i="25"/>
  <c r="F216" i="25"/>
  <c r="I212" i="25"/>
  <c r="F212" i="25"/>
  <c r="F208" i="25"/>
  <c r="F204" i="25"/>
  <c r="F200" i="25"/>
  <c r="F196" i="25"/>
  <c r="I192" i="25"/>
  <c r="I188" i="25"/>
  <c r="F188" i="25"/>
  <c r="I184" i="25"/>
  <c r="F184" i="25"/>
  <c r="I180" i="25"/>
  <c r="F180" i="25"/>
  <c r="I176" i="25"/>
  <c r="F176" i="25"/>
  <c r="F172" i="25"/>
  <c r="I168" i="25"/>
  <c r="F168" i="25"/>
  <c r="I164" i="25"/>
  <c r="F164" i="25"/>
  <c r="F160" i="25"/>
  <c r="I156" i="25"/>
  <c r="F156" i="25"/>
  <c r="I152" i="25"/>
  <c r="F152" i="25"/>
  <c r="I148" i="25"/>
  <c r="F148" i="25"/>
  <c r="F144" i="25"/>
  <c r="I140" i="25"/>
  <c r="F140" i="25"/>
  <c r="I136" i="25"/>
  <c r="F136" i="25"/>
  <c r="I132" i="25"/>
  <c r="F132" i="25"/>
  <c r="I128" i="25"/>
  <c r="F128" i="25"/>
  <c r="I124" i="25"/>
  <c r="F124" i="25"/>
  <c r="I120" i="25"/>
  <c r="F120" i="25"/>
  <c r="I116" i="25"/>
  <c r="F116" i="25"/>
  <c r="I112" i="25"/>
  <c r="F112" i="25"/>
  <c r="I108" i="25"/>
  <c r="F108" i="25"/>
  <c r="I104" i="25"/>
  <c r="F104" i="25"/>
  <c r="I100" i="25"/>
  <c r="I96" i="25"/>
  <c r="F96" i="25"/>
  <c r="I92" i="25"/>
  <c r="F92" i="25"/>
  <c r="I88" i="25"/>
  <c r="F88" i="25"/>
  <c r="I84" i="25"/>
  <c r="F84" i="25"/>
  <c r="I80" i="25"/>
  <c r="F80" i="25"/>
  <c r="I76" i="25"/>
  <c r="F76" i="25"/>
  <c r="I72" i="25"/>
  <c r="F72" i="25"/>
  <c r="F68" i="25"/>
  <c r="F315" i="24"/>
  <c r="F314" i="24"/>
  <c r="F313" i="24"/>
  <c r="F188" i="24"/>
  <c r="F104" i="24"/>
  <c r="I312" i="24"/>
  <c r="F312" i="24"/>
  <c r="I308" i="24"/>
  <c r="F308" i="24"/>
  <c r="I304" i="24"/>
  <c r="F304" i="24"/>
  <c r="I300" i="24"/>
  <c r="F300" i="24"/>
  <c r="I296" i="24"/>
  <c r="F296" i="24"/>
  <c r="I292" i="24"/>
  <c r="F292" i="24"/>
  <c r="I288" i="24"/>
  <c r="F288" i="24"/>
  <c r="I284" i="24"/>
  <c r="F284" i="24"/>
  <c r="I280" i="24"/>
  <c r="F280" i="24"/>
  <c r="I276" i="24"/>
  <c r="F276" i="24"/>
  <c r="I272" i="24"/>
  <c r="F272" i="24"/>
  <c r="I268" i="24"/>
  <c r="F268" i="24"/>
  <c r="I264" i="24"/>
  <c r="F264" i="24"/>
  <c r="I260" i="24"/>
  <c r="F260" i="24"/>
  <c r="I256" i="24"/>
  <c r="F256" i="24"/>
  <c r="I252" i="24"/>
  <c r="F252" i="24"/>
  <c r="I248" i="24"/>
  <c r="F248" i="24"/>
  <c r="I244" i="24"/>
  <c r="F244" i="24"/>
  <c r="I240" i="24"/>
  <c r="F240" i="24"/>
  <c r="I236" i="24"/>
  <c r="F236" i="24"/>
  <c r="I232" i="24"/>
  <c r="F232" i="24"/>
  <c r="I228" i="24"/>
  <c r="I224" i="24"/>
  <c r="F224" i="24"/>
  <c r="I220" i="24"/>
  <c r="F220" i="24"/>
  <c r="I216" i="24"/>
  <c r="F216" i="24"/>
  <c r="I212" i="24"/>
  <c r="F212" i="24"/>
  <c r="I208" i="24"/>
  <c r="F208" i="24"/>
  <c r="I204" i="24"/>
  <c r="F204" i="24"/>
  <c r="I200" i="24"/>
  <c r="F200" i="24"/>
  <c r="I196" i="24"/>
  <c r="F196" i="24"/>
  <c r="I192" i="24"/>
  <c r="I188" i="24"/>
  <c r="F184" i="24"/>
  <c r="I180" i="24"/>
  <c r="F180" i="24"/>
  <c r="I176" i="24"/>
  <c r="F176" i="24"/>
  <c r="I172" i="24"/>
  <c r="F172" i="24"/>
  <c r="F168" i="24"/>
  <c r="F164" i="24"/>
  <c r="F160" i="24"/>
  <c r="I156" i="24"/>
  <c r="F156" i="24"/>
  <c r="I152" i="24"/>
  <c r="F152" i="24"/>
  <c r="I148" i="24"/>
  <c r="F148" i="24"/>
  <c r="I144" i="24"/>
  <c r="F144" i="24"/>
  <c r="I140" i="24"/>
  <c r="F140" i="24"/>
  <c r="I136" i="24"/>
  <c r="F136" i="24"/>
  <c r="F132" i="24"/>
  <c r="I128" i="24"/>
  <c r="F128" i="24"/>
  <c r="I124" i="24"/>
  <c r="F124" i="24"/>
  <c r="I120" i="24"/>
  <c r="F120" i="24"/>
  <c r="I116" i="24"/>
  <c r="F116" i="24"/>
  <c r="F112" i="24"/>
  <c r="I108" i="24"/>
  <c r="F108" i="24"/>
  <c r="I104" i="24"/>
  <c r="I100" i="24"/>
  <c r="F100" i="24"/>
  <c r="I96" i="24"/>
  <c r="F96" i="24"/>
  <c r="I92" i="24"/>
  <c r="F92" i="24"/>
  <c r="I88" i="24"/>
  <c r="F88" i="24"/>
  <c r="I84" i="24"/>
  <c r="F84" i="24"/>
  <c r="I80" i="24"/>
  <c r="F80" i="24"/>
  <c r="I76" i="24"/>
  <c r="F76" i="24"/>
  <c r="I72" i="24"/>
  <c r="F72" i="24"/>
  <c r="F304" i="8"/>
  <c r="F132" i="8"/>
  <c r="F315" i="8"/>
  <c r="F314" i="8"/>
  <c r="F313" i="8"/>
  <c r="I312" i="8"/>
  <c r="F312" i="8"/>
  <c r="I308" i="8"/>
  <c r="F308" i="8"/>
  <c r="I304" i="8"/>
  <c r="I300" i="8"/>
  <c r="F300" i="8"/>
  <c r="I296" i="8"/>
  <c r="F296" i="8"/>
  <c r="I292" i="8"/>
  <c r="F292" i="8"/>
  <c r="I288" i="8"/>
  <c r="F288" i="8"/>
  <c r="I284" i="8"/>
  <c r="F284" i="8"/>
  <c r="I280" i="8"/>
  <c r="F280" i="8"/>
  <c r="I276" i="8"/>
  <c r="F276" i="8"/>
  <c r="I272" i="8"/>
  <c r="F272" i="8"/>
  <c r="I268" i="8"/>
  <c r="F268" i="8"/>
  <c r="F264" i="8"/>
  <c r="I260" i="8"/>
  <c r="F260" i="8"/>
  <c r="I256" i="8"/>
  <c r="F256" i="8"/>
  <c r="I252" i="8"/>
  <c r="F252" i="8"/>
  <c r="F248" i="8"/>
  <c r="I244" i="8"/>
  <c r="F244" i="8"/>
  <c r="F240" i="8"/>
  <c r="I236" i="8"/>
  <c r="F236" i="8"/>
  <c r="I232" i="8"/>
  <c r="F232" i="8"/>
  <c r="I228" i="8"/>
  <c r="I224" i="8"/>
  <c r="F224" i="8"/>
  <c r="I220" i="8"/>
  <c r="F220" i="8"/>
  <c r="F216" i="8"/>
  <c r="I212" i="8"/>
  <c r="F212" i="8"/>
  <c r="I208" i="8"/>
  <c r="F208" i="8"/>
  <c r="I204" i="8"/>
  <c r="F204" i="8"/>
  <c r="I200" i="8"/>
  <c r="F200" i="8"/>
  <c r="I196" i="8"/>
  <c r="F196" i="8"/>
  <c r="I192" i="8"/>
  <c r="F192" i="8"/>
  <c r="F188" i="8"/>
  <c r="I184" i="8"/>
  <c r="F184" i="8"/>
  <c r="I180" i="8"/>
  <c r="F180" i="8"/>
  <c r="I176" i="8"/>
  <c r="F176" i="8"/>
  <c r="I172" i="8"/>
  <c r="F172" i="8"/>
  <c r="I168" i="8"/>
  <c r="F168" i="8"/>
  <c r="I164" i="8"/>
  <c r="F164" i="8"/>
  <c r="F160" i="8"/>
  <c r="I156" i="8"/>
  <c r="F156" i="8"/>
  <c r="I152" i="8"/>
  <c r="F152" i="8"/>
  <c r="F148" i="8"/>
  <c r="I144" i="8"/>
  <c r="F144" i="8"/>
  <c r="I140" i="8"/>
  <c r="F140" i="8"/>
  <c r="I136" i="8"/>
  <c r="F136" i="8"/>
  <c r="I132" i="8"/>
  <c r="I128" i="8"/>
  <c r="F128" i="8"/>
  <c r="F124" i="8"/>
  <c r="F120" i="8"/>
  <c r="I116" i="8"/>
  <c r="F116" i="8"/>
  <c r="I112" i="8"/>
  <c r="F112" i="8"/>
  <c r="I108" i="8"/>
  <c r="F108" i="8"/>
  <c r="I104" i="8"/>
  <c r="F104" i="8"/>
  <c r="I100" i="8"/>
  <c r="F100" i="8"/>
  <c r="I96" i="8"/>
  <c r="F96" i="8"/>
  <c r="I92" i="8"/>
  <c r="F92" i="8"/>
  <c r="I88" i="8"/>
  <c r="F88" i="8"/>
  <c r="I84" i="8"/>
  <c r="F84" i="8"/>
  <c r="I80" i="8"/>
  <c r="F80" i="8"/>
  <c r="I76" i="8"/>
  <c r="F76" i="8"/>
  <c r="I72" i="8"/>
  <c r="F72" i="8"/>
  <c r="F68" i="8"/>
  <c r="F315" i="7"/>
  <c r="F314" i="7"/>
  <c r="F313" i="7"/>
  <c r="F232" i="7"/>
  <c r="F315" i="6"/>
  <c r="F313" i="6"/>
  <c r="F314" i="6"/>
  <c r="I312" i="7"/>
  <c r="F312" i="7"/>
  <c r="I308" i="7"/>
  <c r="F308" i="7"/>
  <c r="I304" i="7"/>
  <c r="F304" i="7"/>
  <c r="I300" i="7"/>
  <c r="F300" i="7"/>
  <c r="I296" i="7"/>
  <c r="F296" i="7"/>
  <c r="I292" i="7"/>
  <c r="F292" i="7"/>
  <c r="I288" i="7"/>
  <c r="F288" i="7"/>
  <c r="I284" i="7"/>
  <c r="F284" i="7"/>
  <c r="I280" i="7"/>
  <c r="F280" i="7"/>
  <c r="F276" i="7"/>
  <c r="I272" i="7"/>
  <c r="F272" i="7"/>
  <c r="I268" i="7"/>
  <c r="F268" i="7"/>
  <c r="I264" i="7"/>
  <c r="F264" i="7"/>
  <c r="I260" i="7"/>
  <c r="F260" i="7"/>
  <c r="I256" i="7"/>
  <c r="F256" i="7"/>
  <c r="I252" i="7"/>
  <c r="F252" i="7"/>
  <c r="I248" i="7"/>
  <c r="F248" i="7"/>
  <c r="I244" i="7"/>
  <c r="F244" i="7"/>
  <c r="I240" i="7"/>
  <c r="F240" i="7"/>
  <c r="I236" i="7"/>
  <c r="F236" i="7"/>
  <c r="I232" i="7"/>
  <c r="I228" i="7"/>
  <c r="I224" i="7"/>
  <c r="F224" i="7"/>
  <c r="I220" i="7"/>
  <c r="F220" i="7"/>
  <c r="I216" i="7"/>
  <c r="F216" i="7"/>
  <c r="I212" i="7"/>
  <c r="F212" i="7"/>
  <c r="I208" i="7"/>
  <c r="F208" i="7"/>
  <c r="I204" i="7"/>
  <c r="F204" i="7"/>
  <c r="I200" i="7"/>
  <c r="F200" i="7"/>
  <c r="I196" i="7"/>
  <c r="F196" i="7"/>
  <c r="I192" i="7"/>
  <c r="F192" i="7"/>
  <c r="I188" i="7"/>
  <c r="F188" i="7"/>
  <c r="I184" i="7"/>
  <c r="F184" i="7"/>
  <c r="I180" i="7"/>
  <c r="F180" i="7"/>
  <c r="I176" i="7"/>
  <c r="F176" i="7"/>
  <c r="I172" i="7"/>
  <c r="F172" i="7"/>
  <c r="I168" i="7"/>
  <c r="F168" i="7"/>
  <c r="I164" i="7"/>
  <c r="F164" i="7"/>
  <c r="F160" i="7"/>
  <c r="I156" i="7"/>
  <c r="F156" i="7"/>
  <c r="I152" i="7"/>
  <c r="F152" i="7"/>
  <c r="I148" i="7"/>
  <c r="F148" i="7"/>
  <c r="I144" i="7"/>
  <c r="F144" i="7"/>
  <c r="I140" i="7"/>
  <c r="F140" i="7"/>
  <c r="I136" i="7"/>
  <c r="F136" i="7"/>
  <c r="I132" i="7"/>
  <c r="F132" i="7"/>
  <c r="I128" i="7"/>
  <c r="F128" i="7"/>
  <c r="I124" i="7"/>
  <c r="F124" i="7"/>
  <c r="I120" i="7"/>
  <c r="F120" i="7"/>
  <c r="I116" i="7"/>
  <c r="F116" i="7"/>
  <c r="I112" i="7"/>
  <c r="F112" i="7"/>
  <c r="I108" i="7"/>
  <c r="F108" i="7"/>
  <c r="I104" i="7"/>
  <c r="F104" i="7"/>
  <c r="I100" i="7"/>
  <c r="F100" i="7"/>
  <c r="I96" i="7"/>
  <c r="F96" i="7"/>
  <c r="I92" i="7"/>
  <c r="F92" i="7"/>
  <c r="I88" i="7"/>
  <c r="F88" i="7"/>
  <c r="I84" i="7"/>
  <c r="F84" i="7"/>
  <c r="I80" i="7"/>
  <c r="F80" i="7"/>
  <c r="I76" i="7"/>
  <c r="F76" i="7"/>
  <c r="I72" i="7"/>
  <c r="F72" i="7"/>
  <c r="F68" i="7"/>
  <c r="I312" i="6"/>
  <c r="F312" i="6"/>
  <c r="F308" i="6"/>
  <c r="I304" i="6"/>
  <c r="F304" i="6"/>
  <c r="I300" i="6"/>
  <c r="F300" i="6"/>
  <c r="I296" i="6"/>
  <c r="F296" i="6"/>
  <c r="I292" i="6"/>
  <c r="F292" i="6"/>
  <c r="I288" i="6"/>
  <c r="F288" i="6"/>
  <c r="I284" i="6"/>
  <c r="F284" i="6"/>
  <c r="I280" i="6"/>
  <c r="F280" i="6"/>
  <c r="I276" i="6"/>
  <c r="F276" i="6"/>
  <c r="I272" i="6"/>
  <c r="F272" i="6"/>
  <c r="I268" i="6"/>
  <c r="F268" i="6"/>
  <c r="I264" i="6"/>
  <c r="F264" i="6"/>
  <c r="I260" i="6"/>
  <c r="F260" i="6"/>
  <c r="I256" i="6"/>
  <c r="F256" i="6"/>
  <c r="I252" i="6"/>
  <c r="F252" i="6"/>
  <c r="I248" i="6"/>
  <c r="F248" i="6"/>
  <c r="I244" i="6"/>
  <c r="F244" i="6"/>
  <c r="I240" i="6"/>
  <c r="F240" i="6"/>
  <c r="I236" i="6"/>
  <c r="F236" i="6"/>
  <c r="I232" i="6"/>
  <c r="I228" i="6"/>
  <c r="I224" i="6"/>
  <c r="F224" i="6"/>
  <c r="I220" i="6"/>
  <c r="F220" i="6"/>
  <c r="F216" i="6"/>
  <c r="I212" i="6"/>
  <c r="F212" i="6"/>
  <c r="I208" i="6"/>
  <c r="F208" i="6"/>
  <c r="I204" i="6"/>
  <c r="F204" i="6"/>
  <c r="I200" i="6"/>
  <c r="F200" i="6"/>
  <c r="I196" i="6"/>
  <c r="F196" i="6"/>
  <c r="I192" i="6"/>
  <c r="F192" i="6"/>
  <c r="I188" i="6"/>
  <c r="F188" i="6"/>
  <c r="I184" i="6"/>
  <c r="F184" i="6"/>
  <c r="I180" i="6"/>
  <c r="F180" i="6"/>
  <c r="I176" i="6"/>
  <c r="F176" i="6"/>
  <c r="F172" i="6"/>
  <c r="I168" i="6"/>
  <c r="F168" i="6"/>
  <c r="I164" i="6"/>
  <c r="F164" i="6"/>
  <c r="I160" i="6"/>
  <c r="F160" i="6"/>
  <c r="I156" i="6"/>
  <c r="F156" i="6"/>
  <c r="I152" i="6"/>
  <c r="F152" i="6"/>
  <c r="I148" i="6"/>
  <c r="F148" i="6"/>
  <c r="I144" i="6"/>
  <c r="F144" i="6"/>
  <c r="I140" i="6"/>
  <c r="F140" i="6"/>
  <c r="F136" i="6"/>
  <c r="I132" i="6"/>
  <c r="F132" i="6"/>
  <c r="I128" i="6"/>
  <c r="F128" i="6"/>
  <c r="I124" i="6"/>
  <c r="F124" i="6"/>
  <c r="I120" i="6"/>
  <c r="F120" i="6"/>
  <c r="I116" i="6"/>
  <c r="F116" i="6"/>
  <c r="I112" i="6"/>
  <c r="F112" i="6"/>
  <c r="I108" i="6"/>
  <c r="F108" i="6"/>
  <c r="I104" i="6"/>
  <c r="F104" i="6"/>
  <c r="I100" i="6"/>
  <c r="F100" i="6"/>
  <c r="F96" i="6"/>
  <c r="I92" i="6"/>
  <c r="F92" i="6"/>
  <c r="I88" i="6"/>
  <c r="F88" i="6"/>
  <c r="I84" i="6"/>
  <c r="F84" i="6"/>
  <c r="I80" i="6"/>
  <c r="F80" i="6"/>
  <c r="I76" i="6"/>
  <c r="F76" i="6"/>
  <c r="I72" i="6"/>
  <c r="F72" i="6"/>
  <c r="F68" i="6"/>
  <c r="J60" i="22" l="1"/>
  <c r="I60" i="22"/>
  <c r="H60" i="22"/>
  <c r="J59" i="22"/>
  <c r="I59" i="22"/>
  <c r="H59" i="22"/>
  <c r="J60" i="21"/>
  <c r="I60" i="21"/>
  <c r="H60" i="21"/>
  <c r="J59" i="21"/>
  <c r="I59" i="21"/>
  <c r="H59" i="21"/>
  <c r="J60" i="20"/>
  <c r="I60" i="20"/>
  <c r="H60" i="20"/>
  <c r="J59" i="20"/>
  <c r="I59" i="20"/>
  <c r="H59" i="20"/>
  <c r="J60" i="19"/>
  <c r="I60" i="19"/>
  <c r="H60" i="19"/>
  <c r="J59" i="19"/>
  <c r="I59" i="19"/>
  <c r="H59" i="19"/>
  <c r="J60" i="18"/>
  <c r="I60" i="18"/>
  <c r="H60" i="18"/>
  <c r="J59" i="18"/>
  <c r="I59" i="18"/>
  <c r="H59" i="18"/>
  <c r="J60" i="17"/>
  <c r="I60" i="17"/>
  <c r="H60" i="17"/>
  <c r="J59" i="17"/>
  <c r="I59" i="17"/>
  <c r="H59" i="17"/>
  <c r="J60" i="16"/>
  <c r="I60" i="16"/>
  <c r="H60" i="16"/>
  <c r="J59" i="16"/>
  <c r="I59" i="16"/>
  <c r="H59" i="16"/>
  <c r="J60" i="15"/>
  <c r="I60" i="15"/>
  <c r="H60" i="15"/>
  <c r="J59" i="15"/>
  <c r="I59" i="15"/>
  <c r="H59" i="15"/>
  <c r="J60" i="14"/>
  <c r="I60" i="14"/>
  <c r="H60" i="14"/>
  <c r="J59" i="14"/>
  <c r="I59" i="14"/>
  <c r="H59" i="14"/>
  <c r="J60" i="13"/>
  <c r="I60" i="13"/>
  <c r="H60" i="13"/>
  <c r="J59" i="13"/>
  <c r="I59" i="13"/>
  <c r="H59" i="13"/>
  <c r="J60" i="12"/>
  <c r="I60" i="12"/>
  <c r="H60" i="12"/>
  <c r="J59" i="12"/>
  <c r="I59" i="12"/>
  <c r="H59" i="12"/>
  <c r="J60" i="11"/>
  <c r="I60" i="11"/>
  <c r="H60" i="11"/>
  <c r="J59" i="11"/>
  <c r="I59" i="11"/>
  <c r="H59" i="11"/>
  <c r="J60" i="10"/>
  <c r="I60" i="10"/>
  <c r="H60" i="10"/>
  <c r="J59" i="10"/>
  <c r="I59" i="10"/>
  <c r="H59" i="10"/>
  <c r="J60" i="9"/>
  <c r="I60" i="9"/>
  <c r="H60" i="9"/>
  <c r="J59" i="9"/>
  <c r="I59" i="9"/>
  <c r="H59" i="9"/>
  <c r="J60" i="25"/>
  <c r="I60" i="25"/>
  <c r="H60" i="25"/>
  <c r="J59" i="25"/>
  <c r="I59" i="25"/>
  <c r="H59" i="25"/>
  <c r="J60" i="24"/>
  <c r="I60" i="24"/>
  <c r="H60" i="24"/>
  <c r="J59" i="24"/>
  <c r="I59" i="24"/>
  <c r="H59" i="24"/>
  <c r="J60" i="8" l="1"/>
  <c r="I60" i="8"/>
  <c r="H60" i="8"/>
  <c r="J59" i="8"/>
  <c r="I59" i="8"/>
  <c r="H59" i="8"/>
  <c r="I55" i="22" l="1"/>
  <c r="I55" i="21"/>
  <c r="I55" i="20"/>
  <c r="I55" i="19"/>
  <c r="I55" i="18"/>
  <c r="I55" i="17"/>
  <c r="I55" i="15"/>
  <c r="I55" i="14"/>
  <c r="I55" i="13"/>
  <c r="I55" i="12"/>
  <c r="I55" i="11"/>
  <c r="I55" i="10"/>
  <c r="I55" i="9"/>
  <c r="I55" i="25"/>
  <c r="I55" i="24"/>
  <c r="I55" i="8"/>
  <c r="J60" i="7"/>
  <c r="I60" i="7"/>
  <c r="H60" i="7"/>
  <c r="J59" i="7"/>
  <c r="I59" i="7"/>
  <c r="H59" i="7"/>
  <c r="K55" i="7"/>
  <c r="J55" i="7"/>
  <c r="I55" i="7"/>
  <c r="H55" i="7"/>
  <c r="J60" i="6"/>
  <c r="I60" i="6"/>
  <c r="H60" i="6"/>
  <c r="J59" i="6"/>
  <c r="I59" i="6"/>
  <c r="H59" i="6"/>
  <c r="K55" i="6"/>
  <c r="J55" i="6"/>
  <c r="I55" i="6"/>
  <c r="H55" i="6"/>
  <c r="J51" i="22"/>
  <c r="I51" i="22"/>
  <c r="H51" i="22"/>
  <c r="G51" i="22"/>
  <c r="F51" i="22"/>
  <c r="E51" i="22"/>
  <c r="K50" i="22"/>
  <c r="J50" i="22"/>
  <c r="I50" i="22"/>
  <c r="H50" i="22"/>
  <c r="G50" i="22"/>
  <c r="F50" i="22"/>
  <c r="E50" i="22"/>
  <c r="K51" i="21"/>
  <c r="J51" i="21"/>
  <c r="I51" i="21"/>
  <c r="H51" i="21"/>
  <c r="G51" i="21"/>
  <c r="F51" i="21"/>
  <c r="E51" i="21"/>
  <c r="K50" i="21"/>
  <c r="J50" i="21"/>
  <c r="I50" i="21"/>
  <c r="H50" i="21"/>
  <c r="G50" i="21"/>
  <c r="F50" i="21"/>
  <c r="E50" i="21"/>
  <c r="K51" i="20"/>
  <c r="J51" i="20"/>
  <c r="I51" i="20"/>
  <c r="H51" i="20"/>
  <c r="G51" i="20"/>
  <c r="F51" i="20"/>
  <c r="E51" i="20"/>
  <c r="K50" i="20"/>
  <c r="J50" i="20"/>
  <c r="I50" i="20"/>
  <c r="H50" i="20"/>
  <c r="G50" i="20"/>
  <c r="F50" i="20"/>
  <c r="E50" i="20"/>
  <c r="K51" i="19"/>
  <c r="J51" i="19"/>
  <c r="I51" i="19"/>
  <c r="H51" i="19"/>
  <c r="G51" i="19"/>
  <c r="F51" i="19"/>
  <c r="E51" i="19"/>
  <c r="K50" i="19"/>
  <c r="J50" i="19"/>
  <c r="I50" i="19"/>
  <c r="H50" i="19"/>
  <c r="G50" i="19"/>
  <c r="F50" i="19"/>
  <c r="E50" i="19"/>
  <c r="K51" i="18"/>
  <c r="J51" i="18"/>
  <c r="I51" i="18"/>
  <c r="H51" i="18"/>
  <c r="G51" i="18"/>
  <c r="F51" i="18"/>
  <c r="E51" i="18"/>
  <c r="K50" i="18"/>
  <c r="J50" i="18"/>
  <c r="I50" i="18"/>
  <c r="H50" i="18"/>
  <c r="G50" i="18"/>
  <c r="F50" i="18"/>
  <c r="E50" i="18"/>
  <c r="K51" i="17"/>
  <c r="J51" i="17"/>
  <c r="I51" i="17"/>
  <c r="H51" i="17"/>
  <c r="G51" i="17"/>
  <c r="F51" i="17"/>
  <c r="E51" i="17"/>
  <c r="K50" i="17"/>
  <c r="J50" i="17"/>
  <c r="I50" i="17"/>
  <c r="H50" i="17"/>
  <c r="G50" i="17"/>
  <c r="F50" i="17"/>
  <c r="E50" i="17"/>
  <c r="K51" i="16"/>
  <c r="J51" i="16"/>
  <c r="I51" i="16"/>
  <c r="H51" i="16"/>
  <c r="G51" i="16"/>
  <c r="F51" i="16"/>
  <c r="E51" i="16"/>
  <c r="K50" i="16"/>
  <c r="J50" i="16"/>
  <c r="I50" i="16"/>
  <c r="H50" i="16"/>
  <c r="G50" i="16"/>
  <c r="F50" i="16"/>
  <c r="E50" i="16"/>
  <c r="K51" i="15"/>
  <c r="J51" i="15"/>
  <c r="I51" i="15"/>
  <c r="H51" i="15"/>
  <c r="G51" i="15"/>
  <c r="F51" i="15"/>
  <c r="E51" i="15"/>
  <c r="K50" i="15"/>
  <c r="J50" i="15"/>
  <c r="I50" i="15"/>
  <c r="H50" i="15"/>
  <c r="G50" i="15"/>
  <c r="F50" i="15"/>
  <c r="E50" i="15"/>
  <c r="K51" i="14"/>
  <c r="J51" i="14"/>
  <c r="I51" i="14"/>
  <c r="H51" i="14"/>
  <c r="G51" i="14"/>
  <c r="F51" i="14"/>
  <c r="E51" i="14"/>
  <c r="K50" i="14"/>
  <c r="J50" i="14"/>
  <c r="I50" i="14"/>
  <c r="H50" i="14"/>
  <c r="G50" i="14"/>
  <c r="F50" i="14"/>
  <c r="E50" i="14"/>
  <c r="K51" i="13"/>
  <c r="J51" i="13"/>
  <c r="I51" i="13"/>
  <c r="H51" i="13"/>
  <c r="G51" i="13"/>
  <c r="F51" i="13"/>
  <c r="K50" i="13"/>
  <c r="J50" i="13"/>
  <c r="I50" i="13"/>
  <c r="H50" i="13"/>
  <c r="G50" i="13"/>
  <c r="F50" i="13"/>
  <c r="K51" i="12"/>
  <c r="J51" i="12"/>
  <c r="I51" i="12"/>
  <c r="H51" i="12"/>
  <c r="G51" i="12"/>
  <c r="F51" i="12"/>
  <c r="K50" i="12"/>
  <c r="J50" i="12"/>
  <c r="I50" i="12"/>
  <c r="H50" i="12"/>
  <c r="G50" i="12"/>
  <c r="F50" i="12"/>
  <c r="K51" i="11"/>
  <c r="J51" i="11"/>
  <c r="I51" i="11"/>
  <c r="H51" i="11"/>
  <c r="G51" i="11"/>
  <c r="F51" i="11"/>
  <c r="E51" i="11"/>
  <c r="K50" i="11"/>
  <c r="J50" i="11"/>
  <c r="I50" i="11"/>
  <c r="H50" i="11"/>
  <c r="G50" i="11"/>
  <c r="F50" i="11"/>
  <c r="E50" i="11"/>
  <c r="K51" i="10"/>
  <c r="J51" i="10"/>
  <c r="I51" i="10"/>
  <c r="H51" i="10"/>
  <c r="G51" i="10"/>
  <c r="F51" i="10"/>
  <c r="E51" i="10"/>
  <c r="K50" i="10"/>
  <c r="J50" i="10"/>
  <c r="I50" i="10"/>
  <c r="H50" i="10"/>
  <c r="G50" i="10"/>
  <c r="F50" i="10"/>
  <c r="E50" i="10"/>
  <c r="K51" i="9"/>
  <c r="J51" i="9"/>
  <c r="I51" i="9"/>
  <c r="H51" i="9"/>
  <c r="G51" i="9"/>
  <c r="F51" i="9"/>
  <c r="E51" i="9"/>
  <c r="K50" i="9"/>
  <c r="J50" i="9"/>
  <c r="I50" i="9"/>
  <c r="H50" i="9"/>
  <c r="G50" i="9"/>
  <c r="F50" i="9"/>
  <c r="E50" i="9"/>
  <c r="K51" i="25"/>
  <c r="J51" i="25"/>
  <c r="I51" i="25"/>
  <c r="H51" i="25"/>
  <c r="G51" i="25"/>
  <c r="F51" i="25"/>
  <c r="E51" i="25"/>
  <c r="K50" i="25"/>
  <c r="J50" i="25"/>
  <c r="I50" i="25"/>
  <c r="H50" i="25"/>
  <c r="G50" i="25"/>
  <c r="F50" i="25"/>
  <c r="E50" i="25"/>
  <c r="K51" i="24"/>
  <c r="J51" i="24"/>
  <c r="I51" i="24"/>
  <c r="H51" i="24"/>
  <c r="G51" i="24"/>
  <c r="F51" i="24"/>
  <c r="E51" i="24"/>
  <c r="K50" i="24"/>
  <c r="J50" i="24"/>
  <c r="I50" i="24"/>
  <c r="H50" i="24"/>
  <c r="G50" i="24"/>
  <c r="F50" i="24"/>
  <c r="E50" i="24"/>
  <c r="K51" i="8"/>
  <c r="J51" i="8"/>
  <c r="I51" i="8"/>
  <c r="H51" i="8"/>
  <c r="G51" i="8"/>
  <c r="F51" i="8"/>
  <c r="E51" i="8"/>
  <c r="K50" i="8"/>
  <c r="J50" i="8"/>
  <c r="I50" i="8"/>
  <c r="H50" i="8"/>
  <c r="G50" i="8"/>
  <c r="F50" i="8"/>
  <c r="E50" i="8"/>
  <c r="J51" i="7"/>
  <c r="I51" i="7"/>
  <c r="H51" i="7"/>
  <c r="G51" i="7"/>
  <c r="F51" i="7"/>
  <c r="E51" i="7"/>
  <c r="K50" i="7"/>
  <c r="J50" i="7"/>
  <c r="I50" i="7"/>
  <c r="H50" i="7"/>
  <c r="G50" i="7"/>
  <c r="F50" i="7"/>
  <c r="E50" i="7"/>
  <c r="K51" i="6"/>
  <c r="J51" i="6"/>
  <c r="I51" i="6"/>
  <c r="H51" i="6"/>
  <c r="G51" i="6"/>
  <c r="F51" i="6"/>
  <c r="E51" i="6"/>
  <c r="K50" i="6"/>
  <c r="J50" i="6"/>
  <c r="I50" i="6"/>
  <c r="H50" i="6"/>
  <c r="G50" i="6"/>
  <c r="F50" i="6"/>
  <c r="E50" i="6"/>
  <c r="F28" i="5"/>
  <c r="G28" i="5"/>
  <c r="H28" i="5"/>
  <c r="I28" i="5"/>
  <c r="J28" i="5"/>
  <c r="K28" i="5"/>
  <c r="F27" i="5"/>
  <c r="G27" i="5"/>
  <c r="H27" i="5"/>
  <c r="I27" i="5"/>
  <c r="J27" i="5"/>
  <c r="K27" i="5"/>
  <c r="G26" i="5"/>
  <c r="H26" i="5"/>
  <c r="I26" i="5"/>
  <c r="J26" i="5"/>
  <c r="K26" i="5"/>
  <c r="F26" i="5"/>
  <c r="K44" i="11" l="1"/>
  <c r="J44" i="11"/>
  <c r="I44" i="11"/>
  <c r="H44" i="11"/>
  <c r="G44" i="11"/>
  <c r="F44" i="11"/>
  <c r="E44" i="11"/>
  <c r="K39" i="11"/>
  <c r="J39" i="11"/>
  <c r="I39" i="11"/>
  <c r="H39" i="11"/>
  <c r="G39" i="11"/>
  <c r="F39" i="11"/>
  <c r="E39" i="11"/>
  <c r="K41" i="11"/>
  <c r="K45" i="11" s="1"/>
  <c r="J41" i="11"/>
  <c r="J45" i="11" s="1"/>
  <c r="I41" i="11"/>
  <c r="I45" i="11" s="1"/>
  <c r="H41" i="11"/>
  <c r="H45" i="11" s="1"/>
  <c r="G41" i="11"/>
  <c r="G45" i="11" s="1"/>
  <c r="F41" i="11"/>
  <c r="F45" i="11" s="1"/>
  <c r="E41" i="11"/>
  <c r="E45" i="11" s="1"/>
  <c r="K36" i="11"/>
  <c r="K40" i="11" s="1"/>
  <c r="J36" i="11"/>
  <c r="J40" i="11" s="1"/>
  <c r="I36" i="11"/>
  <c r="I40" i="11" s="1"/>
  <c r="H36" i="11"/>
  <c r="H40" i="11" s="1"/>
  <c r="G36" i="11"/>
  <c r="G40" i="11" s="1"/>
  <c r="F36" i="11"/>
  <c r="F40" i="11" s="1"/>
  <c r="E36" i="11"/>
  <c r="E40" i="11" s="1"/>
  <c r="K44" i="12"/>
  <c r="J44" i="12"/>
  <c r="I44" i="12"/>
  <c r="H44" i="12"/>
  <c r="G44" i="12"/>
  <c r="F44" i="12"/>
  <c r="K39" i="12"/>
  <c r="J39" i="12"/>
  <c r="I39" i="12"/>
  <c r="H39" i="12"/>
  <c r="G39" i="12"/>
  <c r="F39" i="12"/>
  <c r="K41" i="12"/>
  <c r="K45" i="12" s="1"/>
  <c r="J41" i="12"/>
  <c r="J45" i="12" s="1"/>
  <c r="I41" i="12"/>
  <c r="I45" i="12" s="1"/>
  <c r="H41" i="12"/>
  <c r="H45" i="12" s="1"/>
  <c r="G41" i="12"/>
  <c r="G45" i="12" s="1"/>
  <c r="F41" i="12"/>
  <c r="F45" i="12" s="1"/>
  <c r="K36" i="12"/>
  <c r="K40" i="12" s="1"/>
  <c r="J36" i="12"/>
  <c r="J40" i="12" s="1"/>
  <c r="I36" i="12"/>
  <c r="I40" i="12" s="1"/>
  <c r="H36" i="12"/>
  <c r="H40" i="12" s="1"/>
  <c r="G36" i="12"/>
  <c r="G40" i="12" s="1"/>
  <c r="F36" i="12"/>
  <c r="F40" i="12" s="1"/>
  <c r="K44" i="13"/>
  <c r="J44" i="13"/>
  <c r="I44" i="13"/>
  <c r="H44" i="13"/>
  <c r="G44" i="13"/>
  <c r="F44" i="13"/>
  <c r="K39" i="13"/>
  <c r="J39" i="13"/>
  <c r="I39" i="13"/>
  <c r="H39" i="13"/>
  <c r="G39" i="13"/>
  <c r="F39" i="13"/>
  <c r="K41" i="13"/>
  <c r="K45" i="13" s="1"/>
  <c r="J41" i="13"/>
  <c r="J45" i="13" s="1"/>
  <c r="I41" i="13"/>
  <c r="I45" i="13" s="1"/>
  <c r="H41" i="13"/>
  <c r="H45" i="13" s="1"/>
  <c r="G41" i="13"/>
  <c r="G45" i="13" s="1"/>
  <c r="F41" i="13"/>
  <c r="F45" i="13" s="1"/>
  <c r="K36" i="13"/>
  <c r="K40" i="13" s="1"/>
  <c r="J36" i="13"/>
  <c r="J40" i="13" s="1"/>
  <c r="I36" i="13"/>
  <c r="I40" i="13" s="1"/>
  <c r="H36" i="13"/>
  <c r="H40" i="13" s="1"/>
  <c r="G36" i="13"/>
  <c r="G40" i="13" s="1"/>
  <c r="F36" i="13"/>
  <c r="F40" i="13" s="1"/>
  <c r="K44" i="14"/>
  <c r="J44" i="14"/>
  <c r="I44" i="14"/>
  <c r="H44" i="14"/>
  <c r="G44" i="14"/>
  <c r="F44" i="14"/>
  <c r="E44" i="14"/>
  <c r="K39" i="14"/>
  <c r="J39" i="14"/>
  <c r="I39" i="14"/>
  <c r="H39" i="14"/>
  <c r="G39" i="14"/>
  <c r="F39" i="14"/>
  <c r="E39" i="14"/>
  <c r="K41" i="14"/>
  <c r="K45" i="14" s="1"/>
  <c r="J41" i="14"/>
  <c r="J45" i="14" s="1"/>
  <c r="I41" i="14"/>
  <c r="I45" i="14" s="1"/>
  <c r="H41" i="14"/>
  <c r="H45" i="14" s="1"/>
  <c r="G41" i="14"/>
  <c r="G45" i="14" s="1"/>
  <c r="F41" i="14"/>
  <c r="F45" i="14" s="1"/>
  <c r="E41" i="14"/>
  <c r="E45" i="14" s="1"/>
  <c r="K36" i="14"/>
  <c r="K40" i="14" s="1"/>
  <c r="J36" i="14"/>
  <c r="J40" i="14" s="1"/>
  <c r="I36" i="14"/>
  <c r="I40" i="14" s="1"/>
  <c r="H36" i="14"/>
  <c r="H40" i="14" s="1"/>
  <c r="G36" i="14"/>
  <c r="G40" i="14" s="1"/>
  <c r="F36" i="14"/>
  <c r="F40" i="14" s="1"/>
  <c r="E36" i="14"/>
  <c r="E40" i="14" s="1"/>
  <c r="K44" i="15"/>
  <c r="J44" i="15"/>
  <c r="I44" i="15"/>
  <c r="H44" i="15"/>
  <c r="G44" i="15"/>
  <c r="F44" i="15"/>
  <c r="E44" i="15"/>
  <c r="K39" i="15"/>
  <c r="J39" i="15"/>
  <c r="I39" i="15"/>
  <c r="H39" i="15"/>
  <c r="G39" i="15"/>
  <c r="F39" i="15"/>
  <c r="E39" i="15"/>
  <c r="K41" i="15"/>
  <c r="K45" i="15" s="1"/>
  <c r="J41" i="15"/>
  <c r="J45" i="15" s="1"/>
  <c r="I41" i="15"/>
  <c r="I45" i="15" s="1"/>
  <c r="H41" i="15"/>
  <c r="H45" i="15" s="1"/>
  <c r="G41" i="15"/>
  <c r="G45" i="15" s="1"/>
  <c r="F41" i="15"/>
  <c r="F45" i="15" s="1"/>
  <c r="E41" i="15"/>
  <c r="E45" i="15" s="1"/>
  <c r="K36" i="15"/>
  <c r="K40" i="15" s="1"/>
  <c r="J36" i="15"/>
  <c r="J40" i="15" s="1"/>
  <c r="I36" i="15"/>
  <c r="I40" i="15" s="1"/>
  <c r="H36" i="15"/>
  <c r="H40" i="15" s="1"/>
  <c r="G36" i="15"/>
  <c r="G40" i="15" s="1"/>
  <c r="F36" i="15"/>
  <c r="F40" i="15" s="1"/>
  <c r="E36" i="15"/>
  <c r="E40" i="15" s="1"/>
  <c r="K44" i="16"/>
  <c r="J44" i="16"/>
  <c r="I44" i="16"/>
  <c r="H44" i="16"/>
  <c r="G44" i="16"/>
  <c r="F44" i="16"/>
  <c r="E44" i="16"/>
  <c r="K39" i="16"/>
  <c r="J39" i="16"/>
  <c r="I39" i="16"/>
  <c r="H39" i="16"/>
  <c r="G39" i="16"/>
  <c r="F39" i="16"/>
  <c r="E39" i="16"/>
  <c r="K41" i="16"/>
  <c r="K45" i="16" s="1"/>
  <c r="J41" i="16"/>
  <c r="J45" i="16" s="1"/>
  <c r="I41" i="16"/>
  <c r="I45" i="16" s="1"/>
  <c r="H41" i="16"/>
  <c r="H45" i="16" s="1"/>
  <c r="G41" i="16"/>
  <c r="G45" i="16" s="1"/>
  <c r="F41" i="16"/>
  <c r="F45" i="16" s="1"/>
  <c r="E41" i="16"/>
  <c r="E45" i="16" s="1"/>
  <c r="K36" i="16"/>
  <c r="K40" i="16" s="1"/>
  <c r="J36" i="16"/>
  <c r="J40" i="16" s="1"/>
  <c r="I36" i="16"/>
  <c r="I40" i="16" s="1"/>
  <c r="H36" i="16"/>
  <c r="H40" i="16" s="1"/>
  <c r="G36" i="16"/>
  <c r="G40" i="16" s="1"/>
  <c r="F36" i="16"/>
  <c r="F40" i="16" s="1"/>
  <c r="E36" i="16"/>
  <c r="E40" i="16" s="1"/>
  <c r="K44" i="17"/>
  <c r="J44" i="17"/>
  <c r="I44" i="17"/>
  <c r="H44" i="17"/>
  <c r="G44" i="17"/>
  <c r="F44" i="17"/>
  <c r="E44" i="17"/>
  <c r="K39" i="17"/>
  <c r="J39" i="17"/>
  <c r="I39" i="17"/>
  <c r="H39" i="17"/>
  <c r="G39" i="17"/>
  <c r="F39" i="17"/>
  <c r="E39" i="17"/>
  <c r="K41" i="17"/>
  <c r="K45" i="17" s="1"/>
  <c r="J41" i="17"/>
  <c r="J45" i="17" s="1"/>
  <c r="I41" i="17"/>
  <c r="I45" i="17" s="1"/>
  <c r="H41" i="17"/>
  <c r="H45" i="17" s="1"/>
  <c r="G41" i="17"/>
  <c r="G45" i="17" s="1"/>
  <c r="F41" i="17"/>
  <c r="F45" i="17" s="1"/>
  <c r="E41" i="17"/>
  <c r="E45" i="17" s="1"/>
  <c r="K36" i="17"/>
  <c r="K40" i="17" s="1"/>
  <c r="J36" i="17"/>
  <c r="J40" i="17" s="1"/>
  <c r="I36" i="17"/>
  <c r="I40" i="17" s="1"/>
  <c r="H36" i="17"/>
  <c r="H40" i="17" s="1"/>
  <c r="G36" i="17"/>
  <c r="G40" i="17" s="1"/>
  <c r="F36" i="17"/>
  <c r="F40" i="17" s="1"/>
  <c r="E36" i="17"/>
  <c r="E40" i="17" s="1"/>
  <c r="K44" i="18"/>
  <c r="J44" i="18"/>
  <c r="I44" i="18"/>
  <c r="H44" i="18"/>
  <c r="G44" i="18"/>
  <c r="F44" i="18"/>
  <c r="E44" i="18"/>
  <c r="K39" i="18"/>
  <c r="J39" i="18"/>
  <c r="I39" i="18"/>
  <c r="H39" i="18"/>
  <c r="G39" i="18"/>
  <c r="F39" i="18"/>
  <c r="E39" i="18"/>
  <c r="K41" i="18"/>
  <c r="K45" i="18" s="1"/>
  <c r="J41" i="18"/>
  <c r="J45" i="18" s="1"/>
  <c r="I41" i="18"/>
  <c r="I45" i="18" s="1"/>
  <c r="H41" i="18"/>
  <c r="H45" i="18" s="1"/>
  <c r="G41" i="18"/>
  <c r="G45" i="18" s="1"/>
  <c r="F41" i="18"/>
  <c r="F45" i="18" s="1"/>
  <c r="E41" i="18"/>
  <c r="E45" i="18" s="1"/>
  <c r="K36" i="18"/>
  <c r="K40" i="18" s="1"/>
  <c r="J36" i="18"/>
  <c r="J40" i="18" s="1"/>
  <c r="I36" i="18"/>
  <c r="I40" i="18" s="1"/>
  <c r="H36" i="18"/>
  <c r="H40" i="18" s="1"/>
  <c r="G36" i="18"/>
  <c r="G40" i="18" s="1"/>
  <c r="F36" i="18"/>
  <c r="F40" i="18" s="1"/>
  <c r="E36" i="18"/>
  <c r="E40" i="18" s="1"/>
  <c r="K44" i="19"/>
  <c r="J44" i="19"/>
  <c r="I44" i="19"/>
  <c r="H44" i="19"/>
  <c r="G44" i="19"/>
  <c r="F44" i="19"/>
  <c r="E44" i="19"/>
  <c r="K39" i="19"/>
  <c r="J39" i="19"/>
  <c r="I39" i="19"/>
  <c r="H39" i="19"/>
  <c r="G39" i="19"/>
  <c r="F39" i="19"/>
  <c r="E39" i="19"/>
  <c r="K41" i="19"/>
  <c r="K45" i="19" s="1"/>
  <c r="J41" i="19"/>
  <c r="J45" i="19" s="1"/>
  <c r="I41" i="19"/>
  <c r="I45" i="19" s="1"/>
  <c r="H41" i="19"/>
  <c r="H45" i="19" s="1"/>
  <c r="G41" i="19"/>
  <c r="G45" i="19" s="1"/>
  <c r="F41" i="19"/>
  <c r="F45" i="19" s="1"/>
  <c r="E41" i="19"/>
  <c r="E45" i="19" s="1"/>
  <c r="K36" i="19"/>
  <c r="K40" i="19" s="1"/>
  <c r="J36" i="19"/>
  <c r="J40" i="19" s="1"/>
  <c r="I36" i="19"/>
  <c r="I40" i="19" s="1"/>
  <c r="H36" i="19"/>
  <c r="H40" i="19" s="1"/>
  <c r="G36" i="19"/>
  <c r="G40" i="19" s="1"/>
  <c r="F36" i="19"/>
  <c r="F40" i="19" s="1"/>
  <c r="E36" i="19"/>
  <c r="E40" i="19" s="1"/>
  <c r="K44" i="20"/>
  <c r="J44" i="20"/>
  <c r="I44" i="20"/>
  <c r="H44" i="20"/>
  <c r="G44" i="20"/>
  <c r="F44" i="20"/>
  <c r="E44" i="20"/>
  <c r="K39" i="20"/>
  <c r="J39" i="20"/>
  <c r="I39" i="20"/>
  <c r="H39" i="20"/>
  <c r="G39" i="20"/>
  <c r="F39" i="20"/>
  <c r="E39" i="20"/>
  <c r="K41" i="20"/>
  <c r="K45" i="20" s="1"/>
  <c r="J41" i="20"/>
  <c r="J45" i="20" s="1"/>
  <c r="I41" i="20"/>
  <c r="I45" i="20" s="1"/>
  <c r="H41" i="20"/>
  <c r="H45" i="20" s="1"/>
  <c r="G41" i="20"/>
  <c r="G45" i="20" s="1"/>
  <c r="F41" i="20"/>
  <c r="F45" i="20" s="1"/>
  <c r="E41" i="20"/>
  <c r="E45" i="20" s="1"/>
  <c r="K36" i="20"/>
  <c r="K40" i="20" s="1"/>
  <c r="J36" i="20"/>
  <c r="J40" i="20" s="1"/>
  <c r="I36" i="20"/>
  <c r="I40" i="20" s="1"/>
  <c r="H36" i="20"/>
  <c r="H40" i="20" s="1"/>
  <c r="G36" i="20"/>
  <c r="G40" i="20" s="1"/>
  <c r="F36" i="20"/>
  <c r="F40" i="20" s="1"/>
  <c r="E36" i="20"/>
  <c r="E40" i="20" s="1"/>
  <c r="K44" i="21"/>
  <c r="J44" i="21"/>
  <c r="I44" i="21"/>
  <c r="H44" i="21"/>
  <c r="G44" i="21"/>
  <c r="F44" i="21"/>
  <c r="E44" i="21"/>
  <c r="K39" i="21"/>
  <c r="J39" i="21"/>
  <c r="I39" i="21"/>
  <c r="H39" i="21"/>
  <c r="G39" i="21"/>
  <c r="F39" i="21"/>
  <c r="E39" i="21"/>
  <c r="K36" i="21"/>
  <c r="K40" i="21" s="1"/>
  <c r="J36" i="21"/>
  <c r="J40" i="21" s="1"/>
  <c r="I36" i="21"/>
  <c r="I40" i="21" s="1"/>
  <c r="H36" i="21"/>
  <c r="H40" i="21" s="1"/>
  <c r="G36" i="21"/>
  <c r="G40" i="21" s="1"/>
  <c r="F36" i="21"/>
  <c r="F40" i="21" s="1"/>
  <c r="E36" i="21"/>
  <c r="E40" i="21" s="1"/>
  <c r="K41" i="21"/>
  <c r="K45" i="21" s="1"/>
  <c r="J41" i="21"/>
  <c r="J45" i="21" s="1"/>
  <c r="I41" i="21"/>
  <c r="I45" i="21" s="1"/>
  <c r="H41" i="21"/>
  <c r="H45" i="21" s="1"/>
  <c r="G41" i="21"/>
  <c r="G45" i="21" s="1"/>
  <c r="F41" i="21"/>
  <c r="F45" i="21" s="1"/>
  <c r="E41" i="21"/>
  <c r="E45" i="21" s="1"/>
  <c r="K39" i="22"/>
  <c r="J39" i="22"/>
  <c r="I39" i="22"/>
  <c r="H39" i="22"/>
  <c r="G39" i="22"/>
  <c r="F39" i="22"/>
  <c r="E39" i="22"/>
  <c r="K44" i="22"/>
  <c r="J44" i="22"/>
  <c r="I44" i="22"/>
  <c r="H44" i="22"/>
  <c r="G44" i="22"/>
  <c r="F44" i="22"/>
  <c r="E44" i="22"/>
  <c r="K41" i="22"/>
  <c r="K45" i="22" s="1"/>
  <c r="J41" i="22"/>
  <c r="J45" i="22" s="1"/>
  <c r="I41" i="22"/>
  <c r="I45" i="22" s="1"/>
  <c r="H41" i="22"/>
  <c r="H45" i="22" s="1"/>
  <c r="G41" i="22"/>
  <c r="G45" i="22" s="1"/>
  <c r="F41" i="22"/>
  <c r="F45" i="22" s="1"/>
  <c r="E41" i="22"/>
  <c r="E45" i="22" s="1"/>
  <c r="K36" i="22"/>
  <c r="K40" i="22" s="1"/>
  <c r="J36" i="22"/>
  <c r="J40" i="22" s="1"/>
  <c r="I36" i="22"/>
  <c r="I40" i="22" s="1"/>
  <c r="H36" i="22"/>
  <c r="H40" i="22" s="1"/>
  <c r="G36" i="22"/>
  <c r="G40" i="22" s="1"/>
  <c r="F36" i="22"/>
  <c r="F40" i="22" s="1"/>
  <c r="E36" i="22"/>
  <c r="E40" i="22" s="1"/>
  <c r="K41" i="10"/>
  <c r="K45" i="10" s="1"/>
  <c r="J41" i="10"/>
  <c r="J45" i="10" s="1"/>
  <c r="I41" i="10"/>
  <c r="I45" i="10" s="1"/>
  <c r="H41" i="10"/>
  <c r="H45" i="10" s="1"/>
  <c r="G41" i="10"/>
  <c r="G45" i="10" s="1"/>
  <c r="F41" i="10"/>
  <c r="F45" i="10" s="1"/>
  <c r="E41" i="10"/>
  <c r="E45" i="10" s="1"/>
  <c r="K36" i="10"/>
  <c r="K40" i="10" s="1"/>
  <c r="J36" i="10"/>
  <c r="J40" i="10" s="1"/>
  <c r="I36" i="10"/>
  <c r="I40" i="10" s="1"/>
  <c r="H36" i="10"/>
  <c r="H40" i="10" s="1"/>
  <c r="G36" i="10"/>
  <c r="G40" i="10" s="1"/>
  <c r="F36" i="10"/>
  <c r="F40" i="10" s="1"/>
  <c r="E36" i="10"/>
  <c r="E40" i="10" s="1"/>
  <c r="K39" i="10"/>
  <c r="J39" i="10"/>
  <c r="I39" i="10"/>
  <c r="H39" i="10"/>
  <c r="G39" i="10"/>
  <c r="F39" i="10"/>
  <c r="E39" i="10"/>
  <c r="K44" i="10"/>
  <c r="J44" i="10"/>
  <c r="I44" i="10"/>
  <c r="H44" i="10"/>
  <c r="G44" i="10"/>
  <c r="F44" i="10"/>
  <c r="E44" i="10"/>
  <c r="K44" i="9"/>
  <c r="J44" i="9"/>
  <c r="I44" i="9"/>
  <c r="H44" i="9"/>
  <c r="G44" i="9"/>
  <c r="F44" i="9"/>
  <c r="E44" i="9"/>
  <c r="K39" i="9"/>
  <c r="J39" i="9"/>
  <c r="I39" i="9"/>
  <c r="H39" i="9"/>
  <c r="G39" i="9"/>
  <c r="F39" i="9"/>
  <c r="E39" i="9"/>
  <c r="K41" i="9"/>
  <c r="K45" i="9" s="1"/>
  <c r="J41" i="9"/>
  <c r="J45" i="9" s="1"/>
  <c r="I41" i="9"/>
  <c r="I45" i="9" s="1"/>
  <c r="H41" i="9"/>
  <c r="H45" i="9" s="1"/>
  <c r="G41" i="9"/>
  <c r="G45" i="9" s="1"/>
  <c r="F41" i="9"/>
  <c r="F45" i="9" s="1"/>
  <c r="E41" i="9"/>
  <c r="E45" i="9" s="1"/>
  <c r="K36" i="9"/>
  <c r="K40" i="9" s="1"/>
  <c r="J36" i="9"/>
  <c r="J40" i="9" s="1"/>
  <c r="I36" i="9"/>
  <c r="I40" i="9" s="1"/>
  <c r="H36" i="9"/>
  <c r="H40" i="9" s="1"/>
  <c r="G36" i="9"/>
  <c r="G40" i="9" s="1"/>
  <c r="F36" i="9"/>
  <c r="F40" i="9" s="1"/>
  <c r="E36" i="9"/>
  <c r="E40" i="9" s="1"/>
  <c r="K44" i="25"/>
  <c r="J44" i="25"/>
  <c r="I44" i="25"/>
  <c r="H44" i="25"/>
  <c r="G44" i="25"/>
  <c r="F44" i="25"/>
  <c r="E44" i="25"/>
  <c r="K41" i="25"/>
  <c r="K45" i="25" s="1"/>
  <c r="J41" i="25"/>
  <c r="J45" i="25" s="1"/>
  <c r="I41" i="25"/>
  <c r="I45" i="25" s="1"/>
  <c r="H41" i="25"/>
  <c r="H45" i="25" s="1"/>
  <c r="G41" i="25"/>
  <c r="G45" i="25" s="1"/>
  <c r="F41" i="25"/>
  <c r="F45" i="25" s="1"/>
  <c r="E41" i="25"/>
  <c r="E45" i="25" s="1"/>
  <c r="K36" i="25"/>
  <c r="K40" i="25" s="1"/>
  <c r="J36" i="25"/>
  <c r="J40" i="25" s="1"/>
  <c r="I36" i="25"/>
  <c r="I40" i="25" s="1"/>
  <c r="H36" i="25"/>
  <c r="H40" i="25" s="1"/>
  <c r="G36" i="25"/>
  <c r="G40" i="25" s="1"/>
  <c r="F36" i="25"/>
  <c r="F40" i="25" s="1"/>
  <c r="E36" i="25"/>
  <c r="E40" i="25" s="1"/>
  <c r="K39" i="25"/>
  <c r="J39" i="25"/>
  <c r="I39" i="25"/>
  <c r="H39" i="25"/>
  <c r="G39" i="25"/>
  <c r="F39" i="25"/>
  <c r="E39" i="25"/>
  <c r="K44" i="24"/>
  <c r="J44" i="24"/>
  <c r="I44" i="24"/>
  <c r="H44" i="24"/>
  <c r="G44" i="24"/>
  <c r="F44" i="24"/>
  <c r="E44" i="24"/>
  <c r="K41" i="24"/>
  <c r="K45" i="24" s="1"/>
  <c r="J41" i="24"/>
  <c r="J45" i="24" s="1"/>
  <c r="I41" i="24"/>
  <c r="I45" i="24" s="1"/>
  <c r="H41" i="24"/>
  <c r="H45" i="24" s="1"/>
  <c r="G41" i="24"/>
  <c r="G45" i="24" s="1"/>
  <c r="F41" i="24"/>
  <c r="F45" i="24" s="1"/>
  <c r="E41" i="24"/>
  <c r="E45" i="24" s="1"/>
  <c r="K39" i="24"/>
  <c r="J39" i="24"/>
  <c r="I39" i="24"/>
  <c r="H39" i="24"/>
  <c r="G39" i="24"/>
  <c r="F39" i="24"/>
  <c r="E39" i="24"/>
  <c r="K36" i="24"/>
  <c r="K40" i="24" s="1"/>
  <c r="J36" i="24"/>
  <c r="J40" i="24" s="1"/>
  <c r="I36" i="24"/>
  <c r="I40" i="24" s="1"/>
  <c r="H36" i="24"/>
  <c r="H40" i="24" s="1"/>
  <c r="G36" i="24"/>
  <c r="G40" i="24" s="1"/>
  <c r="F36" i="24"/>
  <c r="F40" i="24" s="1"/>
  <c r="E36" i="24"/>
  <c r="E40" i="24" s="1"/>
  <c r="J41" i="8"/>
  <c r="J45" i="8" s="1"/>
  <c r="J44" i="8"/>
  <c r="K41" i="8"/>
  <c r="K45" i="8" s="1"/>
  <c r="K44" i="8"/>
  <c r="I44" i="8"/>
  <c r="H44" i="8"/>
  <c r="G44" i="8"/>
  <c r="F44" i="8"/>
  <c r="E44" i="8"/>
  <c r="K39" i="8"/>
  <c r="J39" i="8"/>
  <c r="I39" i="8"/>
  <c r="H39" i="8"/>
  <c r="G39" i="8"/>
  <c r="F39" i="8"/>
  <c r="E39" i="8"/>
  <c r="I41" i="8"/>
  <c r="I45" i="8" s="1"/>
  <c r="H41" i="8"/>
  <c r="H45" i="8" s="1"/>
  <c r="G41" i="8"/>
  <c r="G45" i="8" s="1"/>
  <c r="F41" i="8"/>
  <c r="F45" i="8" s="1"/>
  <c r="E41" i="8"/>
  <c r="E45" i="8" s="1"/>
  <c r="K36" i="8"/>
  <c r="K40" i="8" s="1"/>
  <c r="J36" i="8"/>
  <c r="J40" i="8" s="1"/>
  <c r="I36" i="8"/>
  <c r="I40" i="8" s="1"/>
  <c r="H36" i="8"/>
  <c r="H40" i="8" s="1"/>
  <c r="G36" i="8"/>
  <c r="G40" i="8" s="1"/>
  <c r="F36" i="8"/>
  <c r="F40" i="8" s="1"/>
  <c r="E36" i="8"/>
  <c r="E40" i="8" s="1"/>
  <c r="K44" i="7"/>
  <c r="J44" i="7"/>
  <c r="I44" i="7"/>
  <c r="H44" i="7"/>
  <c r="G44" i="7"/>
  <c r="F44" i="7"/>
  <c r="E44" i="7"/>
  <c r="K41" i="7"/>
  <c r="K45" i="7" s="1"/>
  <c r="J41" i="7"/>
  <c r="J45" i="7" s="1"/>
  <c r="I41" i="7"/>
  <c r="I45" i="7" s="1"/>
  <c r="H41" i="7"/>
  <c r="H45" i="7" s="1"/>
  <c r="G41" i="7"/>
  <c r="G45" i="7" s="1"/>
  <c r="F41" i="7"/>
  <c r="F45" i="7" s="1"/>
  <c r="E41" i="7"/>
  <c r="E45" i="7" s="1"/>
  <c r="K36" i="7"/>
  <c r="K40" i="7" s="1"/>
  <c r="J36" i="7"/>
  <c r="J40" i="7" s="1"/>
  <c r="I36" i="7"/>
  <c r="I40" i="7" s="1"/>
  <c r="H36" i="7"/>
  <c r="H40" i="7" s="1"/>
  <c r="G36" i="7"/>
  <c r="G40" i="7" s="1"/>
  <c r="F36" i="7"/>
  <c r="F40" i="7" s="1"/>
  <c r="E36" i="7"/>
  <c r="E40" i="7" s="1"/>
  <c r="K39" i="7"/>
  <c r="J39" i="7"/>
  <c r="I39" i="7"/>
  <c r="H39" i="7"/>
  <c r="G39" i="7"/>
  <c r="F39" i="7"/>
  <c r="E39" i="7"/>
  <c r="F34" i="6"/>
  <c r="G34" i="6"/>
  <c r="H34" i="6"/>
  <c r="I34" i="6"/>
  <c r="J34" i="6"/>
  <c r="K34" i="6"/>
  <c r="K7" i="22"/>
  <c r="J7" i="22"/>
  <c r="I7" i="22"/>
  <c r="H7" i="22"/>
  <c r="G7" i="22"/>
  <c r="F7" i="22"/>
  <c r="E7" i="22"/>
  <c r="K35" i="22"/>
  <c r="J35" i="22"/>
  <c r="I35" i="22"/>
  <c r="H35" i="22"/>
  <c r="G35" i="22"/>
  <c r="F35" i="22"/>
  <c r="E35" i="22"/>
  <c r="K29" i="22"/>
  <c r="J29" i="22"/>
  <c r="I29" i="22"/>
  <c r="H29" i="22"/>
  <c r="G29" i="22"/>
  <c r="F29" i="22"/>
  <c r="E29" i="22"/>
  <c r="K28" i="22"/>
  <c r="J28" i="22"/>
  <c r="I28" i="22"/>
  <c r="H28" i="22"/>
  <c r="G28" i="22"/>
  <c r="F28" i="22"/>
  <c r="E28" i="22"/>
  <c r="K27" i="22"/>
  <c r="J27" i="22"/>
  <c r="I27" i="22"/>
  <c r="H27" i="22"/>
  <c r="G27" i="22"/>
  <c r="F27" i="22"/>
  <c r="E27" i="22"/>
  <c r="K26" i="22"/>
  <c r="J26" i="22"/>
  <c r="I26" i="22"/>
  <c r="H26" i="22"/>
  <c r="G26" i="22"/>
  <c r="F26" i="22"/>
  <c r="E26" i="22"/>
  <c r="K25" i="22"/>
  <c r="J25" i="22"/>
  <c r="I25" i="22"/>
  <c r="H25" i="22"/>
  <c r="G25" i="22"/>
  <c r="F25" i="22"/>
  <c r="E25" i="22"/>
  <c r="J24" i="22"/>
  <c r="I24" i="22"/>
  <c r="H24" i="22"/>
  <c r="G24" i="22"/>
  <c r="F24" i="22"/>
  <c r="E24" i="22"/>
  <c r="J23" i="22"/>
  <c r="I23" i="22"/>
  <c r="H23" i="22"/>
  <c r="G23" i="22"/>
  <c r="F23" i="22"/>
  <c r="E23" i="22"/>
  <c r="J22" i="22"/>
  <c r="I22" i="22"/>
  <c r="H22" i="22"/>
  <c r="G22" i="22"/>
  <c r="F22" i="22"/>
  <c r="E22" i="22"/>
  <c r="J21" i="22"/>
  <c r="I21" i="22"/>
  <c r="H21" i="22"/>
  <c r="G21" i="22"/>
  <c r="F21" i="22"/>
  <c r="E21" i="22"/>
  <c r="K20" i="22"/>
  <c r="J20" i="22"/>
  <c r="I20" i="22"/>
  <c r="H20" i="22"/>
  <c r="G20" i="22"/>
  <c r="F20" i="22"/>
  <c r="E20" i="22"/>
  <c r="K7" i="21"/>
  <c r="J7" i="21"/>
  <c r="I7" i="21"/>
  <c r="H7" i="21"/>
  <c r="G7" i="21"/>
  <c r="F7" i="21"/>
  <c r="E7" i="21"/>
  <c r="K35" i="21"/>
  <c r="J35" i="21"/>
  <c r="I35" i="21"/>
  <c r="H35" i="21"/>
  <c r="G35" i="21"/>
  <c r="F35" i="21"/>
  <c r="E35" i="21"/>
  <c r="J29" i="21"/>
  <c r="I29" i="21"/>
  <c r="H29" i="21"/>
  <c r="G29" i="21"/>
  <c r="F29" i="21"/>
  <c r="E29" i="21"/>
  <c r="J28" i="21"/>
  <c r="I28" i="21"/>
  <c r="H28" i="21"/>
  <c r="G28" i="21"/>
  <c r="F28" i="21"/>
  <c r="E28" i="21"/>
  <c r="J27" i="21"/>
  <c r="I27" i="21"/>
  <c r="H27" i="21"/>
  <c r="G27" i="21"/>
  <c r="F27" i="21"/>
  <c r="E27" i="21"/>
  <c r="J26" i="21"/>
  <c r="I26" i="21"/>
  <c r="H26" i="21"/>
  <c r="G26" i="21"/>
  <c r="F26" i="21"/>
  <c r="E26" i="21"/>
  <c r="K25" i="21"/>
  <c r="J25" i="21"/>
  <c r="I25" i="21"/>
  <c r="H25" i="21"/>
  <c r="G25" i="21"/>
  <c r="F25" i="21"/>
  <c r="E25" i="21"/>
  <c r="J24" i="21"/>
  <c r="I24" i="21"/>
  <c r="H24" i="21"/>
  <c r="G24" i="21"/>
  <c r="F24" i="21"/>
  <c r="E24" i="21"/>
  <c r="J23" i="21"/>
  <c r="I23" i="21"/>
  <c r="H23" i="21"/>
  <c r="G23" i="21"/>
  <c r="F23" i="21"/>
  <c r="E23" i="21"/>
  <c r="J22" i="21"/>
  <c r="I22" i="21"/>
  <c r="H22" i="21"/>
  <c r="G22" i="21"/>
  <c r="F22" i="21"/>
  <c r="E22" i="21"/>
  <c r="J21" i="21"/>
  <c r="I21" i="21"/>
  <c r="H21" i="21"/>
  <c r="G21" i="21"/>
  <c r="F21" i="21"/>
  <c r="E21" i="21"/>
  <c r="K20" i="21"/>
  <c r="J20" i="21"/>
  <c r="I20" i="21"/>
  <c r="H20" i="21"/>
  <c r="G20" i="21"/>
  <c r="F20" i="21"/>
  <c r="E20" i="21"/>
  <c r="K7" i="20"/>
  <c r="J7" i="20"/>
  <c r="I7" i="20"/>
  <c r="H7" i="20"/>
  <c r="G7" i="20"/>
  <c r="F7" i="20"/>
  <c r="E7" i="20"/>
  <c r="K35" i="20"/>
  <c r="J35" i="20"/>
  <c r="I35" i="20"/>
  <c r="H35" i="20"/>
  <c r="G35" i="20"/>
  <c r="F35" i="20"/>
  <c r="E35" i="20"/>
  <c r="K29" i="20"/>
  <c r="J29" i="20"/>
  <c r="I29" i="20"/>
  <c r="H29" i="20"/>
  <c r="G29" i="20"/>
  <c r="F29" i="20"/>
  <c r="E29" i="20"/>
  <c r="K28" i="20"/>
  <c r="J28" i="20"/>
  <c r="I28" i="20"/>
  <c r="H28" i="20"/>
  <c r="G28" i="20"/>
  <c r="F28" i="20"/>
  <c r="E28" i="20"/>
  <c r="K27" i="20"/>
  <c r="J27" i="20"/>
  <c r="I27" i="20"/>
  <c r="H27" i="20"/>
  <c r="G27" i="20"/>
  <c r="F27" i="20"/>
  <c r="E27" i="20"/>
  <c r="K26" i="20"/>
  <c r="J26" i="20"/>
  <c r="I26" i="20"/>
  <c r="H26" i="20"/>
  <c r="G26" i="20"/>
  <c r="F26" i="20"/>
  <c r="E26" i="20"/>
  <c r="K25" i="20"/>
  <c r="J25" i="20"/>
  <c r="I25" i="20"/>
  <c r="H25" i="20"/>
  <c r="G25" i="20"/>
  <c r="F25" i="20"/>
  <c r="E25" i="20"/>
  <c r="J24" i="20"/>
  <c r="I24" i="20"/>
  <c r="H24" i="20"/>
  <c r="G24" i="20"/>
  <c r="F24" i="20"/>
  <c r="E24" i="20"/>
  <c r="J23" i="20"/>
  <c r="I23" i="20"/>
  <c r="H23" i="20"/>
  <c r="G23" i="20"/>
  <c r="F23" i="20"/>
  <c r="E23" i="20"/>
  <c r="J22" i="20"/>
  <c r="I22" i="20"/>
  <c r="H22" i="20"/>
  <c r="G22" i="20"/>
  <c r="F22" i="20"/>
  <c r="E22" i="20"/>
  <c r="K21" i="20"/>
  <c r="J21" i="20"/>
  <c r="I21" i="20"/>
  <c r="H21" i="20"/>
  <c r="G21" i="20"/>
  <c r="F21" i="20"/>
  <c r="E21" i="20"/>
  <c r="K20" i="20"/>
  <c r="J20" i="20"/>
  <c r="I20" i="20"/>
  <c r="H20" i="20"/>
  <c r="G20" i="20"/>
  <c r="F20" i="20"/>
  <c r="E20" i="20"/>
  <c r="K7" i="19"/>
  <c r="J7" i="19"/>
  <c r="I7" i="19"/>
  <c r="H7" i="19"/>
  <c r="G7" i="19"/>
  <c r="F7" i="19"/>
  <c r="E7" i="19"/>
  <c r="K35" i="19"/>
  <c r="J35" i="19"/>
  <c r="I35" i="19"/>
  <c r="H35" i="19"/>
  <c r="G35" i="19"/>
  <c r="F35" i="19"/>
  <c r="E35" i="19"/>
  <c r="J29" i="19"/>
  <c r="I29" i="19"/>
  <c r="H29" i="19"/>
  <c r="G29" i="19"/>
  <c r="F29" i="19"/>
  <c r="E29" i="19"/>
  <c r="J28" i="19"/>
  <c r="I28" i="19"/>
  <c r="H28" i="19"/>
  <c r="G28" i="19"/>
  <c r="F28" i="19"/>
  <c r="E28" i="19"/>
  <c r="I27" i="19"/>
  <c r="H27" i="19"/>
  <c r="G27" i="19"/>
  <c r="F27" i="19"/>
  <c r="E27" i="19"/>
  <c r="J26" i="19"/>
  <c r="I26" i="19"/>
  <c r="H26" i="19"/>
  <c r="G26" i="19"/>
  <c r="F26" i="19"/>
  <c r="E26" i="19"/>
  <c r="K25" i="19"/>
  <c r="J25" i="19"/>
  <c r="I25" i="19"/>
  <c r="H25" i="19"/>
  <c r="G25" i="19"/>
  <c r="F25" i="19"/>
  <c r="E25" i="19"/>
  <c r="J24" i="19"/>
  <c r="I24" i="19"/>
  <c r="H24" i="19"/>
  <c r="G24" i="19"/>
  <c r="F24" i="19"/>
  <c r="E24" i="19"/>
  <c r="J23" i="19"/>
  <c r="I23" i="19"/>
  <c r="H23" i="19"/>
  <c r="G23" i="19"/>
  <c r="F23" i="19"/>
  <c r="E23" i="19"/>
  <c r="J22" i="19"/>
  <c r="I22" i="19"/>
  <c r="H22" i="19"/>
  <c r="G22" i="19"/>
  <c r="F22" i="19"/>
  <c r="E22" i="19"/>
  <c r="J21" i="19"/>
  <c r="I21" i="19"/>
  <c r="H21" i="19"/>
  <c r="G21" i="19"/>
  <c r="F21" i="19"/>
  <c r="E21" i="19"/>
  <c r="K20" i="19"/>
  <c r="J20" i="19"/>
  <c r="I20" i="19"/>
  <c r="H20" i="19"/>
  <c r="G20" i="19"/>
  <c r="F20" i="19"/>
  <c r="E20" i="19"/>
  <c r="K35" i="18"/>
  <c r="J35" i="18"/>
  <c r="I35" i="18"/>
  <c r="H35" i="18"/>
  <c r="G35" i="18"/>
  <c r="F35" i="18"/>
  <c r="E35" i="18"/>
  <c r="K7" i="18"/>
  <c r="J7" i="18"/>
  <c r="I7" i="18"/>
  <c r="H7" i="18"/>
  <c r="G7" i="18"/>
  <c r="F7" i="18"/>
  <c r="E7" i="18"/>
  <c r="K29" i="18"/>
  <c r="J29" i="18"/>
  <c r="I29" i="18"/>
  <c r="H29" i="18"/>
  <c r="G29" i="18"/>
  <c r="F29" i="18"/>
  <c r="E29" i="18"/>
  <c r="K28" i="18"/>
  <c r="J28" i="18"/>
  <c r="I28" i="18"/>
  <c r="H28" i="18"/>
  <c r="G28" i="18"/>
  <c r="F28" i="18"/>
  <c r="E28" i="18"/>
  <c r="J27" i="18"/>
  <c r="I27" i="18"/>
  <c r="H27" i="18"/>
  <c r="G27" i="18"/>
  <c r="F27" i="18"/>
  <c r="E27" i="18"/>
  <c r="K26" i="18"/>
  <c r="J26" i="18"/>
  <c r="I26" i="18"/>
  <c r="H26" i="18"/>
  <c r="G26" i="18"/>
  <c r="F26" i="18"/>
  <c r="E26" i="18"/>
  <c r="K25" i="18"/>
  <c r="J25" i="18"/>
  <c r="I25" i="18"/>
  <c r="H25" i="18"/>
  <c r="G25" i="18"/>
  <c r="F25" i="18"/>
  <c r="E25" i="18"/>
  <c r="K24" i="18"/>
  <c r="J24" i="18"/>
  <c r="I24" i="18"/>
  <c r="H24" i="18"/>
  <c r="G24" i="18"/>
  <c r="F24" i="18"/>
  <c r="E24" i="18"/>
  <c r="K23" i="18"/>
  <c r="J23" i="18"/>
  <c r="I23" i="18"/>
  <c r="H23" i="18"/>
  <c r="G23" i="18"/>
  <c r="F23" i="18"/>
  <c r="E23" i="18"/>
  <c r="K22" i="18"/>
  <c r="J22" i="18"/>
  <c r="I22" i="18"/>
  <c r="H22" i="18"/>
  <c r="G22" i="18"/>
  <c r="F22" i="18"/>
  <c r="E22" i="18"/>
  <c r="K21" i="18"/>
  <c r="J21" i="18"/>
  <c r="I21" i="18"/>
  <c r="H21" i="18"/>
  <c r="G21" i="18"/>
  <c r="F21" i="18"/>
  <c r="E21" i="18"/>
  <c r="K20" i="18"/>
  <c r="J20" i="18"/>
  <c r="I20" i="18"/>
  <c r="H20" i="18"/>
  <c r="G20" i="18"/>
  <c r="F20" i="18"/>
  <c r="E20" i="18"/>
  <c r="K7" i="17"/>
  <c r="J7" i="17"/>
  <c r="I7" i="17"/>
  <c r="H7" i="17"/>
  <c r="G7" i="17"/>
  <c r="F7" i="17"/>
  <c r="E7" i="17"/>
  <c r="K35" i="17"/>
  <c r="J35" i="17"/>
  <c r="I35" i="17"/>
  <c r="H35" i="17"/>
  <c r="G35" i="17"/>
  <c r="F35" i="17"/>
  <c r="E35" i="17"/>
  <c r="J29" i="17"/>
  <c r="I29" i="17"/>
  <c r="H29" i="17"/>
  <c r="G29" i="17"/>
  <c r="F29" i="17"/>
  <c r="E29" i="17"/>
  <c r="J28" i="17"/>
  <c r="I28" i="17"/>
  <c r="H28" i="17"/>
  <c r="G28" i="17"/>
  <c r="F28" i="17"/>
  <c r="E28" i="17"/>
  <c r="J27" i="17"/>
  <c r="I27" i="17"/>
  <c r="H27" i="17"/>
  <c r="G27" i="17"/>
  <c r="F27" i="17"/>
  <c r="E27" i="17"/>
  <c r="J26" i="17"/>
  <c r="I26" i="17"/>
  <c r="H26" i="17"/>
  <c r="G26" i="17"/>
  <c r="F26" i="17"/>
  <c r="E26" i="17"/>
  <c r="J25" i="17"/>
  <c r="I25" i="17"/>
  <c r="H25" i="17"/>
  <c r="G25" i="17"/>
  <c r="F25" i="17"/>
  <c r="E25" i="17"/>
  <c r="J24" i="17"/>
  <c r="I24" i="17"/>
  <c r="H24" i="17"/>
  <c r="G24" i="17"/>
  <c r="F24" i="17"/>
  <c r="E24" i="17"/>
  <c r="J23" i="17"/>
  <c r="I23" i="17"/>
  <c r="H23" i="17"/>
  <c r="G23" i="17"/>
  <c r="F23" i="17"/>
  <c r="E23" i="17"/>
  <c r="J22" i="17"/>
  <c r="I22" i="17"/>
  <c r="H22" i="17"/>
  <c r="G22" i="17"/>
  <c r="F22" i="17"/>
  <c r="E22" i="17"/>
  <c r="J21" i="17"/>
  <c r="I21" i="17"/>
  <c r="H21" i="17"/>
  <c r="G21" i="17"/>
  <c r="F21" i="17"/>
  <c r="E21" i="17"/>
  <c r="K20" i="17"/>
  <c r="J20" i="17"/>
  <c r="I20" i="17"/>
  <c r="H20" i="17"/>
  <c r="G20" i="17"/>
  <c r="F20" i="17"/>
  <c r="E20" i="17"/>
  <c r="K7" i="16"/>
  <c r="J7" i="16"/>
  <c r="I7" i="16"/>
  <c r="H7" i="16"/>
  <c r="G7" i="16"/>
  <c r="F7" i="16"/>
  <c r="E7" i="16"/>
  <c r="K35" i="16"/>
  <c r="J35" i="16"/>
  <c r="I35" i="16"/>
  <c r="H35" i="16"/>
  <c r="G35" i="16"/>
  <c r="F35" i="16"/>
  <c r="E35" i="16"/>
  <c r="K29" i="16"/>
  <c r="J29" i="16"/>
  <c r="I29" i="16"/>
  <c r="H29" i="16"/>
  <c r="G29" i="16"/>
  <c r="F29" i="16"/>
  <c r="E29" i="16"/>
  <c r="K28" i="16"/>
  <c r="J28" i="16"/>
  <c r="I28" i="16"/>
  <c r="H28" i="16"/>
  <c r="G28" i="16"/>
  <c r="F28" i="16"/>
  <c r="E28" i="16"/>
  <c r="K27" i="16"/>
  <c r="J27" i="16"/>
  <c r="I27" i="16"/>
  <c r="H27" i="16"/>
  <c r="G27" i="16"/>
  <c r="F27" i="16"/>
  <c r="E27" i="16"/>
  <c r="K26" i="16"/>
  <c r="J26" i="16"/>
  <c r="I26" i="16"/>
  <c r="H26" i="16"/>
  <c r="G26" i="16"/>
  <c r="F26" i="16"/>
  <c r="E26" i="16"/>
  <c r="K25" i="16"/>
  <c r="J25" i="16"/>
  <c r="I25" i="16"/>
  <c r="H25" i="16"/>
  <c r="G25" i="16"/>
  <c r="F25" i="16"/>
  <c r="E25" i="16"/>
  <c r="K24" i="16"/>
  <c r="J24" i="16"/>
  <c r="I24" i="16"/>
  <c r="H24" i="16"/>
  <c r="G24" i="16"/>
  <c r="F24" i="16"/>
  <c r="E24" i="16"/>
  <c r="K23" i="16"/>
  <c r="J23" i="16"/>
  <c r="I23" i="16"/>
  <c r="H23" i="16"/>
  <c r="G23" i="16"/>
  <c r="F23" i="16"/>
  <c r="E23" i="16"/>
  <c r="K22" i="16"/>
  <c r="J22" i="16"/>
  <c r="I22" i="16"/>
  <c r="H22" i="16"/>
  <c r="G22" i="16"/>
  <c r="F22" i="16"/>
  <c r="E22" i="16"/>
  <c r="K21" i="16"/>
  <c r="J21" i="16"/>
  <c r="I21" i="16"/>
  <c r="H21" i="16"/>
  <c r="G21" i="16"/>
  <c r="F21" i="16"/>
  <c r="E21" i="16"/>
  <c r="K20" i="16"/>
  <c r="J20" i="16"/>
  <c r="I20" i="16"/>
  <c r="H20" i="16"/>
  <c r="G20" i="16"/>
  <c r="F20" i="16"/>
  <c r="E20" i="16"/>
  <c r="K35" i="15"/>
  <c r="J35" i="15"/>
  <c r="I35" i="15"/>
  <c r="H35" i="15"/>
  <c r="G35" i="15"/>
  <c r="F35" i="15"/>
  <c r="E35" i="15"/>
  <c r="K7" i="15"/>
  <c r="J7" i="15"/>
  <c r="I7" i="15"/>
  <c r="H7" i="15"/>
  <c r="G7" i="15"/>
  <c r="F7" i="15"/>
  <c r="E7" i="15"/>
  <c r="K29" i="15"/>
  <c r="J29" i="15"/>
  <c r="I29" i="15"/>
  <c r="H29" i="15"/>
  <c r="G29" i="15"/>
  <c r="F29" i="15"/>
  <c r="E29" i="15"/>
  <c r="K28" i="15"/>
  <c r="J28" i="15"/>
  <c r="I28" i="15"/>
  <c r="H28" i="15"/>
  <c r="G28" i="15"/>
  <c r="F28" i="15"/>
  <c r="E28" i="15"/>
  <c r="K27" i="15"/>
  <c r="J27" i="15"/>
  <c r="I27" i="15"/>
  <c r="H27" i="15"/>
  <c r="G27" i="15"/>
  <c r="F27" i="15"/>
  <c r="E27" i="15"/>
  <c r="K26" i="15"/>
  <c r="J26" i="15"/>
  <c r="I26" i="15"/>
  <c r="H26" i="15"/>
  <c r="G26" i="15"/>
  <c r="F26" i="15"/>
  <c r="E26" i="15"/>
  <c r="K25" i="15"/>
  <c r="J25" i="15"/>
  <c r="I25" i="15"/>
  <c r="H25" i="15"/>
  <c r="G25" i="15"/>
  <c r="F25" i="15"/>
  <c r="E25" i="15"/>
  <c r="K24" i="15"/>
  <c r="J24" i="15"/>
  <c r="I24" i="15"/>
  <c r="H24" i="15"/>
  <c r="G24" i="15"/>
  <c r="F24" i="15"/>
  <c r="E24" i="15"/>
  <c r="K23" i="15"/>
  <c r="J23" i="15"/>
  <c r="I23" i="15"/>
  <c r="H23" i="15"/>
  <c r="G23" i="15"/>
  <c r="F23" i="15"/>
  <c r="E23" i="15"/>
  <c r="K22" i="15"/>
  <c r="J22" i="15"/>
  <c r="I22" i="15"/>
  <c r="H22" i="15"/>
  <c r="G22" i="15"/>
  <c r="F22" i="15"/>
  <c r="E22" i="15"/>
  <c r="K21" i="15"/>
  <c r="J21" i="15"/>
  <c r="I21" i="15"/>
  <c r="H21" i="15"/>
  <c r="G21" i="15"/>
  <c r="F21" i="15"/>
  <c r="E21" i="15"/>
  <c r="K20" i="15"/>
  <c r="J20" i="15"/>
  <c r="I20" i="15"/>
  <c r="H20" i="15"/>
  <c r="G20" i="15"/>
  <c r="F20" i="15"/>
  <c r="E20" i="15"/>
  <c r="K7" i="14"/>
  <c r="J7" i="14"/>
  <c r="I7" i="14"/>
  <c r="H7" i="14"/>
  <c r="G7" i="14"/>
  <c r="F7" i="14"/>
  <c r="E7" i="14"/>
  <c r="K29" i="14"/>
  <c r="J29" i="14"/>
  <c r="I29" i="14"/>
  <c r="H29" i="14"/>
  <c r="G29" i="14"/>
  <c r="F29" i="14"/>
  <c r="E29" i="14"/>
  <c r="K28" i="14"/>
  <c r="J28" i="14"/>
  <c r="I28" i="14"/>
  <c r="H28" i="14"/>
  <c r="G28" i="14"/>
  <c r="F28" i="14"/>
  <c r="E28" i="14"/>
  <c r="K27" i="14"/>
  <c r="J27" i="14"/>
  <c r="I27" i="14"/>
  <c r="H27" i="14"/>
  <c r="G27" i="14"/>
  <c r="F27" i="14"/>
  <c r="E27" i="14"/>
  <c r="K26" i="14"/>
  <c r="J26" i="14"/>
  <c r="I26" i="14"/>
  <c r="H26" i="14"/>
  <c r="G26" i="14"/>
  <c r="F26" i="14"/>
  <c r="E26" i="14"/>
  <c r="K25" i="14"/>
  <c r="J25" i="14"/>
  <c r="I25" i="14"/>
  <c r="H25" i="14"/>
  <c r="G25" i="14"/>
  <c r="F25" i="14"/>
  <c r="E25" i="14"/>
  <c r="K24" i="14"/>
  <c r="J24" i="14"/>
  <c r="I24" i="14"/>
  <c r="H24" i="14"/>
  <c r="G24" i="14"/>
  <c r="F24" i="14"/>
  <c r="E24" i="14"/>
  <c r="K23" i="14"/>
  <c r="J23" i="14"/>
  <c r="I23" i="14"/>
  <c r="H23" i="14"/>
  <c r="G23" i="14"/>
  <c r="F23" i="14"/>
  <c r="E23" i="14"/>
  <c r="K22" i="14"/>
  <c r="J22" i="14"/>
  <c r="I22" i="14"/>
  <c r="H22" i="14"/>
  <c r="G22" i="14"/>
  <c r="F22" i="14"/>
  <c r="E22" i="14"/>
  <c r="K21" i="14"/>
  <c r="J21" i="14"/>
  <c r="I21" i="14"/>
  <c r="H21" i="14"/>
  <c r="G21" i="14"/>
  <c r="F21" i="14"/>
  <c r="E21" i="14"/>
  <c r="K20" i="14"/>
  <c r="J20" i="14"/>
  <c r="I20" i="14"/>
  <c r="H20" i="14"/>
  <c r="G20" i="14"/>
  <c r="F20" i="14"/>
  <c r="E20" i="14"/>
  <c r="K35" i="14"/>
  <c r="J35" i="14"/>
  <c r="I35" i="14"/>
  <c r="H35" i="14"/>
  <c r="G35" i="14"/>
  <c r="F35" i="14"/>
  <c r="E35" i="14"/>
  <c r="K29" i="13"/>
  <c r="J29" i="13"/>
  <c r="I29" i="13"/>
  <c r="H29" i="13"/>
  <c r="G29" i="13"/>
  <c r="F29" i="13"/>
  <c r="K28" i="13"/>
  <c r="J28" i="13"/>
  <c r="I28" i="13"/>
  <c r="H28" i="13"/>
  <c r="G28" i="13"/>
  <c r="F28" i="13"/>
  <c r="K27" i="13"/>
  <c r="J27" i="13"/>
  <c r="I27" i="13"/>
  <c r="H27" i="13"/>
  <c r="G27" i="13"/>
  <c r="F27" i="13"/>
  <c r="K26" i="13"/>
  <c r="J26" i="13"/>
  <c r="I26" i="13"/>
  <c r="H26" i="13"/>
  <c r="G26" i="13"/>
  <c r="F26" i="13"/>
  <c r="K25" i="13"/>
  <c r="J25" i="13"/>
  <c r="I25" i="13"/>
  <c r="H25" i="13"/>
  <c r="G25" i="13"/>
  <c r="F25" i="13"/>
  <c r="K24" i="13"/>
  <c r="J24" i="13"/>
  <c r="I24" i="13"/>
  <c r="H24" i="13"/>
  <c r="G24" i="13"/>
  <c r="F24" i="13"/>
  <c r="K23" i="13"/>
  <c r="J23" i="13"/>
  <c r="I23" i="13"/>
  <c r="H23" i="13"/>
  <c r="G23" i="13"/>
  <c r="F23" i="13"/>
  <c r="K22" i="13"/>
  <c r="J22" i="13"/>
  <c r="I22" i="13"/>
  <c r="H22" i="13"/>
  <c r="G22" i="13"/>
  <c r="F22" i="13"/>
  <c r="K21" i="13"/>
  <c r="J21" i="13"/>
  <c r="I21" i="13"/>
  <c r="H21" i="13"/>
  <c r="G21" i="13"/>
  <c r="F21" i="13"/>
  <c r="K20" i="13"/>
  <c r="J20" i="13"/>
  <c r="I20" i="13"/>
  <c r="H20" i="13"/>
  <c r="G20" i="13"/>
  <c r="F20" i="13"/>
  <c r="K7" i="13"/>
  <c r="J7" i="13"/>
  <c r="I7" i="13"/>
  <c r="H7" i="13"/>
  <c r="G7" i="13"/>
  <c r="F7" i="13"/>
  <c r="K35" i="13"/>
  <c r="J35" i="13"/>
  <c r="I35" i="13"/>
  <c r="H35" i="13"/>
  <c r="G35" i="13"/>
  <c r="F35" i="13"/>
  <c r="K35" i="12"/>
  <c r="J35" i="12"/>
  <c r="I35" i="12"/>
  <c r="H35" i="12"/>
  <c r="G35" i="12"/>
  <c r="F35" i="12"/>
  <c r="K29" i="12"/>
  <c r="J29" i="12"/>
  <c r="I29" i="12"/>
  <c r="H29" i="12"/>
  <c r="G29" i="12"/>
  <c r="F29" i="12"/>
  <c r="K28" i="12"/>
  <c r="J28" i="12"/>
  <c r="I28" i="12"/>
  <c r="H28" i="12"/>
  <c r="G28" i="12"/>
  <c r="F28" i="12"/>
  <c r="K27" i="12"/>
  <c r="J27" i="12"/>
  <c r="I27" i="12"/>
  <c r="H27" i="12"/>
  <c r="G27" i="12"/>
  <c r="F27" i="12"/>
  <c r="K26" i="12"/>
  <c r="J26" i="12"/>
  <c r="I26" i="12"/>
  <c r="H26" i="12"/>
  <c r="G26" i="12"/>
  <c r="F26" i="12"/>
  <c r="K25" i="12"/>
  <c r="J25" i="12"/>
  <c r="I25" i="12"/>
  <c r="H25" i="12"/>
  <c r="G25" i="12"/>
  <c r="F25" i="12"/>
  <c r="K24" i="12"/>
  <c r="J24" i="12"/>
  <c r="I24" i="12"/>
  <c r="H24" i="12"/>
  <c r="G24" i="12"/>
  <c r="F24" i="12"/>
  <c r="K23" i="12"/>
  <c r="J23" i="12"/>
  <c r="I23" i="12"/>
  <c r="H23" i="12"/>
  <c r="G23" i="12"/>
  <c r="F23" i="12"/>
  <c r="K22" i="12"/>
  <c r="J22" i="12"/>
  <c r="I22" i="12"/>
  <c r="H22" i="12"/>
  <c r="G22" i="12"/>
  <c r="F22" i="12"/>
  <c r="K21" i="12"/>
  <c r="J21" i="12"/>
  <c r="I21" i="12"/>
  <c r="H21" i="12"/>
  <c r="G21" i="12"/>
  <c r="F21" i="12"/>
  <c r="K20" i="12"/>
  <c r="J20" i="12"/>
  <c r="I20" i="12"/>
  <c r="H20" i="12"/>
  <c r="G20" i="12"/>
  <c r="F20" i="12"/>
  <c r="K7" i="12"/>
  <c r="J7" i="12"/>
  <c r="I7" i="12"/>
  <c r="H7" i="12"/>
  <c r="G7" i="12"/>
  <c r="F7" i="12"/>
  <c r="K7" i="11"/>
  <c r="J7" i="11"/>
  <c r="I7" i="11"/>
  <c r="H7" i="11"/>
  <c r="G7" i="11"/>
  <c r="F7" i="11"/>
  <c r="E7" i="11"/>
  <c r="K29" i="11"/>
  <c r="J29" i="11"/>
  <c r="I29" i="11"/>
  <c r="H29" i="11"/>
  <c r="G29" i="11"/>
  <c r="F29" i="11"/>
  <c r="E29" i="11"/>
  <c r="K28" i="11"/>
  <c r="J28" i="11"/>
  <c r="I28" i="11"/>
  <c r="H28" i="11"/>
  <c r="G28" i="11"/>
  <c r="F28" i="11"/>
  <c r="E28" i="11"/>
  <c r="K27" i="11"/>
  <c r="J27" i="11"/>
  <c r="I27" i="11"/>
  <c r="H27" i="11"/>
  <c r="G27" i="11"/>
  <c r="F27" i="11"/>
  <c r="E27" i="11"/>
  <c r="K26" i="11"/>
  <c r="J26" i="11"/>
  <c r="I26" i="11"/>
  <c r="H26" i="11"/>
  <c r="G26" i="11"/>
  <c r="F26" i="11"/>
  <c r="E26" i="11"/>
  <c r="K25" i="11"/>
  <c r="J25" i="11"/>
  <c r="I25" i="11"/>
  <c r="H25" i="11"/>
  <c r="G25" i="11"/>
  <c r="F25" i="11"/>
  <c r="E25" i="11"/>
  <c r="K24" i="11"/>
  <c r="J24" i="11"/>
  <c r="I24" i="11"/>
  <c r="H24" i="11"/>
  <c r="G24" i="11"/>
  <c r="F24" i="11"/>
  <c r="E24" i="11"/>
  <c r="K23" i="11"/>
  <c r="J23" i="11"/>
  <c r="I23" i="11"/>
  <c r="H23" i="11"/>
  <c r="G23" i="11"/>
  <c r="F23" i="11"/>
  <c r="E23" i="11"/>
  <c r="K22" i="11"/>
  <c r="J22" i="11"/>
  <c r="I22" i="11"/>
  <c r="H22" i="11"/>
  <c r="G22" i="11"/>
  <c r="F22" i="11"/>
  <c r="E22" i="11"/>
  <c r="K21" i="11"/>
  <c r="J21" i="11"/>
  <c r="I21" i="11"/>
  <c r="H21" i="11"/>
  <c r="G21" i="11"/>
  <c r="F21" i="11"/>
  <c r="E21" i="11"/>
  <c r="K20" i="11"/>
  <c r="J20" i="11"/>
  <c r="I20" i="11"/>
  <c r="H20" i="11"/>
  <c r="G20" i="11"/>
  <c r="F20" i="11"/>
  <c r="E20" i="11"/>
  <c r="K35" i="11"/>
  <c r="J35" i="11"/>
  <c r="I35" i="11"/>
  <c r="H35" i="11"/>
  <c r="G35" i="11"/>
  <c r="F35" i="11"/>
  <c r="E35" i="11"/>
  <c r="K7" i="10"/>
  <c r="J7" i="10"/>
  <c r="I7" i="10"/>
  <c r="H7" i="10"/>
  <c r="G7" i="10"/>
  <c r="F7" i="10"/>
  <c r="E7" i="10"/>
  <c r="K29" i="10"/>
  <c r="J29" i="10"/>
  <c r="I29" i="10"/>
  <c r="H29" i="10"/>
  <c r="G29" i="10"/>
  <c r="F29" i="10"/>
  <c r="E29" i="10"/>
  <c r="K28" i="10"/>
  <c r="J28" i="10"/>
  <c r="I28" i="10"/>
  <c r="H28" i="10"/>
  <c r="G28" i="10"/>
  <c r="F28" i="10"/>
  <c r="E28" i="10"/>
  <c r="K27" i="10"/>
  <c r="J27" i="10"/>
  <c r="I27" i="10"/>
  <c r="H27" i="10"/>
  <c r="G27" i="10"/>
  <c r="F27" i="10"/>
  <c r="E27" i="10"/>
  <c r="K26" i="10"/>
  <c r="J26" i="10"/>
  <c r="I26" i="10"/>
  <c r="H26" i="10"/>
  <c r="G26" i="10"/>
  <c r="F26" i="10"/>
  <c r="E26" i="10"/>
  <c r="K25" i="10"/>
  <c r="J25" i="10"/>
  <c r="I25" i="10"/>
  <c r="H25" i="10"/>
  <c r="G25" i="10"/>
  <c r="F25" i="10"/>
  <c r="E25" i="10"/>
  <c r="K24" i="10"/>
  <c r="J24" i="10"/>
  <c r="I24" i="10"/>
  <c r="H24" i="10"/>
  <c r="G24" i="10"/>
  <c r="F24" i="10"/>
  <c r="E24" i="10"/>
  <c r="K23" i="10"/>
  <c r="J23" i="10"/>
  <c r="I23" i="10"/>
  <c r="H23" i="10"/>
  <c r="G23" i="10"/>
  <c r="F23" i="10"/>
  <c r="E23" i="10"/>
  <c r="K22" i="10"/>
  <c r="J22" i="10"/>
  <c r="I22" i="10"/>
  <c r="H22" i="10"/>
  <c r="G22" i="10"/>
  <c r="F22" i="10"/>
  <c r="E22" i="10"/>
  <c r="K21" i="10"/>
  <c r="J21" i="10"/>
  <c r="I21" i="10"/>
  <c r="H21" i="10"/>
  <c r="G21" i="10"/>
  <c r="F21" i="10"/>
  <c r="E21" i="10"/>
  <c r="K20" i="10"/>
  <c r="J20" i="10"/>
  <c r="I20" i="10"/>
  <c r="H20" i="10"/>
  <c r="G20" i="10"/>
  <c r="F20" i="10"/>
  <c r="E20" i="10"/>
  <c r="K35" i="10"/>
  <c r="J35" i="10"/>
  <c r="I35" i="10"/>
  <c r="H35" i="10"/>
  <c r="G35" i="10"/>
  <c r="F35" i="10"/>
  <c r="E35" i="10"/>
  <c r="F34" i="5"/>
  <c r="G34" i="5"/>
  <c r="H34" i="5"/>
  <c r="I34" i="5"/>
  <c r="J34" i="5"/>
  <c r="K34" i="5"/>
  <c r="K35" i="9"/>
  <c r="J35" i="9"/>
  <c r="I35" i="9"/>
  <c r="H35" i="9"/>
  <c r="G35" i="9"/>
  <c r="F35" i="9"/>
  <c r="E35" i="9"/>
  <c r="K29" i="9"/>
  <c r="J29" i="9"/>
  <c r="I29" i="9"/>
  <c r="H29" i="9"/>
  <c r="G29" i="9"/>
  <c r="F29" i="9"/>
  <c r="E29" i="9"/>
  <c r="K28" i="9"/>
  <c r="J28" i="9"/>
  <c r="I28" i="9"/>
  <c r="H28" i="9"/>
  <c r="G28" i="9"/>
  <c r="F28" i="9"/>
  <c r="E28" i="9"/>
  <c r="K27" i="9"/>
  <c r="J27" i="9"/>
  <c r="I27" i="9"/>
  <c r="H27" i="9"/>
  <c r="G27" i="9"/>
  <c r="F27" i="9"/>
  <c r="E27" i="9"/>
  <c r="K26" i="9"/>
  <c r="J26" i="9"/>
  <c r="I26" i="9"/>
  <c r="H26" i="9"/>
  <c r="G26" i="9"/>
  <c r="F26" i="9"/>
  <c r="E26" i="9"/>
  <c r="K25" i="9"/>
  <c r="J25" i="9"/>
  <c r="I25" i="9"/>
  <c r="H25" i="9"/>
  <c r="G25" i="9"/>
  <c r="F25" i="9"/>
  <c r="E25" i="9"/>
  <c r="K24" i="9"/>
  <c r="J24" i="9"/>
  <c r="I24" i="9"/>
  <c r="H24" i="9"/>
  <c r="G24" i="9"/>
  <c r="F24" i="9"/>
  <c r="E24" i="9"/>
  <c r="K23" i="9"/>
  <c r="J23" i="9"/>
  <c r="I23" i="9"/>
  <c r="H23" i="9"/>
  <c r="G23" i="9"/>
  <c r="F23" i="9"/>
  <c r="E23" i="9"/>
  <c r="K22" i="9"/>
  <c r="J22" i="9"/>
  <c r="I22" i="9"/>
  <c r="H22" i="9"/>
  <c r="G22" i="9"/>
  <c r="F22" i="9"/>
  <c r="E22" i="9"/>
  <c r="K21" i="9"/>
  <c r="J21" i="9"/>
  <c r="I21" i="9"/>
  <c r="H21" i="9"/>
  <c r="G21" i="9"/>
  <c r="F21" i="9"/>
  <c r="E21" i="9"/>
  <c r="K20" i="9"/>
  <c r="J20" i="9"/>
  <c r="I20" i="9"/>
  <c r="H20" i="9"/>
  <c r="G20" i="9"/>
  <c r="F20" i="9"/>
  <c r="E20" i="9"/>
  <c r="K7" i="9"/>
  <c r="J7" i="9"/>
  <c r="I7" i="9"/>
  <c r="H7" i="9"/>
  <c r="G7" i="9"/>
  <c r="F7" i="9"/>
  <c r="E7" i="9"/>
  <c r="K35" i="25"/>
  <c r="J35" i="25"/>
  <c r="I35" i="25"/>
  <c r="H35" i="25"/>
  <c r="G35" i="25"/>
  <c r="F35" i="25"/>
  <c r="E35" i="25"/>
  <c r="K29" i="25"/>
  <c r="J29" i="25"/>
  <c r="I29" i="25"/>
  <c r="H29" i="25"/>
  <c r="G29" i="25"/>
  <c r="F29" i="25"/>
  <c r="E29" i="25"/>
  <c r="K28" i="25"/>
  <c r="J28" i="25"/>
  <c r="I28" i="25"/>
  <c r="H28" i="25"/>
  <c r="G28" i="25"/>
  <c r="F28" i="25"/>
  <c r="E28" i="25"/>
  <c r="K27" i="25"/>
  <c r="J27" i="25"/>
  <c r="I27" i="25"/>
  <c r="H27" i="25"/>
  <c r="G27" i="25"/>
  <c r="F27" i="25"/>
  <c r="E27" i="25"/>
  <c r="K26" i="25"/>
  <c r="J26" i="25"/>
  <c r="I26" i="25"/>
  <c r="H26" i="25"/>
  <c r="G26" i="25"/>
  <c r="F26" i="25"/>
  <c r="E26" i="25"/>
  <c r="K25" i="25"/>
  <c r="J25" i="25"/>
  <c r="I25" i="25"/>
  <c r="H25" i="25"/>
  <c r="G25" i="25"/>
  <c r="F25" i="25"/>
  <c r="E25" i="25"/>
  <c r="K24" i="25"/>
  <c r="J24" i="25"/>
  <c r="I24" i="25"/>
  <c r="H24" i="25"/>
  <c r="G24" i="25"/>
  <c r="F24" i="25"/>
  <c r="E24" i="25"/>
  <c r="K23" i="25"/>
  <c r="J23" i="25"/>
  <c r="I23" i="25"/>
  <c r="H23" i="25"/>
  <c r="G23" i="25"/>
  <c r="F23" i="25"/>
  <c r="E23" i="25"/>
  <c r="K22" i="25"/>
  <c r="J22" i="25"/>
  <c r="I22" i="25"/>
  <c r="H22" i="25"/>
  <c r="G22" i="25"/>
  <c r="F22" i="25"/>
  <c r="E22" i="25"/>
  <c r="J21" i="25"/>
  <c r="I21" i="25"/>
  <c r="H21" i="25"/>
  <c r="G21" i="25"/>
  <c r="F21" i="25"/>
  <c r="E21" i="25"/>
  <c r="K20" i="25"/>
  <c r="J20" i="25"/>
  <c r="I20" i="25"/>
  <c r="H20" i="25"/>
  <c r="G20" i="25"/>
  <c r="F20" i="25"/>
  <c r="E20" i="25"/>
  <c r="K7" i="25"/>
  <c r="J7" i="25"/>
  <c r="I7" i="25"/>
  <c r="H7" i="25"/>
  <c r="G7" i="25"/>
  <c r="F7" i="25"/>
  <c r="E7" i="25"/>
  <c r="K35" i="24"/>
  <c r="J35" i="24"/>
  <c r="I35" i="24"/>
  <c r="H35" i="24"/>
  <c r="G35" i="24"/>
  <c r="F35" i="24"/>
  <c r="E35" i="24"/>
  <c r="K29" i="24"/>
  <c r="J29" i="24"/>
  <c r="I29" i="24"/>
  <c r="H29" i="24"/>
  <c r="G29" i="24"/>
  <c r="F29" i="24"/>
  <c r="E29" i="24"/>
  <c r="J28" i="24"/>
  <c r="I28" i="24"/>
  <c r="H28" i="24"/>
  <c r="G28" i="24"/>
  <c r="F28" i="24"/>
  <c r="E28" i="24"/>
  <c r="K27" i="24"/>
  <c r="J27" i="24"/>
  <c r="I27" i="24"/>
  <c r="H27" i="24"/>
  <c r="G27" i="24"/>
  <c r="F27" i="24"/>
  <c r="E27" i="24"/>
  <c r="K26" i="24"/>
  <c r="J26" i="24"/>
  <c r="I26" i="24"/>
  <c r="H26" i="24"/>
  <c r="G26" i="24"/>
  <c r="F26" i="24"/>
  <c r="E26" i="24"/>
  <c r="K25" i="24"/>
  <c r="J25" i="24"/>
  <c r="I25" i="24"/>
  <c r="H25" i="24"/>
  <c r="G25" i="24"/>
  <c r="F25" i="24"/>
  <c r="E25" i="24"/>
  <c r="K24" i="24"/>
  <c r="J24" i="24"/>
  <c r="I24" i="24"/>
  <c r="H24" i="24"/>
  <c r="G24" i="24"/>
  <c r="F24" i="24"/>
  <c r="E24" i="24"/>
  <c r="K23" i="24"/>
  <c r="J23" i="24"/>
  <c r="I23" i="24"/>
  <c r="H23" i="24"/>
  <c r="G23" i="24"/>
  <c r="F23" i="24"/>
  <c r="E23" i="24"/>
  <c r="K22" i="24"/>
  <c r="J22" i="24"/>
  <c r="I22" i="24"/>
  <c r="H22" i="24"/>
  <c r="G22" i="24"/>
  <c r="F22" i="24"/>
  <c r="E22" i="24"/>
  <c r="K21" i="24"/>
  <c r="J21" i="24"/>
  <c r="I21" i="24"/>
  <c r="H21" i="24"/>
  <c r="G21" i="24"/>
  <c r="F21" i="24"/>
  <c r="K20" i="24"/>
  <c r="J20" i="24"/>
  <c r="I20" i="24"/>
  <c r="H20" i="24"/>
  <c r="G20" i="24"/>
  <c r="F20" i="24"/>
  <c r="E20" i="24"/>
  <c r="K7" i="24"/>
  <c r="J7" i="24"/>
  <c r="I7" i="24"/>
  <c r="H7" i="24"/>
  <c r="G7" i="24"/>
  <c r="F7" i="24"/>
  <c r="E7" i="24"/>
  <c r="K35" i="8"/>
  <c r="J35" i="8"/>
  <c r="I35" i="8"/>
  <c r="H35" i="8"/>
  <c r="G35" i="8"/>
  <c r="F35" i="8"/>
  <c r="E35" i="8"/>
  <c r="K35" i="7"/>
  <c r="J35" i="7"/>
  <c r="I35" i="7"/>
  <c r="H35" i="7"/>
  <c r="G35" i="7"/>
  <c r="F35" i="7"/>
  <c r="E35" i="7"/>
  <c r="E36" i="6"/>
  <c r="K29" i="8"/>
  <c r="J29" i="8"/>
  <c r="I29" i="8"/>
  <c r="H29" i="8"/>
  <c r="G29" i="8"/>
  <c r="F29" i="8"/>
  <c r="E29" i="8"/>
  <c r="K28" i="8"/>
  <c r="J28" i="8"/>
  <c r="I28" i="8"/>
  <c r="H28" i="8"/>
  <c r="G28" i="8"/>
  <c r="F28" i="8"/>
  <c r="E28" i="8"/>
  <c r="K27" i="8"/>
  <c r="J27" i="8"/>
  <c r="I27" i="8"/>
  <c r="H27" i="8"/>
  <c r="G27" i="8"/>
  <c r="F27" i="8"/>
  <c r="E27" i="8"/>
  <c r="K26" i="8"/>
  <c r="J26" i="8"/>
  <c r="I26" i="8"/>
  <c r="H26" i="8"/>
  <c r="G26" i="8"/>
  <c r="F26" i="8"/>
  <c r="E26" i="8"/>
  <c r="K25" i="8"/>
  <c r="J25" i="8"/>
  <c r="I25" i="8"/>
  <c r="H25" i="8"/>
  <c r="G25" i="8"/>
  <c r="F25" i="8"/>
  <c r="E25" i="8"/>
  <c r="K24" i="8"/>
  <c r="J24" i="8"/>
  <c r="I24" i="8"/>
  <c r="H24" i="8"/>
  <c r="G24" i="8"/>
  <c r="F24" i="8"/>
  <c r="E24" i="8"/>
  <c r="K23" i="8"/>
  <c r="J23" i="8"/>
  <c r="I23" i="8"/>
  <c r="H23" i="8"/>
  <c r="G23" i="8"/>
  <c r="F23" i="8"/>
  <c r="E23" i="8"/>
  <c r="K22" i="8"/>
  <c r="J22" i="8"/>
  <c r="I22" i="8"/>
  <c r="H22" i="8"/>
  <c r="G22" i="8"/>
  <c r="F22" i="8"/>
  <c r="E22" i="8"/>
  <c r="K21" i="8"/>
  <c r="J21" i="8"/>
  <c r="I21" i="8"/>
  <c r="H21" i="8"/>
  <c r="G21" i="8"/>
  <c r="F21" i="8"/>
  <c r="E21" i="8"/>
  <c r="K20" i="8"/>
  <c r="J20" i="8"/>
  <c r="I20" i="8"/>
  <c r="H20" i="8"/>
  <c r="G20" i="8"/>
  <c r="F20" i="8"/>
  <c r="E20" i="8"/>
  <c r="K7" i="8"/>
  <c r="J7" i="8"/>
  <c r="I7" i="8"/>
  <c r="H7" i="8"/>
  <c r="G7" i="8"/>
  <c r="F7" i="8"/>
  <c r="E7" i="8"/>
  <c r="K29" i="7"/>
  <c r="J29" i="7"/>
  <c r="I29" i="7"/>
  <c r="H29" i="7"/>
  <c r="G29" i="7"/>
  <c r="F29" i="7"/>
  <c r="E29" i="7"/>
  <c r="K28" i="7"/>
  <c r="J28" i="7"/>
  <c r="I28" i="7"/>
  <c r="H28" i="7"/>
  <c r="G28" i="7"/>
  <c r="F28" i="7"/>
  <c r="E28" i="7"/>
  <c r="K27" i="7"/>
  <c r="J27" i="7"/>
  <c r="I27" i="7"/>
  <c r="H27" i="7"/>
  <c r="G27" i="7"/>
  <c r="F27" i="7"/>
  <c r="E27" i="7"/>
  <c r="K26" i="7"/>
  <c r="J26" i="7"/>
  <c r="I26" i="7"/>
  <c r="H26" i="7"/>
  <c r="G26" i="7"/>
  <c r="F26" i="7"/>
  <c r="E26" i="7"/>
  <c r="K25" i="7"/>
  <c r="J25" i="7"/>
  <c r="I25" i="7"/>
  <c r="H25" i="7"/>
  <c r="G25" i="7"/>
  <c r="F25" i="7"/>
  <c r="E25" i="7"/>
  <c r="K24" i="7"/>
  <c r="J24" i="7"/>
  <c r="I24" i="7"/>
  <c r="H24" i="7"/>
  <c r="G24" i="7"/>
  <c r="F24" i="7"/>
  <c r="E24" i="7"/>
  <c r="K23" i="7"/>
  <c r="J23" i="7"/>
  <c r="I23" i="7"/>
  <c r="H23" i="7"/>
  <c r="G23" i="7"/>
  <c r="F23" i="7"/>
  <c r="E23" i="7"/>
  <c r="K22" i="7"/>
  <c r="J22" i="7"/>
  <c r="I22" i="7"/>
  <c r="H22" i="7"/>
  <c r="G22" i="7"/>
  <c r="F22" i="7"/>
  <c r="E22" i="7"/>
  <c r="K21" i="7"/>
  <c r="J21" i="7"/>
  <c r="I21" i="7"/>
  <c r="H21" i="7"/>
  <c r="G21" i="7"/>
  <c r="F21" i="7"/>
  <c r="E21" i="7"/>
  <c r="K20" i="7"/>
  <c r="J20" i="7"/>
  <c r="I20" i="7"/>
  <c r="H20" i="7"/>
  <c r="G20" i="7"/>
  <c r="F20" i="7"/>
  <c r="E20" i="7"/>
  <c r="K7" i="7"/>
  <c r="J7" i="7"/>
  <c r="I7" i="7"/>
  <c r="H7" i="7"/>
  <c r="G7" i="7"/>
  <c r="F7" i="7"/>
  <c r="E7" i="7"/>
  <c r="K7" i="6"/>
  <c r="J7" i="6"/>
  <c r="I7" i="6"/>
  <c r="H7" i="6"/>
  <c r="G7" i="6"/>
  <c r="F7" i="6"/>
  <c r="E7" i="6"/>
  <c r="I340" i="2" l="1"/>
  <c r="J340" i="2"/>
  <c r="K340" i="2"/>
  <c r="I339" i="2"/>
  <c r="J339" i="2"/>
  <c r="K339" i="2"/>
  <c r="I60" i="2"/>
  <c r="J60" i="2"/>
  <c r="K44" i="6"/>
  <c r="J44" i="6"/>
  <c r="I44" i="6"/>
  <c r="H44" i="6"/>
  <c r="G44" i="6"/>
  <c r="F44" i="6"/>
  <c r="E44" i="6"/>
  <c r="K41" i="6"/>
  <c r="K45" i="6" s="1"/>
  <c r="J41" i="6"/>
  <c r="J45" i="6" s="1"/>
  <c r="I41" i="6"/>
  <c r="I45" i="6" s="1"/>
  <c r="H41" i="6"/>
  <c r="H45" i="6" s="1"/>
  <c r="G41" i="6"/>
  <c r="G45" i="6" s="1"/>
  <c r="F41" i="6"/>
  <c r="F45" i="6" s="1"/>
  <c r="E41" i="6"/>
  <c r="E45" i="6" s="1"/>
  <c r="K39" i="6"/>
  <c r="J39" i="6"/>
  <c r="I39" i="6"/>
  <c r="H39" i="6"/>
  <c r="G39" i="6"/>
  <c r="F39" i="6"/>
  <c r="E39" i="6"/>
  <c r="K36" i="6"/>
  <c r="K40" i="6" s="1"/>
  <c r="J36" i="6"/>
  <c r="J40" i="6" s="1"/>
  <c r="I36" i="6"/>
  <c r="I40" i="6" s="1"/>
  <c r="H36" i="6"/>
  <c r="H40" i="6" s="1"/>
  <c r="G36" i="6"/>
  <c r="G40" i="6" s="1"/>
  <c r="F36" i="6"/>
  <c r="F40" i="6" s="1"/>
  <c r="E40" i="6"/>
  <c r="K35" i="6"/>
  <c r="J35" i="6"/>
  <c r="I35" i="6"/>
  <c r="H35" i="6"/>
  <c r="G35" i="6"/>
  <c r="F35" i="6"/>
  <c r="E35" i="6"/>
  <c r="E34" i="6"/>
  <c r="K29" i="6"/>
  <c r="J29" i="6"/>
  <c r="I29" i="6"/>
  <c r="H29" i="6"/>
  <c r="G29" i="6"/>
  <c r="F29" i="6"/>
  <c r="E29" i="6"/>
  <c r="K28" i="6"/>
  <c r="J28" i="6"/>
  <c r="I28" i="6"/>
  <c r="H28" i="6"/>
  <c r="G28" i="6"/>
  <c r="F28" i="6"/>
  <c r="E28" i="6"/>
  <c r="K27" i="6"/>
  <c r="J27" i="6"/>
  <c r="I27" i="6"/>
  <c r="H27" i="6"/>
  <c r="G27" i="6"/>
  <c r="F27" i="6"/>
  <c r="E27" i="6"/>
  <c r="K26" i="6"/>
  <c r="J26" i="6"/>
  <c r="I26" i="6"/>
  <c r="H26" i="6"/>
  <c r="G26" i="6"/>
  <c r="F26" i="6"/>
  <c r="E26" i="6"/>
  <c r="K25" i="6"/>
  <c r="J25" i="6"/>
  <c r="I25" i="6"/>
  <c r="H25" i="6"/>
  <c r="G25" i="6"/>
  <c r="F25" i="6"/>
  <c r="E25" i="6"/>
  <c r="K24" i="6"/>
  <c r="J24" i="6"/>
  <c r="I24" i="6"/>
  <c r="H24" i="6"/>
  <c r="G24" i="6"/>
  <c r="F24" i="6"/>
  <c r="E24" i="6"/>
  <c r="K23" i="6"/>
  <c r="J23" i="6"/>
  <c r="I23" i="6"/>
  <c r="H23" i="6"/>
  <c r="G23" i="6"/>
  <c r="F23" i="6"/>
  <c r="E23" i="6"/>
  <c r="K22" i="6"/>
  <c r="J22" i="6"/>
  <c r="I22" i="6"/>
  <c r="H22" i="6"/>
  <c r="G22" i="6"/>
  <c r="F22" i="6"/>
  <c r="E22" i="6"/>
  <c r="K21" i="6"/>
  <c r="J21" i="6"/>
  <c r="I21" i="6"/>
  <c r="H21" i="6"/>
  <c r="G21" i="6"/>
  <c r="F21" i="6"/>
  <c r="E21" i="6"/>
  <c r="K20" i="6"/>
  <c r="J20" i="6"/>
  <c r="I20" i="6"/>
  <c r="H20" i="6"/>
  <c r="G20" i="6"/>
  <c r="F20" i="6"/>
  <c r="E20" i="6"/>
  <c r="E6" i="6"/>
  <c r="F6" i="6"/>
  <c r="G6" i="6"/>
  <c r="H6" i="6"/>
  <c r="I6" i="6"/>
  <c r="J6" i="6"/>
  <c r="K6" i="6"/>
  <c r="H325" i="5" l="1"/>
  <c r="I325" i="5"/>
  <c r="J325" i="5"/>
  <c r="K325" i="5"/>
  <c r="K340" i="5"/>
  <c r="J340" i="5"/>
  <c r="I340" i="5"/>
  <c r="H340" i="5"/>
  <c r="K339" i="5"/>
  <c r="J339" i="5"/>
  <c r="I339" i="5"/>
  <c r="H339" i="5"/>
  <c r="K335" i="5"/>
  <c r="J335" i="5"/>
  <c r="I335" i="5"/>
  <c r="K334" i="5"/>
  <c r="J334" i="5"/>
  <c r="I334" i="5"/>
  <c r="K330" i="5"/>
  <c r="J330" i="5"/>
  <c r="I330" i="5"/>
  <c r="K329" i="5"/>
  <c r="J329" i="5"/>
  <c r="I329" i="5"/>
  <c r="G325" i="5"/>
  <c r="I55" i="5"/>
  <c r="J55" i="5"/>
  <c r="K55" i="5"/>
  <c r="I315" i="5"/>
  <c r="I314" i="5"/>
  <c r="I313" i="5"/>
  <c r="F313" i="5"/>
  <c r="F315" i="5"/>
  <c r="F314" i="5"/>
  <c r="I272" i="5" l="1"/>
  <c r="I288" i="5"/>
  <c r="F124" i="5"/>
  <c r="F128" i="5"/>
  <c r="F132" i="5"/>
  <c r="F136" i="5"/>
  <c r="F140" i="5"/>
  <c r="F144" i="5"/>
  <c r="F148" i="5"/>
  <c r="F152" i="5"/>
  <c r="F156" i="5"/>
  <c r="F160" i="5"/>
  <c r="F164" i="5"/>
  <c r="F168" i="5"/>
  <c r="F172" i="5"/>
  <c r="F176" i="5"/>
  <c r="F180" i="5"/>
  <c r="F184" i="5"/>
  <c r="F188" i="5"/>
  <c r="F196" i="5"/>
  <c r="F200" i="5"/>
  <c r="F204" i="5"/>
  <c r="F208" i="5"/>
  <c r="F212" i="5"/>
  <c r="F216" i="5"/>
  <c r="F220" i="5"/>
  <c r="F224" i="5"/>
  <c r="F92" i="5"/>
  <c r="F88" i="5"/>
  <c r="F96" i="5"/>
  <c r="F100" i="5"/>
  <c r="F104" i="5"/>
  <c r="F108" i="5"/>
  <c r="F112" i="5"/>
  <c r="F116" i="5"/>
  <c r="F120" i="5"/>
  <c r="J60" i="5" l="1"/>
  <c r="I60" i="5"/>
  <c r="H60" i="5"/>
  <c r="F51" i="5"/>
  <c r="G51" i="5"/>
  <c r="H51" i="5"/>
  <c r="I51" i="5"/>
  <c r="J51" i="5"/>
  <c r="K51" i="5"/>
  <c r="E51" i="5"/>
  <c r="E50" i="5"/>
  <c r="K44" i="5"/>
  <c r="J44" i="5"/>
  <c r="I44" i="5"/>
  <c r="H44" i="5"/>
  <c r="G44" i="5"/>
  <c r="F44" i="5"/>
  <c r="E44" i="5"/>
  <c r="F41" i="5"/>
  <c r="F45" i="5" s="1"/>
  <c r="G41" i="5"/>
  <c r="G45" i="5" s="1"/>
  <c r="H41" i="5"/>
  <c r="H45" i="5" s="1"/>
  <c r="I41" i="5"/>
  <c r="I45" i="5" s="1"/>
  <c r="J41" i="5"/>
  <c r="J45" i="5" s="1"/>
  <c r="K41" i="5"/>
  <c r="K45" i="5" s="1"/>
  <c r="E41" i="5"/>
  <c r="E45" i="5" s="1"/>
  <c r="F36" i="5"/>
  <c r="F40" i="5" s="1"/>
  <c r="G36" i="5"/>
  <c r="G40" i="5" s="1"/>
  <c r="H36" i="5"/>
  <c r="H40" i="5" s="1"/>
  <c r="I36" i="5"/>
  <c r="I40" i="5" s="1"/>
  <c r="J36" i="5"/>
  <c r="J40" i="5" s="1"/>
  <c r="K36" i="5"/>
  <c r="K40" i="5" s="1"/>
  <c r="E36" i="5"/>
  <c r="E40" i="5" s="1"/>
  <c r="K39" i="5"/>
  <c r="J39" i="5"/>
  <c r="I39" i="5"/>
  <c r="H39" i="5"/>
  <c r="G39" i="5"/>
  <c r="F39" i="5"/>
  <c r="E39" i="5"/>
  <c r="K35" i="5"/>
  <c r="J35" i="5"/>
  <c r="I35" i="5"/>
  <c r="H35" i="5"/>
  <c r="G35" i="5"/>
  <c r="F35" i="5"/>
  <c r="E35" i="5"/>
  <c r="F29" i="5"/>
  <c r="G29" i="5"/>
  <c r="H29" i="5"/>
  <c r="I29" i="5"/>
  <c r="J29" i="5"/>
  <c r="K29" i="5"/>
  <c r="F24" i="5"/>
  <c r="G24" i="5"/>
  <c r="H24" i="5"/>
  <c r="I24" i="5"/>
  <c r="J24" i="5"/>
  <c r="K24" i="5"/>
  <c r="E29" i="5"/>
  <c r="E28" i="5"/>
  <c r="E27" i="5"/>
  <c r="E26" i="5"/>
  <c r="E25" i="5"/>
  <c r="E24" i="5"/>
  <c r="K23" i="5"/>
  <c r="J23" i="5"/>
  <c r="I23" i="5"/>
  <c r="H23" i="5"/>
  <c r="G23" i="5"/>
  <c r="F23" i="5"/>
  <c r="E23" i="5"/>
  <c r="K22" i="5"/>
  <c r="J22" i="5"/>
  <c r="I22" i="5"/>
  <c r="H22" i="5"/>
  <c r="G22" i="5"/>
  <c r="F22" i="5"/>
  <c r="E22" i="5"/>
  <c r="K21" i="5"/>
  <c r="J21" i="5"/>
  <c r="I21" i="5"/>
  <c r="H21" i="5"/>
  <c r="G21" i="5"/>
  <c r="F21" i="5"/>
  <c r="E21" i="5"/>
  <c r="K20" i="5"/>
  <c r="J20" i="5"/>
  <c r="I20" i="5"/>
  <c r="H20" i="5"/>
  <c r="G20" i="5"/>
  <c r="F20" i="5"/>
  <c r="E20" i="5"/>
  <c r="I312" i="5" l="1"/>
  <c r="F312" i="5"/>
  <c r="I308" i="5"/>
  <c r="F308" i="5"/>
  <c r="I304" i="5"/>
  <c r="F304" i="5"/>
  <c r="I300" i="5"/>
  <c r="F300" i="5"/>
  <c r="I296" i="5"/>
  <c r="F296" i="5"/>
  <c r="I292" i="5"/>
  <c r="F292" i="5"/>
  <c r="F288" i="5"/>
  <c r="I284" i="5"/>
  <c r="F284" i="5"/>
  <c r="I280" i="5"/>
  <c r="F280" i="5"/>
  <c r="I276" i="5"/>
  <c r="F276" i="5"/>
  <c r="F272" i="5"/>
  <c r="I268" i="5"/>
  <c r="F268" i="5"/>
  <c r="I264" i="5"/>
  <c r="F264" i="5"/>
  <c r="I260" i="5"/>
  <c r="F260" i="5"/>
  <c r="I256" i="5"/>
  <c r="F256" i="5"/>
  <c r="I252" i="5"/>
  <c r="F252" i="5"/>
  <c r="I248" i="5"/>
  <c r="F248" i="5"/>
  <c r="I244" i="5"/>
  <c r="F244" i="5"/>
  <c r="I240" i="5"/>
  <c r="F240" i="5"/>
  <c r="I236" i="5"/>
  <c r="F236" i="5"/>
  <c r="I232" i="5"/>
  <c r="F232" i="5"/>
  <c r="I228" i="5"/>
  <c r="I224" i="5"/>
  <c r="I220" i="5"/>
  <c r="I216" i="5"/>
  <c r="I212" i="5"/>
  <c r="I208" i="5"/>
  <c r="I204" i="5"/>
  <c r="I200" i="5"/>
  <c r="I196" i="5"/>
  <c r="I192" i="5"/>
  <c r="I188" i="5"/>
  <c r="I184" i="5"/>
  <c r="I180" i="5"/>
  <c r="I176" i="5"/>
  <c r="I172" i="5"/>
  <c r="I168" i="5"/>
  <c r="I164" i="5"/>
  <c r="I160" i="5"/>
  <c r="I156" i="5"/>
  <c r="I152" i="5"/>
  <c r="I148" i="5"/>
  <c r="I144" i="5"/>
  <c r="I140" i="5"/>
  <c r="I136" i="5"/>
  <c r="I132" i="5"/>
  <c r="I128" i="5"/>
  <c r="I124" i="5"/>
  <c r="I120" i="5"/>
  <c r="I116" i="5"/>
  <c r="I112" i="5"/>
  <c r="I108" i="5"/>
  <c r="I104" i="5"/>
  <c r="I100" i="5"/>
  <c r="I96" i="5"/>
  <c r="I92" i="5"/>
  <c r="I88" i="5"/>
  <c r="I84" i="5"/>
  <c r="F84" i="5"/>
  <c r="I80" i="5"/>
  <c r="F80" i="5"/>
  <c r="I76" i="5"/>
  <c r="F76" i="5"/>
  <c r="I72" i="5"/>
  <c r="F72" i="5"/>
  <c r="F68" i="5"/>
  <c r="K7" i="5"/>
  <c r="J7" i="5"/>
  <c r="I7" i="5"/>
  <c r="H7" i="5"/>
  <c r="G7" i="5"/>
  <c r="F7" i="5"/>
  <c r="E7" i="5"/>
  <c r="K487" i="2"/>
  <c r="J487" i="2"/>
  <c r="I487" i="2"/>
  <c r="H487" i="2"/>
  <c r="G487" i="2"/>
  <c r="J485" i="2" l="1"/>
  <c r="I485" i="2"/>
  <c r="K485" i="2"/>
  <c r="H485" i="2"/>
  <c r="F484" i="2"/>
  <c r="G485" i="2"/>
  <c r="G484" i="2"/>
  <c r="K484" i="2"/>
  <c r="F485" i="2"/>
  <c r="J484" i="2"/>
  <c r="I484" i="2"/>
  <c r="H484" i="2"/>
  <c r="K473" i="2" l="1"/>
  <c r="K472" i="2"/>
  <c r="H349" i="2" l="1"/>
  <c r="I349" i="2"/>
  <c r="J349" i="2"/>
  <c r="G349" i="2"/>
  <c r="H340" i="2" l="1"/>
  <c r="H339" i="2"/>
  <c r="J335" i="2"/>
  <c r="K335" i="2"/>
  <c r="J334" i="2"/>
  <c r="K334" i="2"/>
  <c r="J329" i="2"/>
  <c r="J330" i="2"/>
  <c r="K330" i="2"/>
  <c r="I330" i="2"/>
  <c r="I329" i="2"/>
  <c r="I335" i="2"/>
  <c r="I334" i="2"/>
  <c r="K329" i="2"/>
  <c r="H325" i="2"/>
  <c r="I325" i="2"/>
  <c r="J325" i="2"/>
  <c r="K325" i="2"/>
  <c r="G325" i="2"/>
  <c r="G320" i="2" l="1"/>
  <c r="H320" i="2"/>
  <c r="I320" i="2"/>
  <c r="J320" i="2"/>
  <c r="K320" i="2"/>
  <c r="I315" i="2"/>
  <c r="I314" i="2"/>
  <c r="F315" i="2"/>
  <c r="F314" i="2"/>
  <c r="F313" i="2"/>
  <c r="F232" i="2"/>
  <c r="F236" i="2"/>
  <c r="F240" i="2"/>
  <c r="F244" i="2"/>
  <c r="F248" i="2"/>
  <c r="F252" i="2"/>
  <c r="F256" i="2"/>
  <c r="F260" i="2"/>
  <c r="F264" i="2"/>
  <c r="F268" i="2"/>
  <c r="F272" i="2"/>
  <c r="F276" i="2"/>
  <c r="F280" i="2"/>
  <c r="F284" i="2"/>
  <c r="F288" i="2"/>
  <c r="F292" i="2"/>
  <c r="F296" i="2"/>
  <c r="F300" i="2"/>
  <c r="F304" i="2"/>
  <c r="F308" i="2"/>
  <c r="F312" i="2"/>
  <c r="F196" i="2"/>
  <c r="F108" i="2"/>
  <c r="F140" i="2"/>
  <c r="F144" i="2"/>
  <c r="F148" i="2"/>
  <c r="F152" i="2"/>
  <c r="F156" i="2"/>
  <c r="F160" i="2"/>
  <c r="F164" i="2"/>
  <c r="F168" i="2"/>
  <c r="F172" i="2"/>
  <c r="F176" i="2"/>
  <c r="F180" i="2"/>
  <c r="F184" i="2"/>
  <c r="F188" i="2"/>
  <c r="F192" i="2"/>
  <c r="F200" i="2"/>
  <c r="F204" i="2"/>
  <c r="F208" i="2"/>
  <c r="F212" i="2"/>
  <c r="F216" i="2"/>
  <c r="F220" i="2"/>
  <c r="F224" i="2"/>
  <c r="F80" i="2" l="1"/>
  <c r="F76" i="2"/>
  <c r="F72" i="2"/>
  <c r="F68" i="2"/>
  <c r="I312" i="2" l="1"/>
  <c r="I308" i="2"/>
  <c r="I304" i="2"/>
  <c r="I300" i="2"/>
  <c r="I296" i="2"/>
  <c r="I292" i="2"/>
  <c r="I288" i="2"/>
  <c r="I284" i="2"/>
  <c r="I280" i="2"/>
  <c r="I276" i="2"/>
  <c r="I272" i="2"/>
  <c r="I268" i="2"/>
  <c r="I264" i="2"/>
  <c r="I260" i="2"/>
  <c r="I256" i="2"/>
  <c r="I252" i="2"/>
  <c r="I248" i="2"/>
  <c r="I244" i="2"/>
  <c r="I240" i="2"/>
  <c r="I236" i="2"/>
  <c r="I232" i="2"/>
  <c r="I228" i="2"/>
  <c r="I224" i="2"/>
  <c r="I220" i="2"/>
  <c r="I216" i="2"/>
  <c r="I212" i="2"/>
  <c r="I208" i="2"/>
  <c r="I204" i="2"/>
  <c r="I200" i="2"/>
  <c r="I196" i="2"/>
  <c r="I192" i="2"/>
  <c r="I188" i="2"/>
  <c r="I184" i="2"/>
  <c r="I180" i="2"/>
  <c r="I176" i="2"/>
  <c r="I172" i="2"/>
  <c r="I168" i="2"/>
  <c r="I164" i="2"/>
  <c r="I160" i="2"/>
  <c r="I156" i="2"/>
  <c r="I152" i="2"/>
  <c r="I148" i="2"/>
  <c r="I144" i="2"/>
  <c r="I140" i="2"/>
  <c r="I136" i="2"/>
  <c r="F136" i="2"/>
  <c r="I132" i="2"/>
  <c r="F132" i="2"/>
  <c r="I128" i="2"/>
  <c r="F128" i="2"/>
  <c r="I124" i="2"/>
  <c r="F124" i="2"/>
  <c r="I120" i="2"/>
  <c r="F120" i="2"/>
  <c r="I116" i="2"/>
  <c r="F116" i="2"/>
  <c r="I112" i="2"/>
  <c r="F112" i="2"/>
  <c r="I108" i="2"/>
  <c r="I104" i="2"/>
  <c r="F104" i="2"/>
  <c r="I100" i="2"/>
  <c r="F100" i="2"/>
  <c r="I96" i="2"/>
  <c r="F96" i="2"/>
  <c r="I92" i="2"/>
  <c r="F92" i="2"/>
  <c r="I88" i="2"/>
  <c r="F88" i="2"/>
  <c r="I84" i="2"/>
  <c r="F84" i="2"/>
  <c r="I80" i="2"/>
  <c r="I76" i="2"/>
  <c r="I72" i="2"/>
  <c r="H60" i="2" l="1"/>
  <c r="I55" i="2"/>
  <c r="J55" i="2"/>
  <c r="K55" i="2"/>
  <c r="F51" i="2" l="1"/>
  <c r="G51" i="2"/>
  <c r="H51" i="2"/>
  <c r="I51" i="2"/>
  <c r="J51" i="2"/>
  <c r="K51" i="2"/>
  <c r="F50" i="2"/>
  <c r="G50" i="2"/>
  <c r="H50" i="2"/>
  <c r="I50" i="2"/>
  <c r="J50" i="2"/>
  <c r="K50" i="2"/>
  <c r="E51" i="2"/>
  <c r="E50" i="2"/>
  <c r="F34" i="2"/>
  <c r="G34" i="2"/>
  <c r="H34" i="2"/>
  <c r="I34" i="2"/>
  <c r="J34" i="2"/>
  <c r="K34" i="2"/>
  <c r="F24" i="2" l="1"/>
  <c r="G24" i="2"/>
  <c r="H24" i="2"/>
  <c r="I24" i="2"/>
  <c r="J24" i="2"/>
  <c r="K24" i="2"/>
  <c r="F44" i="2"/>
  <c r="G44" i="2"/>
  <c r="H44" i="2"/>
  <c r="I44" i="2"/>
  <c r="J44" i="2"/>
  <c r="K44" i="2"/>
  <c r="F39" i="2"/>
  <c r="G39" i="2"/>
  <c r="H39" i="2"/>
  <c r="I39" i="2"/>
  <c r="J39" i="2"/>
  <c r="K39" i="2"/>
  <c r="E44" i="2"/>
  <c r="F41" i="2"/>
  <c r="F45" i="2" s="1"/>
  <c r="G41" i="2"/>
  <c r="G45" i="2" s="1"/>
  <c r="H41" i="2"/>
  <c r="H45" i="2" s="1"/>
  <c r="I41" i="2"/>
  <c r="I45" i="2" s="1"/>
  <c r="J41" i="2"/>
  <c r="J45" i="2" s="1"/>
  <c r="K41" i="2"/>
  <c r="K45" i="2" s="1"/>
  <c r="E41" i="2"/>
  <c r="E45" i="2" s="1"/>
  <c r="E39" i="2"/>
  <c r="H36" i="2"/>
  <c r="H40" i="2" s="1"/>
  <c r="I36" i="2"/>
  <c r="I40" i="2" s="1"/>
  <c r="J36" i="2"/>
  <c r="J40" i="2" s="1"/>
  <c r="K36" i="2"/>
  <c r="K40" i="2" s="1"/>
  <c r="F36" i="2"/>
  <c r="F40" i="2" s="1"/>
  <c r="G36" i="2"/>
  <c r="G40" i="2" s="1"/>
  <c r="E36" i="2"/>
  <c r="E40" i="2" s="1"/>
  <c r="F35" i="2"/>
  <c r="G35" i="2"/>
  <c r="H35" i="2"/>
  <c r="I35" i="2"/>
  <c r="J35" i="2"/>
  <c r="K35" i="2"/>
  <c r="E35" i="2"/>
  <c r="F29" i="2"/>
  <c r="G29" i="2"/>
  <c r="H29" i="2"/>
  <c r="I29" i="2"/>
  <c r="J29" i="2"/>
  <c r="F28" i="2"/>
  <c r="G28" i="2"/>
  <c r="H28" i="2"/>
  <c r="I28" i="2"/>
  <c r="J28" i="2"/>
  <c r="F27" i="2"/>
  <c r="G27" i="2"/>
  <c r="H27" i="2"/>
  <c r="I27" i="2"/>
  <c r="J27" i="2"/>
  <c r="F26" i="2"/>
  <c r="G26" i="2"/>
  <c r="H26" i="2"/>
  <c r="I26" i="2"/>
  <c r="J26" i="2"/>
  <c r="F25" i="2"/>
  <c r="G25" i="2"/>
  <c r="H25" i="2"/>
  <c r="I25" i="2"/>
  <c r="J25" i="2"/>
  <c r="E27" i="2"/>
  <c r="E28" i="2"/>
  <c r="E29" i="2"/>
  <c r="F23" i="2"/>
  <c r="G23" i="2"/>
  <c r="H23" i="2"/>
  <c r="I23" i="2"/>
  <c r="J23" i="2"/>
  <c r="K23" i="2"/>
  <c r="F22" i="2"/>
  <c r="G22" i="2"/>
  <c r="H22" i="2"/>
  <c r="I22" i="2"/>
  <c r="J22" i="2"/>
  <c r="K22" i="2"/>
  <c r="F20" i="2"/>
  <c r="G20" i="2"/>
  <c r="H20" i="2"/>
  <c r="I20" i="2"/>
  <c r="J20" i="2"/>
  <c r="K20" i="2"/>
  <c r="F21" i="2"/>
  <c r="G21" i="2"/>
  <c r="H21" i="2"/>
  <c r="I21" i="2"/>
  <c r="J21" i="2"/>
  <c r="K21" i="2"/>
  <c r="E20" i="2"/>
  <c r="K6" i="5" l="1"/>
  <c r="J6" i="5"/>
  <c r="I6" i="5"/>
  <c r="H6" i="5"/>
  <c r="G6" i="5"/>
  <c r="F6" i="5"/>
  <c r="E6" i="5"/>
  <c r="F7" i="2"/>
  <c r="G7" i="2"/>
  <c r="H7" i="2"/>
  <c r="I7" i="2"/>
  <c r="J7" i="2"/>
  <c r="K7" i="2"/>
  <c r="F6" i="2"/>
  <c r="G6" i="2"/>
  <c r="H6" i="2"/>
  <c r="I6" i="2"/>
  <c r="J6" i="2"/>
  <c r="K6" i="2"/>
  <c r="E7" i="2"/>
  <c r="I345" i="22"/>
  <c r="H345" i="22"/>
  <c r="G345" i="22"/>
  <c r="F345" i="22"/>
  <c r="E345" i="22"/>
  <c r="K55" i="22"/>
  <c r="J55" i="22"/>
  <c r="H55" i="22"/>
  <c r="I345" i="21"/>
  <c r="H345" i="21"/>
  <c r="G345" i="21"/>
  <c r="F345" i="21"/>
  <c r="E345" i="21"/>
  <c r="K55" i="21"/>
  <c r="J55" i="21"/>
  <c r="H55" i="21"/>
  <c r="I345" i="20"/>
  <c r="H345" i="20"/>
  <c r="G345" i="20"/>
  <c r="F345" i="20"/>
  <c r="E345" i="20"/>
  <c r="K55" i="20"/>
  <c r="J55" i="20"/>
  <c r="H55" i="20"/>
  <c r="I345" i="19"/>
  <c r="H345" i="19"/>
  <c r="G345" i="19"/>
  <c r="F345" i="19"/>
  <c r="E345" i="19"/>
  <c r="K55" i="19"/>
  <c r="J55" i="19"/>
  <c r="H55" i="19"/>
  <c r="I345" i="18"/>
  <c r="H345" i="18"/>
  <c r="G345" i="18"/>
  <c r="F345" i="18"/>
  <c r="E345" i="18"/>
  <c r="K55" i="18"/>
  <c r="J55" i="18"/>
  <c r="H55" i="18"/>
  <c r="I345" i="17"/>
  <c r="H345" i="17"/>
  <c r="G345" i="17"/>
  <c r="F345" i="17"/>
  <c r="E345" i="17"/>
  <c r="K55" i="17"/>
  <c r="J55" i="17"/>
  <c r="H55" i="17"/>
  <c r="I345" i="16"/>
  <c r="H345" i="16"/>
  <c r="G345" i="16"/>
  <c r="F345" i="16"/>
  <c r="E345" i="16"/>
  <c r="I345" i="15"/>
  <c r="H345" i="15"/>
  <c r="G345" i="15"/>
  <c r="F345" i="15"/>
  <c r="E345" i="15"/>
  <c r="K55" i="15"/>
  <c r="J55" i="15"/>
  <c r="H55" i="15"/>
  <c r="I345" i="14"/>
  <c r="H345" i="14"/>
  <c r="G345" i="14"/>
  <c r="F345" i="14"/>
  <c r="E345" i="14"/>
  <c r="K55" i="14"/>
  <c r="J55" i="14"/>
  <c r="H55" i="14"/>
  <c r="I345" i="13"/>
  <c r="H345" i="13"/>
  <c r="G345" i="13"/>
  <c r="F345" i="13"/>
  <c r="E345" i="13"/>
  <c r="K55" i="13"/>
  <c r="J55" i="13"/>
  <c r="H55" i="13"/>
  <c r="I345" i="12"/>
  <c r="H345" i="12"/>
  <c r="G345" i="12"/>
  <c r="F345" i="12"/>
  <c r="E345" i="12"/>
  <c r="K55" i="12"/>
  <c r="J55" i="12"/>
  <c r="H55" i="12"/>
  <c r="I345" i="11"/>
  <c r="H345" i="11"/>
  <c r="G345" i="11"/>
  <c r="F345" i="11"/>
  <c r="E345" i="11"/>
  <c r="K55" i="11"/>
  <c r="J55" i="11"/>
  <c r="H55" i="11"/>
  <c r="I345" i="10"/>
  <c r="H345" i="10"/>
  <c r="G345" i="10"/>
  <c r="F345" i="10"/>
  <c r="E345" i="10"/>
  <c r="K55" i="10"/>
  <c r="J55" i="10"/>
  <c r="H55" i="10"/>
  <c r="I345" i="9"/>
  <c r="H345" i="9"/>
  <c r="G345" i="9"/>
  <c r="F345" i="9"/>
  <c r="E345" i="9"/>
  <c r="K55" i="9"/>
  <c r="J55" i="9"/>
  <c r="H55" i="9"/>
  <c r="I345" i="25"/>
  <c r="H345" i="25"/>
  <c r="G345" i="25"/>
  <c r="F345" i="25"/>
  <c r="E345" i="25"/>
  <c r="K55" i="25"/>
  <c r="J55" i="25"/>
  <c r="H55" i="25"/>
  <c r="I345" i="24"/>
  <c r="H345" i="24"/>
  <c r="G345" i="24"/>
  <c r="F345" i="24"/>
  <c r="E345" i="24"/>
  <c r="K55" i="24"/>
  <c r="J55" i="24"/>
  <c r="H55" i="24"/>
  <c r="I345" i="8"/>
  <c r="H345" i="8"/>
  <c r="G345" i="8"/>
  <c r="F345" i="8"/>
  <c r="E345" i="8"/>
  <c r="K55" i="8"/>
  <c r="J55" i="8"/>
  <c r="H55" i="8"/>
  <c r="I345" i="7"/>
  <c r="H345" i="7"/>
  <c r="G345" i="7"/>
  <c r="F345" i="7"/>
  <c r="E345" i="7"/>
  <c r="K320" i="7"/>
  <c r="J320" i="7"/>
  <c r="I320" i="7"/>
  <c r="H320" i="7"/>
  <c r="G320" i="7"/>
  <c r="F320" i="7"/>
  <c r="K320" i="6"/>
  <c r="J320" i="6"/>
  <c r="I320" i="6"/>
  <c r="H320" i="6"/>
  <c r="G320" i="6"/>
  <c r="F320" i="6"/>
  <c r="I345" i="5"/>
  <c r="H345" i="5"/>
  <c r="G345" i="5"/>
  <c r="F345" i="5"/>
  <c r="E345" i="5"/>
  <c r="K320" i="5"/>
  <c r="J320" i="5"/>
  <c r="I320" i="5"/>
  <c r="H320" i="5"/>
  <c r="G320" i="5"/>
  <c r="F320" i="5"/>
  <c r="J59" i="5"/>
  <c r="I59" i="5"/>
  <c r="H59" i="5"/>
  <c r="H55" i="5"/>
  <c r="K50" i="5"/>
  <c r="J50" i="5"/>
  <c r="I50" i="5"/>
  <c r="H50" i="5"/>
  <c r="G50" i="5"/>
  <c r="F50" i="5"/>
  <c r="I345" i="2" l="1"/>
  <c r="H345" i="2"/>
  <c r="G345" i="2"/>
  <c r="F345" i="2"/>
  <c r="E345" i="2"/>
  <c r="J59" i="2" l="1"/>
  <c r="I59" i="2"/>
  <c r="H59" i="2"/>
  <c r="H55" i="2"/>
  <c r="F34" i="21" l="1"/>
  <c r="G34" i="21"/>
  <c r="H34" i="21"/>
  <c r="I34" i="21"/>
  <c r="J34" i="21"/>
  <c r="K34" i="21"/>
  <c r="E34" i="21"/>
  <c r="F6" i="21"/>
  <c r="G6" i="21"/>
  <c r="H6" i="21"/>
  <c r="I6" i="21"/>
  <c r="J6" i="21"/>
  <c r="K6" i="21"/>
  <c r="E6" i="21"/>
  <c r="F34" i="20"/>
  <c r="G34" i="20"/>
  <c r="H34" i="20"/>
  <c r="I34" i="20"/>
  <c r="J34" i="20"/>
  <c r="K34" i="20"/>
  <c r="E34" i="20"/>
  <c r="F6" i="20"/>
  <c r="G6" i="20"/>
  <c r="H6" i="20"/>
  <c r="I6" i="20"/>
  <c r="J6" i="20"/>
  <c r="K6" i="20"/>
  <c r="E6" i="20"/>
  <c r="F34" i="19"/>
  <c r="G34" i="19"/>
  <c r="H34" i="19"/>
  <c r="I34" i="19"/>
  <c r="J34" i="19"/>
  <c r="K34" i="19"/>
  <c r="E34" i="19"/>
  <c r="F6" i="19"/>
  <c r="G6" i="19"/>
  <c r="H6" i="19"/>
  <c r="I6" i="19"/>
  <c r="J6" i="19"/>
  <c r="K6" i="19"/>
  <c r="E6" i="19"/>
  <c r="F34" i="18"/>
  <c r="G34" i="18"/>
  <c r="H34" i="18"/>
  <c r="I34" i="18"/>
  <c r="J34" i="18"/>
  <c r="K34" i="18"/>
  <c r="E34" i="18"/>
  <c r="F6" i="18"/>
  <c r="G6" i="18"/>
  <c r="H6" i="18"/>
  <c r="I6" i="18"/>
  <c r="J6" i="18"/>
  <c r="K6" i="18"/>
  <c r="E6" i="18"/>
  <c r="F34" i="17"/>
  <c r="G34" i="17"/>
  <c r="H34" i="17"/>
  <c r="I34" i="17"/>
  <c r="J34" i="17"/>
  <c r="K34" i="17"/>
  <c r="E34" i="17"/>
  <c r="F6" i="17"/>
  <c r="G6" i="17"/>
  <c r="H6" i="17"/>
  <c r="I6" i="17"/>
  <c r="J6" i="17"/>
  <c r="K6" i="17"/>
  <c r="E6" i="17"/>
  <c r="F34" i="16"/>
  <c r="G34" i="16"/>
  <c r="H34" i="16"/>
  <c r="I34" i="16"/>
  <c r="J34" i="16"/>
  <c r="K34" i="16"/>
  <c r="E34" i="16"/>
  <c r="F6" i="16"/>
  <c r="G6" i="16"/>
  <c r="H6" i="16"/>
  <c r="I6" i="16"/>
  <c r="J6" i="16"/>
  <c r="K6" i="16"/>
  <c r="E6" i="16"/>
  <c r="F34" i="15"/>
  <c r="G34" i="15"/>
  <c r="H34" i="15"/>
  <c r="I34" i="15"/>
  <c r="J34" i="15"/>
  <c r="K34" i="15"/>
  <c r="E34" i="15"/>
  <c r="F6" i="15"/>
  <c r="G6" i="15"/>
  <c r="H6" i="15"/>
  <c r="I6" i="15"/>
  <c r="J6" i="15"/>
  <c r="K6" i="15"/>
  <c r="E6" i="15"/>
  <c r="J34" i="14"/>
  <c r="K34" i="14"/>
  <c r="F34" i="14"/>
  <c r="G34" i="14"/>
  <c r="H34" i="14"/>
  <c r="I34" i="14"/>
  <c r="E34" i="14"/>
  <c r="F6" i="14"/>
  <c r="G6" i="14"/>
  <c r="H6" i="14"/>
  <c r="I6" i="14"/>
  <c r="J6" i="14"/>
  <c r="K6" i="14"/>
  <c r="E6" i="14"/>
  <c r="F34" i="13"/>
  <c r="G34" i="13"/>
  <c r="H34" i="13"/>
  <c r="I34" i="13"/>
  <c r="J34" i="13"/>
  <c r="K34" i="13"/>
  <c r="F6" i="13"/>
  <c r="G6" i="13"/>
  <c r="H6" i="13"/>
  <c r="I6" i="13"/>
  <c r="J6" i="13"/>
  <c r="K6" i="13"/>
  <c r="F34" i="12"/>
  <c r="G34" i="12"/>
  <c r="H34" i="12"/>
  <c r="I34" i="12"/>
  <c r="J34" i="12"/>
  <c r="K34" i="12"/>
  <c r="F6" i="12"/>
  <c r="G6" i="12"/>
  <c r="H6" i="12"/>
  <c r="I6" i="12"/>
  <c r="J6" i="12"/>
  <c r="K6" i="12"/>
  <c r="K34" i="11"/>
  <c r="F34" i="11"/>
  <c r="G34" i="11"/>
  <c r="H34" i="11"/>
  <c r="I34" i="11"/>
  <c r="J34" i="11"/>
  <c r="E34" i="11"/>
  <c r="F6" i="11"/>
  <c r="G6" i="11"/>
  <c r="H6" i="11"/>
  <c r="I6" i="11"/>
  <c r="J6" i="11"/>
  <c r="K6" i="11"/>
  <c r="E6" i="11"/>
  <c r="F34" i="10"/>
  <c r="G34" i="10"/>
  <c r="H34" i="10"/>
  <c r="I34" i="10"/>
  <c r="J34" i="10"/>
  <c r="K34" i="10"/>
  <c r="E34" i="10"/>
  <c r="F6" i="10"/>
  <c r="G6" i="10"/>
  <c r="H6" i="10"/>
  <c r="I6" i="10"/>
  <c r="J6" i="10"/>
  <c r="K6" i="10"/>
  <c r="E6" i="10"/>
  <c r="F34" i="9"/>
  <c r="G34" i="9"/>
  <c r="H34" i="9"/>
  <c r="I34" i="9"/>
  <c r="J34" i="9"/>
  <c r="K34" i="9"/>
  <c r="E34" i="9"/>
  <c r="F6" i="9"/>
  <c r="G6" i="9"/>
  <c r="H6" i="9"/>
  <c r="I6" i="9"/>
  <c r="J6" i="9"/>
  <c r="K6" i="9"/>
  <c r="E6" i="9"/>
  <c r="F34" i="25"/>
  <c r="G34" i="25"/>
  <c r="H34" i="25"/>
  <c r="I34" i="25"/>
  <c r="J34" i="25"/>
  <c r="K34" i="25"/>
  <c r="E34" i="25"/>
  <c r="F6" i="25"/>
  <c r="G6" i="25"/>
  <c r="H6" i="25"/>
  <c r="I6" i="25"/>
  <c r="J6" i="25"/>
  <c r="K6" i="25"/>
  <c r="E6" i="25"/>
  <c r="F34" i="24"/>
  <c r="G34" i="24"/>
  <c r="H34" i="24"/>
  <c r="I34" i="24"/>
  <c r="J34" i="24"/>
  <c r="K34" i="24"/>
  <c r="E6" i="24"/>
  <c r="E34" i="24"/>
  <c r="F6" i="24"/>
  <c r="G6" i="24"/>
  <c r="H6" i="24"/>
  <c r="I6" i="24"/>
  <c r="J6" i="24"/>
  <c r="K6" i="24"/>
  <c r="F34" i="8"/>
  <c r="G34" i="8"/>
  <c r="H34" i="8"/>
  <c r="I34" i="8"/>
  <c r="J34" i="8"/>
  <c r="K34" i="8"/>
  <c r="E34" i="8"/>
  <c r="F6" i="8"/>
  <c r="G6" i="8"/>
  <c r="H6" i="8"/>
  <c r="I6" i="8"/>
  <c r="J6" i="8"/>
  <c r="K6" i="8"/>
  <c r="E6" i="8"/>
  <c r="F34" i="7"/>
  <c r="G34" i="7"/>
  <c r="H34" i="7"/>
  <c r="I34" i="7"/>
  <c r="J34" i="7"/>
  <c r="K34" i="7"/>
  <c r="E34" i="7"/>
  <c r="F6" i="7"/>
  <c r="G6" i="7"/>
  <c r="H6" i="7"/>
  <c r="I6" i="7"/>
  <c r="J6" i="7"/>
  <c r="K6" i="7"/>
  <c r="E6" i="7"/>
  <c r="E34" i="5"/>
  <c r="E6" i="2"/>
  <c r="E34" i="2"/>
  <c r="F34" i="22"/>
  <c r="G34" i="22"/>
  <c r="H34" i="22"/>
  <c r="I34" i="22"/>
  <c r="J34" i="22"/>
  <c r="K34" i="22"/>
  <c r="E34" i="22"/>
  <c r="F6" i="22"/>
  <c r="G6" i="22"/>
  <c r="H6" i="22"/>
  <c r="I6" i="22"/>
  <c r="J6" i="22"/>
  <c r="K6" i="22"/>
  <c r="E6" i="22"/>
</calcChain>
</file>

<file path=xl/sharedStrings.xml><?xml version="1.0" encoding="utf-8"?>
<sst xmlns="http://schemas.openxmlformats.org/spreadsheetml/2006/main" count="14853" uniqueCount="612">
  <si>
    <t>PANEL DISTRITAL DE INDICADORES DE GÉNERO</t>
  </si>
  <si>
    <t xml:space="preserve">Datos por distrito																				</t>
  </si>
  <si>
    <t>Ámbito</t>
  </si>
  <si>
    <t>Indicadores</t>
  </si>
  <si>
    <t>Gráficas</t>
  </si>
  <si>
    <t>1 Centro</t>
  </si>
  <si>
    <t>2 Arganzuela</t>
  </si>
  <si>
    <t>3 Retiro</t>
  </si>
  <si>
    <t>4 Salamanca</t>
  </si>
  <si>
    <t>5 Chamartín</t>
  </si>
  <si>
    <t>6 Tetuán</t>
  </si>
  <si>
    <t>7 Chamberí</t>
  </si>
  <si>
    <t>8 Fuencarral- El Pardo</t>
  </si>
  <si>
    <t>9 Moncloa-Aravaca</t>
  </si>
  <si>
    <t>10 Latina</t>
  </si>
  <si>
    <t>11 Carabanchel</t>
  </si>
  <si>
    <t>12 Usera</t>
  </si>
  <si>
    <t>13 Puente de Vallecas</t>
  </si>
  <si>
    <t>14 Moratalaz</t>
  </si>
  <si>
    <t>15 Ciudad Lineal</t>
  </si>
  <si>
    <t>16 Hortaleza</t>
  </si>
  <si>
    <t>17 Villaverde</t>
  </si>
  <si>
    <t>18 Villa de Vallecas</t>
  </si>
  <si>
    <t>19 Vicálvaro</t>
  </si>
  <si>
    <t>20 San Blas-Canillejas</t>
  </si>
  <si>
    <t>21 Barajas</t>
  </si>
  <si>
    <t>1. Población y Hogares</t>
  </si>
  <si>
    <t>Población total de mujeres y hombres</t>
  </si>
  <si>
    <t>ENLACE</t>
  </si>
  <si>
    <t>I.1</t>
  </si>
  <si>
    <t>Población por grandes grupos de edad</t>
  </si>
  <si>
    <t>I.2</t>
  </si>
  <si>
    <t>Población extranjera</t>
  </si>
  <si>
    <t>I.3</t>
  </si>
  <si>
    <t xml:space="preserve">Hogares unipersonales (65 y + años) </t>
  </si>
  <si>
    <t>I.4</t>
  </si>
  <si>
    <t>Hogares monoparentales y monomarentales</t>
  </si>
  <si>
    <t>I.5</t>
  </si>
  <si>
    <t>2. Empleo y Actividad Económica</t>
  </si>
  <si>
    <t>Paro registrado</t>
  </si>
  <si>
    <t>I.6</t>
  </si>
  <si>
    <t>Tasa absoluta de paro</t>
  </si>
  <si>
    <t>I.7</t>
  </si>
  <si>
    <t>Personas inscritas en la Agencia para el Empleo</t>
  </si>
  <si>
    <t>I.8</t>
  </si>
  <si>
    <t>Población ocupada según tipo de ocupación</t>
  </si>
  <si>
    <t>I.9</t>
  </si>
  <si>
    <t>3. Renta, Protección Social, Pobreza y Vivienda</t>
  </si>
  <si>
    <t>Importe medio mensual de pensiones contributivas (€)</t>
  </si>
  <si>
    <t>I.10.</t>
  </si>
  <si>
    <t>Porcentaje de la población parada que percibe prestación por desempleo</t>
  </si>
  <si>
    <t>I.11</t>
  </si>
  <si>
    <t xml:space="preserve">Titulares de la Renta Mínima Inserción </t>
  </si>
  <si>
    <t>I.12</t>
  </si>
  <si>
    <t>Personas atendidas en Atención Social Primaria de Centros de Servicios Sociales</t>
  </si>
  <si>
    <t>I.13</t>
  </si>
  <si>
    <t>4. Salud</t>
  </si>
  <si>
    <t>Esperanza de vida al nacer</t>
  </si>
  <si>
    <t>I.14</t>
  </si>
  <si>
    <t>Personas con discapacidad reconocida</t>
  </si>
  <si>
    <t>I.15</t>
  </si>
  <si>
    <t>5.  Cuidados y Corresponsabilidad</t>
  </si>
  <si>
    <t>Población escolarizada en educación infantil de primero y segundo ciclo</t>
  </si>
  <si>
    <t>I.16</t>
  </si>
  <si>
    <t>6. Educación, Ciencia, Cultura y Deporte</t>
  </si>
  <si>
    <t>Alumnado matriculado en bachillerato de ciencias y tecnología</t>
  </si>
  <si>
    <t>I.17</t>
  </si>
  <si>
    <t>Alumnado matriculado en formación profesional de grado medio por familias profesionales</t>
  </si>
  <si>
    <t>I.18</t>
  </si>
  <si>
    <t>Alumnado matriculado en formación profesional de grado superior por familias profesionales</t>
  </si>
  <si>
    <t>I.19</t>
  </si>
  <si>
    <t>Participantes en escuelas de promoción deportiva</t>
  </si>
  <si>
    <t>I.20</t>
  </si>
  <si>
    <t>7. Poder y Participación Ciudadana</t>
  </si>
  <si>
    <t>Personas inscritas en el Cuerpo de Voluntarios y Voluntarias del Ayuntamiento de Madrid</t>
  </si>
  <si>
    <t>I.21</t>
  </si>
  <si>
    <t>Ratio de asociaciones de mujeres (%)</t>
  </si>
  <si>
    <t>I.22</t>
  </si>
  <si>
    <t>8.  Seguridad y Movilidad</t>
  </si>
  <si>
    <t>Personas implicadas en accidentes de tráfico en la ciudad de Madrid</t>
  </si>
  <si>
    <t>I.23</t>
  </si>
  <si>
    <t>LISTADO DISTRITOS</t>
  </si>
  <si>
    <t>CENTRO</t>
  </si>
  <si>
    <t>ARGANZUELA</t>
  </si>
  <si>
    <t>RETIRO</t>
  </si>
  <si>
    <t>SALAMANCA</t>
  </si>
  <si>
    <t>CHAMARTÍN</t>
  </si>
  <si>
    <t>TETUÁN</t>
  </si>
  <si>
    <t>CHAMBERÍ</t>
  </si>
  <si>
    <t>FUENCARRAL - EL PARDO</t>
  </si>
  <si>
    <t>MONCLOA - ARAVACA</t>
  </si>
  <si>
    <t>LATINA</t>
  </si>
  <si>
    <t>CARABANCHEL</t>
  </si>
  <si>
    <t>USERA</t>
  </si>
  <si>
    <t>PUENTE DE VALLECAS</t>
  </si>
  <si>
    <t>MORATALAZ</t>
  </si>
  <si>
    <t>CIUDAD LINEAL</t>
  </si>
  <si>
    <t>HORTALEZA</t>
  </si>
  <si>
    <t>VILLAVERDE</t>
  </si>
  <si>
    <t>VILLA DE VALLECAS</t>
  </si>
  <si>
    <t>VICÁLVARO</t>
  </si>
  <si>
    <t>SAN BLAS - CANILLEJAS</t>
  </si>
  <si>
    <t>BARAJAS</t>
  </si>
  <si>
    <t>FICHA TÉCNICA</t>
  </si>
  <si>
    <t>POBLACIÓN Y HOGARES</t>
  </si>
  <si>
    <t>1. Población total de mujeres y hombres</t>
  </si>
  <si>
    <t>Definición</t>
  </si>
  <si>
    <t>Población total de mujeres y hombres, empadronada en cada distrito de la ciudad de Madrid, desde el 2005 al 2023. Valores absolutos y distribución porcentual de cada sexo.</t>
  </si>
  <si>
    <t>Diferencia(N)</t>
  </si>
  <si>
    <t>Se presenta por distritos, por un lado, la diferencia en valores absolutos entre la población total de mujeres y la de hombres. Por otro, el porcentaje de mujeres en relación a la población total, donde un porcentaje mayor al 50% significa una feminización de la población. En 2023 las mujeres suponen el 53,3% de la población madrileña.</t>
  </si>
  <si>
    <t>Fuente</t>
  </si>
  <si>
    <t>Datos 2005 - 2015: Padrón Municipal de Habitantes. Subdirección General de Estadística.</t>
  </si>
  <si>
    <t>Datos 2020 - 2023: Padrón Municipal de Habitantes. Subdirección General de Estadística.</t>
  </si>
  <si>
    <t>Interseccionalidad</t>
  </si>
  <si>
    <t>Variables de interés para representar la diversidad de mujeres: Nacionalidad, distrito</t>
  </si>
  <si>
    <t>2. Población por grandes grupos de edad: principales indicadores</t>
  </si>
  <si>
    <t xml:space="preserve">Población total, de mujeres y hombres, empadronada en cada distrito de la ciudad de Madrid, desde el 2005 al 2023, por grandes grupos de edad. </t>
  </si>
  <si>
    <t>Diferencia</t>
  </si>
  <si>
    <t>Se presenta, por distritos y para cada grupo de edad, por un lado, la diferencia en valores absolutos entre la población de mujeres y la de hombres en ese grupo de edad. Por otro, el porcentaje de mujeres en relación a la población en ese grupo de edad, donde un porcentaje mayor al 50% significa una feminización de la población. A partir de los 65 años hay una clara feminización de la población.</t>
  </si>
  <si>
    <t>Datos 2005 - 2015: Padrón Municipal de Habitantes. Subdirección General de Estadística. Elaboración propia.</t>
  </si>
  <si>
    <t>Datos 2020 - 2023: Padrón Municipal de Habitantes. Subdirección General de Estadística. Elaboración propia.</t>
  </si>
  <si>
    <t>Datos grupo 80 y más años: Padrón Municipal de Habitantes. Subdirección General de Estadística. Elaboración propia. (Población clasificada por Distrito y Sexo, según Edad año a año)</t>
  </si>
  <si>
    <t>Nota</t>
  </si>
  <si>
    <t>El total de las personas del grupo de 80 y más años está incluido dentro del total de 65 y más años.</t>
  </si>
  <si>
    <t>Variables de interés para representar la diversidad de mujeres:  Nacionalidad, distrito</t>
  </si>
  <si>
    <t>3. Población extranjera</t>
  </si>
  <si>
    <t>Población total de mujeres y hombres de nacionalidad extranjera empadronada en cada distrito de la ciudad de Madrid desde el 2005 al 2023.</t>
  </si>
  <si>
    <t>Se presenta, por un lado, la diferencia en valores absolutos entre la población distrital de mujeres y de hombres de nacionalidad extranjera. Por otro, el porcentaje de mujeres empadronadas en el distrito en relación a la población total extranjera del distrito, donde un porcentaje mayor al 50% significa una feminización de la población extranjera. En 2023, el 53,2% de la población extranjera en Madrid eran mujeres.</t>
  </si>
  <si>
    <t>Posibles variables de interés para representar la diversidad de mujeres: Edad y distrito</t>
  </si>
  <si>
    <t xml:space="preserve">4. Hogares unipersonales (65 y + años) </t>
  </si>
  <si>
    <t>Total de hogares unipersonales de cada distrito de la ciudad de Madrid según sexo de la persona mayor de 65 años que vive sola</t>
  </si>
  <si>
    <t>Se presenta, por distritos, el número de hogares unipersonales de personas de 65 y más años (N) según sexo, la diferencia en valores absolutos de los hogares de mujeres y  de hombres que viven solos (N) y el porcentaje de mujeres que viven solas sobre el total hogares unipersonales de 65 y más años. El valor en positivo de los datos significa que hay una feminización, y el valor en negativo, una masculinización. El porcentaje indica la distribución porcentual de los hogares unipersonales de mujeres de 65 y más años respecto a total, donde un porcentaje mayor al 50% significa una feminización. En 2023, el 76,5% de los hogares unipersonales de 65 y más años son de mujeres de esa edad que viven solas.</t>
  </si>
  <si>
    <t>Datos 2020 -2023: Padrón Municipal de Habitantes. Subdirección General de Estadística. Elaboración propia.</t>
  </si>
  <si>
    <t>Posibles variables de interés para representar la diversidad de mujeres: Nacionalidad y distrito</t>
  </si>
  <si>
    <t>5. Hogares monoparentales y monomarentales</t>
  </si>
  <si>
    <t>Total de hogares monoparentales de cada distrito de la ciudad de Madrid según sexo de la persona adulta responsable del hogar</t>
  </si>
  <si>
    <t>Brecha</t>
  </si>
  <si>
    <t>Se presenta el total de hogares monoparentales y monomarentales (N) y el porcentaje de hogares monomarentales sobre el total. También la diferencia en valores absolutos de estos hogares de mujeres y de hombres. El valor en positivo de los datos significa que hay una feminización de este tipo de hogares, y el valor en negativo, una masculinización. En la distribución porcentual de los hogares monomarentales, esto es, encabezados por mujeres, respecto a total, un porcentaje mayor al 50% significa una feminización. En 2023, el 83% de los hogares monoparentales están encabezados por una mujer.</t>
  </si>
  <si>
    <t>EMPLEO Y ACTIVIDAD ECONÓMICA</t>
  </si>
  <si>
    <t>6. Paro registrado</t>
  </si>
  <si>
    <t>Número de personas registradas como paradas al mes de junio de cada año por cada sexo</t>
  </si>
  <si>
    <t xml:space="preserve">La brecha se representa como diferencia entre el número de paradas y parados, y como porcentaje de mujeres paradas sobre el total. Un valor positivo en la brecha en el número de personas paradas indica feminización en el desempleo, al igual que un porcentaje de mujeres paradas superior al 50%. En términos ideales, el nivel de paro debería ser similar entre hombres y mujeres. Ejemplo: en junio de 2023 en el Distrito de Arganzuela había una brecha de 781 mujeres paradas más que hombres, es decir, del total de personas paradas el 57,2% eran mujeres. </t>
  </si>
  <si>
    <t>A partir de enero de 2014 se ha ajustado el criterio de selección de demandantes de empleo que aplica el Servicio Público de Empleo Estatal (SEPE)...Hasta esa fecha se venían seleccionando demandantes inscritos/as en oficinas de empleo ubicadas en el municipio y ahora se pasa a seleccionar a demandantes cuyo municipio del domicilio de residencia sea Madrid.</t>
  </si>
  <si>
    <t xml:space="preserve">Datos 2005-2010: Servicio Público de Empleo Estatal. Elaboración: Dirección General de Estadística. Ayuntamiento de Madrid </t>
  </si>
  <si>
    <t>Datos desde 2015: Servicio Público de Empleo Estatal. Elaboración: Subdirección General de Estadística. Ayuntamiento de Madrid</t>
  </si>
  <si>
    <t>Variables de interés para representar la diversidad de mujeres: Edad, nacionalidad, discapacidad, estado civil, nivel de formación alcanzado, ocupación, sector de actividad.</t>
  </si>
  <si>
    <t>7. Tasa absoluta de paro</t>
  </si>
  <si>
    <t>Dada la inexistencia de datos fiables para la obtención de la población activa en el nivel de Distrito y Barrio, se ha considerado utilizar la denominada "Tasa absoluta de desempleo", que se calcula dividiendo el número de personas desempleadas de una zona o territorio entre la población en edad de trabajar (de 16 a 64 años) de esa misma zona o territorio. Para la obtención de dicha cifra de población "potencialmente activa" se recurre al Padrón Municipal de Habitantes. Datos para el mes de diciembre de cada año.</t>
  </si>
  <si>
    <t xml:space="preserve">Diferencia (%) entre la tasa femenina y la tasa masculina. Un valor positivo indicaría feminización en el desempleo y un valor negativo de la brecha indica que la tasa femenina por debajo de la tasa masculina. Ejemplo: En 2022 en el distrito Centro, la diferencia entre las tasas femenina y masculina es positiva, por tanto la tasa de paro en mujeres es más alta que en hombres, por 0,36 puntos porcentuales. </t>
  </si>
  <si>
    <t>Servicio Público de empleo Estatal. Elaboración Subdirección General de Estadística del Ayuntamiento de Madrid</t>
  </si>
  <si>
    <t>Variables de interés para representar la diversidad de mujeres: Edad, nacionalidad, país de nacimiento, estado civil, nivel de estudios alcanzado</t>
  </si>
  <si>
    <t>8. Personas inscritas en la Agencia para el Empleo</t>
  </si>
  <si>
    <t>Número de personas inscritas en la Agencia para el Empleo para poder acceder a sus servicios, por sexo.</t>
  </si>
  <si>
    <t>La brecha se representa en datos absolutos (N) y en distribución (% de mujeres). La primera hace referencia a la diferencia en valores absolutos entre mujeres y hombres inscritos en la Agencia para el Empleo, donde un valor en positivo significa una sobrerrepresentación de la población femenina inscrita en la Agencia para el Empleo. La segunda brecha indica el porcentaje de mujeres en relación al total, donde un porcentaje mayor al 50% significaría una feminización.</t>
  </si>
  <si>
    <t>Agencia para el Empleo. Perfiles de personas inscrita. Conjunto de datos disponible en Portal de datos abiertos del Ayuntamiento de Madrid.</t>
  </si>
  <si>
    <t>Variables de interés para representar la diversidad de mujeres: Año de nacimiento, nacionalidad y el objetivo profesional</t>
  </si>
  <si>
    <t>9. Población ocupada según tipo de ocupación</t>
  </si>
  <si>
    <t xml:space="preserve">Población ocupada según tipo de ocupación, siguiendo la Clasificación Nacional de Ocupaciones, CON-11 a 2 dígitos, por sexo.
Los criterios de clasificación utilizados son el tipo de trabajo realizado y las competencias. Se entiende por competencias la capacidad para desempeñar las tareas inherentes a un empleo determinado, para lo cual se tienen en cuenta dos puntos vista: el nivel y la especialización de las competencias. A partir de estos datos se calcula el porcentaje de distribución de mujeres para cada ocupación.
</t>
  </si>
  <si>
    <t xml:space="preserve">La brecha se muestra en la "horquilla de paridad" que abarca entre el 40% y el 60%, siendo el valor deseable que hombres y mujeres estén en torno al 50%. El indicador muestra el porcentaje del total de ocupaciones que están masculinizadas (las mujeres representan menos del 40%), feminizadas (las mujeres representan más del 60%), y en equilibrio (las mujeres representan entre el 40% y el 60%). 
El valor ideal sería un equilibro entre la población masculina y femenina presente dentro de todas las ocupaciones, siempre que haya diferencias será un síntoma de segregación por sexo en el mercado de trabajo.
</t>
  </si>
  <si>
    <t>INE, Censos de Población y Viviendas 2011</t>
  </si>
  <si>
    <t>INE, Censo de Población y Viviendas 2021</t>
  </si>
  <si>
    <t>No se incluye la categoría "No consta"</t>
  </si>
  <si>
    <t>Variables de interés para representar la diversidad de mujeres: Edad, nacionalidad, país de nacimiento, lugar de residencia, nivel de estudios alcanzado, situación profesional, lugar de trabajo</t>
  </si>
  <si>
    <t>RENTA, PROTECCIÓN SOCIAL, POBREZA Y VIVIENDA</t>
  </si>
  <si>
    <t>10. Importe medio mensual de pensiones contributivas (€)</t>
  </si>
  <si>
    <t>Importe medio en euros de las pensiones contributivas en alta en el Sistema Nacional de la Seguridad Social al 1 de enero de cada año. Se presentan los promedios de los importes mensuales de pensiones contributivas, recibidos por todos/as las pensionistas de la ciudad de Madrid, diferenciado por sexo.</t>
  </si>
  <si>
    <t>Se incluyen dos brechas: Diferencia en euros (Brecha €) y diferencia porcentual (Brecha %) entre las pensiones de las mujeres y las de los hombres. La diferencia, en una situación de igualdad debería tender a cero. Un valor negativo indica desigualdad, en términos absolutos o porcentuales, entre las pensiones de las mujeres respecto a las de los hombres. Ejemplo: En 2022, el importe medio mensual de pensiones recibidas por mujeres es un 25% menor al importe medio mensual percibido por los hombres, en el distrito Centro.</t>
  </si>
  <si>
    <t>Datos 2010 - 2015: Muestra Continua de Vidas Laborales (2007 a 2018)</t>
  </si>
  <si>
    <t>Datos 2020 - 2023: Registro de Prestaciones Sociales Públicas (INSS), Dirección General de Economía de la Comunidad de Madrid. Elaboración Subdirección General de Estadística del Ayuntamiento de Madrid.</t>
  </si>
  <si>
    <t>Variables de interés para representar la diversidad de mujeres: Edad, clase de prestación, régimen.</t>
  </si>
  <si>
    <t>11. Porcentaje de la población parada que percibe prestación por desempleo</t>
  </si>
  <si>
    <t xml:space="preserve">Porcentaje de población parada que percibe prestación por desempleo a diciembre de cada año. Se presentan porcentajes de concentración del total y de cada sexo. </t>
  </si>
  <si>
    <t>Diferencia entre el porcentaje de mujeres paradas y hombres parados que perciben prestación por desempleo. Un valor negativo indica que la proporción de mujeres paradas que reciben una prestación por desempleo es menor que la proporción de hombres. Ejemplo: En diciembre de 2023 en el distrito de Carabanchel, el 47,4% de los hombres parados recibía prestación por desempleo frente al 37,2% de las mujeres paradas. La brecha respecto a los hombres es de un 10,1 puntos porcentuales.</t>
  </si>
  <si>
    <t>Servicio Público de Empleo Estatal. Elaboración Subdirección General de Estadística del Ayuntamiento de Madrid</t>
  </si>
  <si>
    <t>Variables de interés para representar la diversidad de mujeres: Edad, Ocupación y Sector Actividad, Nivel educativo/formativo, Nacionalidad y País de nacimiento</t>
  </si>
  <si>
    <t>12. Titulares (solicitantes y perceptoras/es) de la Renta Mínima de Inserción</t>
  </si>
  <si>
    <t>Personas solicitantes y perceptoras de la Renta Mínima de Inserción a 31 de diciembre de cada año, por sexo</t>
  </si>
  <si>
    <t>Se incluyen dos brechas: Brecha (N) y  el porcentaje de mujeres. La primera hace referencia a la diferencia en valores absolutos entre el total de titulares mujeres y el de hombres, donde un valor positivo en la brecha, significa que entre las personas titulares de RMI hay más mujeres. La segunda brecha, indica el porcentaje de mujeres en relación al total, donde un porcentaje mayor al 50% significa una mayoría de mujeres en el indicador; es decir, un indicador de feminización de la vulnerabilidad social ante el riesgo o situación de pobreza.</t>
  </si>
  <si>
    <t xml:space="preserve">Informes de la Renta Mínima de Inserción de la Comunidad de Madrid. Consejería de Familia, Juventud y Política Social. </t>
  </si>
  <si>
    <t>No aplica.</t>
  </si>
  <si>
    <t>13. Personas atendidas en Atención Social Primaria de Centros de Servicios Sociales</t>
  </si>
  <si>
    <t>Personas atendidas en la red de los Centros de Servicios Sociales municipales de Atención Social Primaria, por sexo.</t>
  </si>
  <si>
    <t>Se incluyen dos brechas: la diferencia entre el número de mujeres y de hombres en atención social y el porcentaje de mujeres atendidas sobre el total. La primera hace referencia a la diferencia en valores absolutos entre mujeres y hombres que se atienden en Centros de Servicios Sociales, donde un valor en positivo de la brecha, significa que hay una sobrerrepresentación de mujeres entre las personas atendidas. La segunda brecha, indica el porcentaje de mujeres en relación a la población total, donde un porcentaje mayor al 50% significa una mayoría de mujeres en el indicador. Por ejemplo, en 2023, el 69,2% de las personas atendidas en los servicios sociales de atención primaria del Distrito de Chamberí eran mujeres.</t>
  </si>
  <si>
    <t>Dirección General de Atención Primaria, Intervención Comunitaria y Emergencia Social. Conjunto de datos disponible en Portal de datos abiertos del Ayuntamiento de Madrid.</t>
  </si>
  <si>
    <t>Variables de interés para representar la diversidad de mujeres: Tramo de edad, Nacionalidad, Distrito.</t>
  </si>
  <si>
    <t>SALUD</t>
  </si>
  <si>
    <t>14. Esperanza de vida al nacer</t>
  </si>
  <si>
    <t xml:space="preserve">Nº medio de años que puede esperar vivir una persona al nacer en cada uno de los distritos de la ciudad de Madrid, si las tasas de mortalidad por edades, registradas en el momento de su nacimiento, se mantuvieran constantes durante toda su vida, por sexo. </t>
  </si>
  <si>
    <t>Diferencia en la esperanza de vida (en años) entre mujeres y hombres. Un valor positivo en la brecha indica que las mujeres son más longevas que los hombres (viven más años). Ejemplo: en 2021, en el Distrito de Carabanchel las mujeres vivían una media de 5,5 años más que los hombres.</t>
  </si>
  <si>
    <t>Área de Gobierno de Economía y Hacienda. Subdirección General de Estadística. Padrón Municipal de Habitantes</t>
  </si>
  <si>
    <t>Nota: Datos disponibles para distritos hasta el 2021.</t>
  </si>
  <si>
    <t>Variables de interés para representar las diversidad de las mujeres: edad, nacionalidad, país de origen, estado civil.</t>
  </si>
  <si>
    <t>15. Personas con discapacidad reconocida</t>
  </si>
  <si>
    <t>Personas con discapacidad reconocida según sexo. Se considera persona con discapacidad aquella que ha sido evaluada con un grado de discapacidad igual o superior al 33%.</t>
  </si>
  <si>
    <t>Porcentaje de mujeres con discapacidad reconocida respecto del total de población con discapacidad reconocida. Un porcentaje mayor al 50% significa una mayoría de mujeres en el indicador.</t>
  </si>
  <si>
    <t>Dirección General de Economía de la CAM. Base de datos del reconocimiento del grado de discapacidad. Consejería Políticas Sociales, Familias, Igualdad y Natalidad. Comunidad de Madrid. Población de referencia: Ayuntamiento Madrid.</t>
  </si>
  <si>
    <t xml:space="preserve"> Datos disponibles para distritos hasta el 2022.</t>
  </si>
  <si>
    <t>Variables de interés para representar la diversidad de mujeres: Tipo de discapacidad, edad.</t>
  </si>
  <si>
    <t>CUIDADOS Y CORRESPONSABILIDAD</t>
  </si>
  <si>
    <t>16. Población escolarizada en educación infantil de primero y segundo ciclo</t>
  </si>
  <si>
    <t>Porcentaje de población entre los 0 y 6 años por sexo, matriculada en primer y segundo ciclo de la Educación Infantil por distritos. A partir de los datos del total del alumnado matriculado en Educación Infantil se calcula la tasa de cobertura total, la femenina y la masculina, en relación al total de población de niñas y niños de 0 a 6 años.</t>
  </si>
  <si>
    <t xml:space="preserve">Esta tasa de cobertura  indica el nivel en que la educación infantil cubre labores de cuidados de menores, circunstancia que afecta al acceso y permanencia en mercado laboral, especialmente de las mujeres,  y que influye en la brecha de género existente en el empleo y en la distribución entre el tiempo de trabajo no remunerado y remunerado.
El aumento en la tasa de cobertura en esta etapa significa una evolución positiva en el acceso a los servicios de cuidados. A mayor tasa de cobertura del cuidado mayor corresponsabilidad.   </t>
  </si>
  <si>
    <t>Elaboración propia a partir de datos de Estadística de la Enseñanza de la Comunidad de Madrid. Dirección General de Bilingüismo y Calidad de la Enseñanza. Consejería de Educación, Ciencia y Universidades de la Comunidad de Madrid</t>
  </si>
  <si>
    <t>Datos población para cada distrito:  Ayuntamiento de Madrid. Subdirección General de Estadística. Elaboración propia</t>
  </si>
  <si>
    <t>¿?</t>
  </si>
  <si>
    <t>No aplica</t>
  </si>
  <si>
    <t>EDUCACIÓN, CIENCIA, CULTURA Y DEPORTE</t>
  </si>
  <si>
    <t xml:space="preserve">17. Alumnado matriculado en bachillerato de ciencias y tecnología </t>
  </si>
  <si>
    <t>Proporción de hombres y mujeres matriculados/as en bachillerato, específicamente en la modalidad de Ciencias y Tecnología, según concentración por sexo.</t>
  </si>
  <si>
    <t>Se presentan valores de concentración que indican el porcentaje de cada uno de los sexos que se matriculan en la modalidad de bachillerato de ciencias y tecnología, sobre el total de la población matriculada en Bachillerato en cada año. La brecha muestra la diferencia porcentual entre los porcentajes de concentración de cada sexo (distancia en puntos porcentuales). Un valor negativo indica que hay menos mujeres estudiantes de Bachillerato matriculadas en la modalidad de Ciencias y Tecnología que hombres.</t>
  </si>
  <si>
    <t>Estadística de la Enseñanza de la Comunidad de Madrid. Dirección General de Bilingüismo y Calidad de la Enseñanza. Consejería de Educación, Ciencia y Universidades de la Comunidad de Madrid</t>
  </si>
  <si>
    <t>Para los años académicos 2020-2021 y 2021-2022, la modalidad es Ciencia, y no Ciencias y Tecnología.</t>
  </si>
  <si>
    <t xml:space="preserve">18. Alumnado matriculado en formación profesional de grado medio por familias profesionales </t>
  </si>
  <si>
    <t>Total de personas matriculadas y distribución porcentual por sexo en formación profesional de grado medio, clasificados/as según familias profesionales. 
Una familia profesional es un conjunto de cualificaciones del Catálogo Nacional de Cualificaciones Profesionales que dependen de la competencia profesional. Los ciclos formativos de grado medio de Formación Profesional son estudios de educación secundaria postobligatoria que permiten adquirir competencias técnicas para el desarrollo de una profesión.</t>
  </si>
  <si>
    <t>La distribución porcentual (%) por sexo de mujeres y hombres en familias profesionales indica cuáles están masculinizadas (menos del 40% de sus estudiantes son mujeres), feminizadas (más del 60% de sus estudiantes son mujeres), o  en equilibrio (más del 40% y menos del 60% de sus estudiantes son mujeres). Lo deseable es un equilibro entre la población masculina y femenina dentro de una familia profesional. Siempre que una familia profesional esté masculinizada o feminizada es síntoma de segregación horizontal en la formación profesional por razón de sexo.</t>
  </si>
  <si>
    <t>Los datos por Distrito no incluyen todas las familias profesionales. Estas se incluyen para la Ciudad de Madrid.</t>
  </si>
  <si>
    <t xml:space="preserve">19. Alumnado matriculado en formación profesional de grado superior por familias profesionales </t>
  </si>
  <si>
    <t>Total de personas matriculadas y distribución porcentual por sexo en formación profesional de grado superior, clasificados/as según familias profesionales. 
Una familia profesional es un conjunto de cualificaciones del Catálogo Nacional de Cualificaciones Profesionales que dependen de la competencia profesional.
Los ciclos formativos de grado Superior de Formación Profesional son estudios de educación superior que permiten adquirir una cualificación profesional.</t>
  </si>
  <si>
    <t>La distribución porcentual (%) por sexo de hombres y mujeres en familias profesionales indica cuáles están masculinizadas (menos del 40% de sus estudiantes son mujeres), feminizadas (más del 60% de sus estudiantes son mujeres), o  en equilibrio (más del 40% y menos del 60% de sus estudiantes son mujeres). Lo deseable es un equilibro entre la población masculina y femenina dentro de una familia profesional. Siempre que una familia profesional esté masculinizada o feminizada es síntoma de segregación horizontal en la formación profesional por razón de sexo.</t>
  </si>
  <si>
    <t>20. Participantes en escuelas de promoción deportiva</t>
  </si>
  <si>
    <t>Participantes que se inscriben en escuelas de promoción deportiva en centros escolares del Ayuntamiento de Madrid, por sexo.
Las escuelas de promoción deportiva corresponden a actividades que se desarrollan en instalaciones de los centros escolares y que están dirigidas al alumnado de 3º a 6º de Educación Primaria, en horario extraescolar, con la finalidad de extender la práctica deportiva entre la población escolar madrileña. A partir de los datos se calcula el porcentaje de mujeres y de hombres de cada escuela de promoción deportiva (ajedrez, atletismo, bádminton, baloncesto, balonmano, beisbol, deporte para personas sordas, deporte para personas con discapacidad intelectual, esgrima, fútbol sala, gimnasia artística, hockey, lucha, patinaje, rugby, tenis, tenis de mesa y voleibol).</t>
  </si>
  <si>
    <t>Diferencia entre número de mujeres y hombres que se inscriben y porcentaje de mujeres inscritas. Un valor negativo en la brecha indica que hay una infrarrepresentación de mujeres en la escuelas de promoción deportiva. También se incluye el porcentaje del total de escuelas de promoción deportiva que están masculinizadas (menos del 40% de su población son mujeres), feminizadas (más del 60% de su población son mujeres), y en equilibrio (más del 40% y menos del 60% de su población son mujeres). El valor deseable sería un equilibro entre la población masculina y femenina dentro de una escuelas de promoción deportiva, siempre que haya diferencias será un síntoma de segregación por sexo.
Ejemplo:  En el año escolar 2023 - 2024, del total de escuelas de promoción deportiva del distrito de Usera, el 64,3% tienen una participación masculinizada, el 7% feminizada y el 28,6% se encuentran en equilibrio.</t>
  </si>
  <si>
    <t>Estadística de Deportes, DG de Deportes, Ayuntamiento de Madrid. Conjunto de datos disponible en el Portal de Datos Abiertos. Temporadas anteriores.</t>
  </si>
  <si>
    <t>Temporada en curso (2023/2024)</t>
  </si>
  <si>
    <t>El número de escuelas de promoción deportiva y el deporte que se imparte en cada escuela varía por temporada deportiva y entre distritos.</t>
  </si>
  <si>
    <t>Variables de interés para representar la diversidad de mujeres: Colegio, Distrito.</t>
  </si>
  <si>
    <t>PODER Y PARTICIPACIÓN</t>
  </si>
  <si>
    <t>21. Personas inscritas en el Cuerpo de Voluntarios y Voluntarias del Ayuntamiento de Madrid</t>
  </si>
  <si>
    <r>
      <t xml:space="preserve">Personas inscritas en el Cuerpo de Voluntarios  y Voluntarias del Ayuntamiento de Madrid, por sexo y por distrito. </t>
    </r>
    <r>
      <rPr>
        <sz val="12"/>
        <color theme="5"/>
        <rFont val="Calibri"/>
        <family val="2"/>
        <scheme val="minor"/>
      </rPr>
      <t>Aporta el dato de las personas dadas de alta como voluntarias en ese año, independientemente de si se han inscrito en años anteriores</t>
    </r>
  </si>
  <si>
    <t>Diferencia entre el número de voluntarias y voluntarios y porcentaje de mujeres voluntarias. Un valor positivo en la brecha indica que hay sobrerrepresentación femenina en el cuerpo de voluntariado de la ciudad de Madrid. El valor ideal es una proporción equilibrada de hombres y mujeres, y que no hubiera sesgos de género en la participación en proyectos de voluntariado.</t>
  </si>
  <si>
    <t>Conjunto de datos aportados por el Departamento de Voluntarios por Madrid. Disponible en Portal de datos abiertos del Ayuntamiento de Madrid</t>
  </si>
  <si>
    <t>Variables de interés para representar la diversidad de mujeres: Rango de edad, nacionalidad, fecha de alta, nivel académico, situación laboral, barrio</t>
  </si>
  <si>
    <t>22. Ratio de asociaciones de mujeres (%)</t>
  </si>
  <si>
    <t>Porcentaje de asociaciones de mujeres en relación al total de asociaciones inscritas en el Censo de entidades y colectivos ciudadanos del Ayuntamiento de Madrid, de cada distrito.</t>
  </si>
  <si>
    <t>No aplica. No hay un valor ideal establecido, si bien se considera positivo que no disminuya el número de asociaciones.</t>
  </si>
  <si>
    <t>Datos 2010 y 2015: Área de Gobierno de Coordinación Territorial y Cooperación Público Social. Disponible en el Banco de Datos del Ayuntamiento de Madrid</t>
  </si>
  <si>
    <t>Datos 2020: Área Delegada de Coordinación Territorial, Transparencia y Participación Ciudadana. Disponible en el Banco de Datos del Ayuntamiento de Madrid</t>
  </si>
  <si>
    <t>Datos 2023: Directorio de Asociaciones inscritas en el Censo de entidades y colectivos ciudadanos del Ayuntamiento de Madrid. Disponible en Portal de datos abiertos del Ayuntamiento de Madrid</t>
  </si>
  <si>
    <t>En la fuente no se recogen otras características sociodemográficas.</t>
  </si>
  <si>
    <t>SEGURIDAD Y MOVILIDAD</t>
  </si>
  <si>
    <t>23. Personas implicadas en accidentes de tráfico de la ciudad de Madrid</t>
  </si>
  <si>
    <t>Número de personas implicadas en accidentes de tráfico, según sexo y  distinguiendo si eran conductoras/es o pasajeras/os. El total corresponde a la totalidad de accidentes de cada año.</t>
  </si>
  <si>
    <t>Diferencia entre el número de mujeres y de hombres implicadas/os en accidentes de tráfico, bien como conductoras/es o pasajeras/os. Un valor negativo en la brecha indica que las mujeres han estado menos implicadas en un accidente (dependiendo de la categoría, como conductora o como viajera). Ejemplo: En el año 2023, las mujeres del distrito de Retiro estuvieron implicadas en accidentes de tránsito como conductoras un 40,3% menos que los hombres, y como pasajeras un 4,1% menos que los pasajeros hombres. En general, estas diferencias porcentuales persisten en todos los distritos y años, por lo que, las mujeres tienden a tener más accidentes como pasajeras que como conductoras.</t>
  </si>
  <si>
    <t>Accidentes de tráfico de la Ciudad de Madrid registrados por Policía Municipal. Conjunto de datos disponible en Portal de datos abiertos del Ayuntamiento de Madrid</t>
  </si>
  <si>
    <t>Variables de interés para representar la diversidad de mujeres: Edad.
Otras variables de interés: Positividad alcohol, positividad droga, tipo de accidente.</t>
  </si>
  <si>
    <t>1. CENTRO</t>
  </si>
  <si>
    <t>INDICADORES</t>
  </si>
  <si>
    <t>DISTRITOS</t>
  </si>
  <si>
    <t>ÁMBITO</t>
  </si>
  <si>
    <t>INDICADOR</t>
  </si>
  <si>
    <t xml:space="preserve">1.Población total de mujeres y hombres </t>
  </si>
  <si>
    <t>Ambos sexos</t>
  </si>
  <si>
    <t>143.908</t>
  </si>
  <si>
    <t>131.106</t>
  </si>
  <si>
    <t>140.473</t>
  </si>
  <si>
    <t>141.236</t>
  </si>
  <si>
    <t>139.682</t>
  </si>
  <si>
    <t>Hombres</t>
  </si>
  <si>
    <t>71.363</t>
  </si>
  <si>
    <t>64.605</t>
  </si>
  <si>
    <t>71.127</t>
  </si>
  <si>
    <t>71.881</t>
  </si>
  <si>
    <t>70.986</t>
  </si>
  <si>
    <t>Mujeres</t>
  </si>
  <si>
    <t>72.545</t>
  </si>
  <si>
    <t>66.501</t>
  </si>
  <si>
    <t>69.346</t>
  </si>
  <si>
    <t>69.355</t>
  </si>
  <si>
    <t>68.696</t>
  </si>
  <si>
    <t>Diferencia (N)</t>
  </si>
  <si>
    <t>% Mujeres</t>
  </si>
  <si>
    <t>2.Población por grandes grupos de edad</t>
  </si>
  <si>
    <t>Total</t>
  </si>
  <si>
    <t>71.902</t>
  </si>
  <si>
    <t>70.770</t>
  </si>
  <si>
    <t>0 a 14 años</t>
  </si>
  <si>
    <t>6.902</t>
  </si>
  <si>
    <t>6.105</t>
  </si>
  <si>
    <t>5.570</t>
  </si>
  <si>
    <t>5.446</t>
  </si>
  <si>
    <t>5.283</t>
  </si>
  <si>
    <t>5.164</t>
  </si>
  <si>
    <t>15 a 64 años</t>
  </si>
  <si>
    <t>56.427</t>
  </si>
  <si>
    <t>50.342</t>
  </si>
  <si>
    <t>57.778</t>
  </si>
  <si>
    <t>56.996</t>
  </si>
  <si>
    <t>56.708</t>
  </si>
  <si>
    <t>65 y mas años</t>
  </si>
  <si>
    <t>8.034</t>
  </si>
  <si>
    <t>8.158</t>
  </si>
  <si>
    <t>8.609</t>
  </si>
  <si>
    <t>8.657</t>
  </si>
  <si>
    <t>8.707</t>
  </si>
  <si>
    <t>8.898</t>
  </si>
  <si>
    <t>80 y más años</t>
  </si>
  <si>
    <t>No consta</t>
  </si>
  <si>
    <t>76.763</t>
  </si>
  <si>
    <t>68.917</t>
  </si>
  <si>
    <t>7.286</t>
  </si>
  <si>
    <t>6.595</t>
  </si>
  <si>
    <t>5.885</t>
  </si>
  <si>
    <t>5.349</t>
  </si>
  <si>
    <t>5.162</t>
  </si>
  <si>
    <t>4.999</t>
  </si>
  <si>
    <t>4.834</t>
  </si>
  <si>
    <t>52.254</t>
  </si>
  <si>
    <t>50.935</t>
  </si>
  <si>
    <t>46.905</t>
  </si>
  <si>
    <t>50.600</t>
  </si>
  <si>
    <t>50.889</t>
  </si>
  <si>
    <t>50.490</t>
  </si>
  <si>
    <t>50.812</t>
  </si>
  <si>
    <t>17.220</t>
  </si>
  <si>
    <t>15.014</t>
  </si>
  <si>
    <t>13.711</t>
  </si>
  <si>
    <t>13.397</t>
  </si>
  <si>
    <t>13.304</t>
  </si>
  <si>
    <t>13.207</t>
  </si>
  <si>
    <t>13.271</t>
  </si>
  <si>
    <t xml:space="preserve">3.Población extranjera </t>
  </si>
  <si>
    <t>40.289</t>
  </si>
  <si>
    <t>39.604</t>
  </si>
  <si>
    <t>27.810</t>
  </si>
  <si>
    <t>34.084</t>
  </si>
  <si>
    <t>36.509</t>
  </si>
  <si>
    <t>37.185</t>
  </si>
  <si>
    <t>38.676</t>
  </si>
  <si>
    <t>21.607</t>
  </si>
  <si>
    <t>22.173</t>
  </si>
  <si>
    <t>14.904</t>
  </si>
  <si>
    <t>18.255</t>
  </si>
  <si>
    <t>19.483</t>
  </si>
  <si>
    <t>19.571</t>
  </si>
  <si>
    <t>20.071</t>
  </si>
  <si>
    <t>18.682</t>
  </si>
  <si>
    <t>17.431</t>
  </si>
  <si>
    <t>12.906</t>
  </si>
  <si>
    <t>15.829</t>
  </si>
  <si>
    <t>17.026</t>
  </si>
  <si>
    <t>17.614</t>
  </si>
  <si>
    <t>18.605</t>
  </si>
  <si>
    <t xml:space="preserve">4.Hogares unipersonales (65 y + años) </t>
  </si>
  <si>
    <t>Total hogares unipersonales de 65 y más años</t>
  </si>
  <si>
    <t>1 hombre solo de 65 o más años</t>
  </si>
  <si>
    <t>1 mujer sola de 65 o más años</t>
  </si>
  <si>
    <t>% Mujeres solas de 65 y más</t>
  </si>
  <si>
    <t>5.Hogares monoparentales y monomarentales</t>
  </si>
  <si>
    <t>Total hogares monoparentales y monomarentales</t>
  </si>
  <si>
    <t>1 hombre adulto con 1 o más menores</t>
  </si>
  <si>
    <t>1 mujer adulta con 1 o más menores</t>
  </si>
  <si>
    <t>% Hogares monomarentales</t>
  </si>
  <si>
    <t>6. Paro Registrado</t>
  </si>
  <si>
    <t>Brecha (N)</t>
  </si>
  <si>
    <t>Brecha (punt.porc.)</t>
  </si>
  <si>
    <t>Total ocupaciones (N)</t>
  </si>
  <si>
    <t>Ocupaciones militares</t>
  </si>
  <si>
    <t>Distribución de mujeres (%)</t>
  </si>
  <si>
    <t>Miembros del poder ejecutivo y de los cuerpos legislativos; directivos de la Administración Pública y organizaciones de interés social; directores ejecutivos</t>
  </si>
  <si>
    <t>Directores de departamentos administrativos y comerciales</t>
  </si>
  <si>
    <t>Directores de producción y operaciones</t>
  </si>
  <si>
    <t>Directores y gerentes de empresas de alojamiento, restauración y comercio</t>
  </si>
  <si>
    <t>Directores y gerentes de otras empresas de servicios no clasificados bajo otros epígrafes</t>
  </si>
  <si>
    <t>Profesionales de la salud</t>
  </si>
  <si>
    <t>Profesionales de la enseñanza infantil, primaria, secundaria y postsecundaria</t>
  </si>
  <si>
    <t>Otros profesionales de la enseñanza</t>
  </si>
  <si>
    <t>Profesionales de la ciencias físicas, químicas, matemáticas y de las ingenierías</t>
  </si>
  <si>
    <t>Profesionales en derecho</t>
  </si>
  <si>
    <t>Especialistas en organización de la Administración Pública y de las empresas y en la comercialización</t>
  </si>
  <si>
    <t>Profesionales de las tecnologías de la información</t>
  </si>
  <si>
    <t>Profesionales en ciencias sociales</t>
  </si>
  <si>
    <t>Profesionales de la cultura y el espectáculo</t>
  </si>
  <si>
    <t>Técnicos de las ciencias y de las ingenierías</t>
  </si>
  <si>
    <t>Supervisores en ingeniería de minas, de industrias manufactureras y de la construcción</t>
  </si>
  <si>
    <t>33 - Técnicos sanitarios y profesionales de las terapias alternativas</t>
  </si>
  <si>
    <t>34 - Profesionales de apoyo en finanzas y matemáticas</t>
  </si>
  <si>
    <t>35 - Representantes, agentes comerciales y afines</t>
  </si>
  <si>
    <t>36 - Profesionales de apoyo a la gestión administrativa; técnicos de las fuerzas y cuerpos de seguridad</t>
  </si>
  <si>
    <t>37 - Profesionales de apoyo de servicios jurídicos, sociales, culturales, deportivos y afines</t>
  </si>
  <si>
    <t>38 - Técnicos de las tecnologías de la información y las comunicaciones (TIC)</t>
  </si>
  <si>
    <t>41 - Empleados en servicios contables, financieros, y de servicios de apoyo a la producción y al transporte</t>
  </si>
  <si>
    <t>42 - Empleados de bibliotecas, servicios de correos y afines</t>
  </si>
  <si>
    <t>43 - Otros empleados administrativos sin tareas de atención al público</t>
  </si>
  <si>
    <t>44 - Empleados de agencias de viajes, recepcionistas y telefonistas; empleados de ventanilla y afines (excepto taquilleros)</t>
  </si>
  <si>
    <t>45 - Empleados administrativos con tareas de atención al público no clasificados bajo otros epígrafes</t>
  </si>
  <si>
    <t>50 - Camareros y cocineros propietarios</t>
  </si>
  <si>
    <t>51 - Trabajadores asalariados de los servicios de restauración</t>
  </si>
  <si>
    <t>52 - Dependientes en tiendas y almacenes</t>
  </si>
  <si>
    <t>53 - Comerciantes propietarios de tiendas</t>
  </si>
  <si>
    <t>54 - Vendedores (excepto en tiendas y almacenes)</t>
  </si>
  <si>
    <t>55 - Cajeros y taquilleros (excepto bancos)</t>
  </si>
  <si>
    <t>56 - Trabajadores de los cuidados a las personas en servicios de salud</t>
  </si>
  <si>
    <t>57 - Otros trabajadores de los cuidados a las personas</t>
  </si>
  <si>
    <t>58 - Trabajadores de los servicios personales</t>
  </si>
  <si>
    <t>59 - Trabajadores de los servicios de protección y seguridad</t>
  </si>
  <si>
    <t>61 - Trabajadores cualificados en actividades agrícolas</t>
  </si>
  <si>
    <t>62 - Trabajadores cualificados en actividades ganaderas, (incluidas avícolas, apícolas y similares)</t>
  </si>
  <si>
    <t>63 - Trabajadores cualificados en actividades agropecuarias mixtas</t>
  </si>
  <si>
    <t>64 - Trabajadores cualificados en actividades forestales, pesqueras y cinegéticas</t>
  </si>
  <si>
    <t>71 - Trabajadores en obras estructurales de construcción y afines</t>
  </si>
  <si>
    <t>72 - Trabajadores de acabado de construcciones e instalaciones (excepto electricistas), pintores y afines</t>
  </si>
  <si>
    <t>73 - Soldadores, chapistas, montadores de estructuras metálicas, herreros, elaboradores de herramientas y afines</t>
  </si>
  <si>
    <t>74 - Mecánicos y ajustadores de maquinaria</t>
  </si>
  <si>
    <t>75 - Trabajadores especializados en electricidad y electrotecnología</t>
  </si>
  <si>
    <t>76 - Mecánicos de precisión en metales, ceramistas, vidrieros, artesanos y trabajadores de artes gráficas</t>
  </si>
  <si>
    <t>77 - Trabajadores de la industria de la alimentación, bebidas y tabaco</t>
  </si>
  <si>
    <t>78 - Trabajadores de la madera, textil, confección, piel, cuero, calzado y otros operarios en oficios</t>
  </si>
  <si>
    <t>81 - Operadores de instalaciones y maquinaria fijas</t>
  </si>
  <si>
    <t>82 - Montadores y ensambladores en fábricas</t>
  </si>
  <si>
    <t>83 - Maquinistas de locomotoras, operadores de maquinaria agrícola y de equipos pesados móviles, y marineros</t>
  </si>
  <si>
    <t>84 - Conductores de vehículos para el transporte urbano o por carretera</t>
  </si>
  <si>
    <t>91 - Empleados domésticos</t>
  </si>
  <si>
    <t>92 - Otro personal de limpieza</t>
  </si>
  <si>
    <t>93 - Ayudantes de preparación de alimentos</t>
  </si>
  <si>
    <t>94 - Recogedores de residuos urbanos, vendedores callejeros y otras ocupaciones elementales en servicios</t>
  </si>
  <si>
    <t>95 - Peones agrarios, forestales y de la pesca</t>
  </si>
  <si>
    <t>96 - Peones de la construcción y de la minería</t>
  </si>
  <si>
    <t>97 - Peones de las industrias manufactureras</t>
  </si>
  <si>
    <t>98 - Peones del transporte, descargadores y reponedores</t>
  </si>
  <si>
    <t>% ocupaciones masculinizadas</t>
  </si>
  <si>
    <t>% ocupaciones feminizadas</t>
  </si>
  <si>
    <t>% ocupaciones en equilibrio</t>
  </si>
  <si>
    <t>3. Renta, protección social, pobreza y vivienda</t>
  </si>
  <si>
    <t xml:space="preserve">10. Importe medio mensual de pensiones contributivas </t>
  </si>
  <si>
    <t>Ambos sexos (€)</t>
  </si>
  <si>
    <t>Hombres (€)</t>
  </si>
  <si>
    <t>Mujeres (€)</t>
  </si>
  <si>
    <t>Brecha (€)</t>
  </si>
  <si>
    <t>Brecha (%)</t>
  </si>
  <si>
    <t>11.  Porcentaje de la población parada que percibe prestación por desempleo</t>
  </si>
  <si>
    <t>Ambos sexos (%)</t>
  </si>
  <si>
    <t>Hombres (%)</t>
  </si>
  <si>
    <t>Mujeres (%)</t>
  </si>
  <si>
    <t>12. Solicitantes y perceptores/as de la Renta Mínima de Inserción</t>
  </si>
  <si>
    <t>Solicitantes</t>
  </si>
  <si>
    <t>Ambos sexos (N)</t>
  </si>
  <si>
    <t>Hombres (N)</t>
  </si>
  <si>
    <t>Mujeres (N)</t>
  </si>
  <si>
    <t>Perceptores/as</t>
  </si>
  <si>
    <t>4. Salud</t>
  </si>
  <si>
    <t>14. Esperanza de vida al nacer (años)</t>
  </si>
  <si>
    <t>Brecha (años)</t>
  </si>
  <si>
    <t>2005-2006</t>
  </si>
  <si>
    <t>2010 - 2011</t>
  </si>
  <si>
    <t>2015-2016</t>
  </si>
  <si>
    <t>2020-2021</t>
  </si>
  <si>
    <t xml:space="preserve">2021-2022 </t>
  </si>
  <si>
    <t>2022-2023</t>
  </si>
  <si>
    <t>2023-2024</t>
  </si>
  <si>
    <t>2024-2025</t>
  </si>
  <si>
    <t>5. Cuidados y Corresponsabilidad</t>
  </si>
  <si>
    <t>Población de 0 a 6 años</t>
  </si>
  <si>
    <t>Total alumnado matriculado en Educación Infantil</t>
  </si>
  <si>
    <t>Tasa de cobertura ambos sexos (%)</t>
  </si>
  <si>
    <t>Tasa de cobertura niños (%)</t>
  </si>
  <si>
    <t>Tasa de cobertura niñas (%)</t>
  </si>
  <si>
    <t>6. Educación, Ciencia, Cultura y Deporte</t>
  </si>
  <si>
    <t>17. Alumnado matriculado en bachillerato de ciencias y tecnología</t>
  </si>
  <si>
    <t>Alumnado matriculado Bachillerato</t>
  </si>
  <si>
    <t>Total (N)</t>
  </si>
  <si>
    <t xml:space="preserve"> </t>
  </si>
  <si>
    <t>Alumnado matriculado en modalidad Ciencias y Tecnología</t>
  </si>
  <si>
    <t>% concentración hombres</t>
  </si>
  <si>
    <t>% concentración mujeres</t>
  </si>
  <si>
    <t>18. Alumnado matriculado en formación profesional de grado medio por familias profesionales</t>
  </si>
  <si>
    <t>Sanidad</t>
  </si>
  <si>
    <t>Administración y Gestión</t>
  </si>
  <si>
    <t>Informática y Comunicaciones</t>
  </si>
  <si>
    <t>Química</t>
  </si>
  <si>
    <t>Actividades Físicas y Deportivas</t>
  </si>
  <si>
    <t>Servicios Socioculturales y a la Comunidad</t>
  </si>
  <si>
    <t>Comercio y Marketing</t>
  </si>
  <si>
    <t>Brecha (% Familias profesionales)</t>
  </si>
  <si>
    <t>Masculinizadas</t>
  </si>
  <si>
    <t>Feminizadas</t>
  </si>
  <si>
    <t>Equilibrio</t>
  </si>
  <si>
    <t>19. Alumnado matriculado en formación profesional de grado superior por familias profesionales</t>
  </si>
  <si>
    <t xml:space="preserve"> Servicios Socioculturales y a la Comunidad</t>
  </si>
  <si>
    <t xml:space="preserve"> Actividades Físicas y Deportivas</t>
  </si>
  <si>
    <t xml:space="preserve"> Textil, Confección y Piel</t>
  </si>
  <si>
    <t>Hostelería y turismo</t>
  </si>
  <si>
    <t>Seguridad y Medio Ambiente</t>
  </si>
  <si>
    <t>Imagen y sonido</t>
  </si>
  <si>
    <t>Brecha ( % familias profesionales)</t>
  </si>
  <si>
    <t>% Escuelas Masculinizadas</t>
  </si>
  <si>
    <t>% Escuelas Feminizadas</t>
  </si>
  <si>
    <t>% Escuelas Equilibradas</t>
  </si>
  <si>
    <t>7. Poder y Participación Ciudadana</t>
  </si>
  <si>
    <t>22. Porcentaje de asociaciones de mujeres (%)</t>
  </si>
  <si>
    <t>Total asociaciones (N)</t>
  </si>
  <si>
    <t>Total asociaciones mujeres (N)</t>
  </si>
  <si>
    <t>% Asociaciones de mujeres</t>
  </si>
  <si>
    <t>8. Seguridad y Movilidad</t>
  </si>
  <si>
    <t>23. Personas implicadas en accidentes de tráfico</t>
  </si>
  <si>
    <t>Conductor (N)</t>
  </si>
  <si>
    <t>Pasajero (N)</t>
  </si>
  <si>
    <t>Conductora (N)</t>
  </si>
  <si>
    <t>Pasajera (N)</t>
  </si>
  <si>
    <t>Conductor/a (N)</t>
  </si>
  <si>
    <t>Pasajero/a (N)</t>
  </si>
  <si>
    <t>Conductora (%)</t>
  </si>
  <si>
    <t>Pasajera (%)</t>
  </si>
  <si>
    <t>2. ARGANZUELA</t>
  </si>
  <si>
    <t>154.787</t>
  </si>
  <si>
    <t>150.177</t>
  </si>
  <si>
    <t>155.660</t>
  </si>
  <si>
    <t>154.243</t>
  </si>
  <si>
    <t>152.638</t>
  </si>
  <si>
    <t>72.228</t>
  </si>
  <si>
    <t>69.512</t>
  </si>
  <si>
    <t>72.600</t>
  </si>
  <si>
    <t>72.000</t>
  </si>
  <si>
    <t>71.466</t>
  </si>
  <si>
    <t>82.559</t>
  </si>
  <si>
    <t>80.665</t>
  </si>
  <si>
    <t>83.060</t>
  </si>
  <si>
    <t>82.243</t>
  </si>
  <si>
    <t>81.172</t>
  </si>
  <si>
    <t>5.231</t>
  </si>
  <si>
    <t>2.262</t>
  </si>
  <si>
    <t>2.969</t>
  </si>
  <si>
    <t xml:space="preserve">12. Solicitantes y perceptores/as de la Renta Mínima de Inserción </t>
  </si>
  <si>
    <t>Electricidad y electrónica</t>
  </si>
  <si>
    <t>Administración y gestión</t>
  </si>
  <si>
    <t>Informática y comunicaciones</t>
  </si>
  <si>
    <t>Fabricación mecánica</t>
  </si>
  <si>
    <t>Artes gráficas</t>
  </si>
  <si>
    <t>Instalación y mantenimiento</t>
  </si>
  <si>
    <t>Textil, confección y piel</t>
  </si>
  <si>
    <t>Brecha (% familias profesionales)</t>
  </si>
  <si>
    <t>Edificación y obra civil</t>
  </si>
  <si>
    <t>Servicios socioculturales y a la comunidad</t>
  </si>
  <si>
    <t>Comercio y marketing</t>
  </si>
  <si>
    <t xml:space="preserve">Hombres </t>
  </si>
  <si>
    <t xml:space="preserve">Mujeres </t>
  </si>
  <si>
    <t>3. RETIRO</t>
  </si>
  <si>
    <t>3.011</t>
  </si>
  <si>
    <t>1.247</t>
  </si>
  <si>
    <t>1.764</t>
  </si>
  <si>
    <t>Actividades físicas y deportivas</t>
  </si>
  <si>
    <t>4. SALAMANCA</t>
  </si>
  <si>
    <t>Imagen y Sonido</t>
  </si>
  <si>
    <t>5. CHAMARTÍN</t>
  </si>
  <si>
    <t>0</t>
  </si>
  <si>
    <t>25*</t>
  </si>
  <si>
    <t>12. Solicitantes y perceptores/as de la Renta Mínima de Inserción (N)</t>
  </si>
  <si>
    <t xml:space="preserve"> Sanidad</t>
  </si>
  <si>
    <t xml:space="preserve"> Agraria</t>
  </si>
  <si>
    <t>Brecha ( % Familias profesionales)</t>
  </si>
  <si>
    <t>6. TETUÁN</t>
  </si>
  <si>
    <t xml:space="preserve">3. Población extranjera </t>
  </si>
  <si>
    <t>5. Hogares monoparentales y monomarentales</t>
  </si>
  <si>
    <t>Servicios socioculturales a la comunidad</t>
  </si>
  <si>
    <t>Brecha % (Familias profesionales)</t>
  </si>
  <si>
    <t>7. CHAMBERÍ</t>
  </si>
  <si>
    <t>2010-2011</t>
  </si>
  <si>
    <t xml:space="preserve">Imagen personal </t>
  </si>
  <si>
    <t>8. FUENCARRAL - EL PARDO</t>
  </si>
  <si>
    <t>Industrial alimentarias</t>
  </si>
  <si>
    <t>Transporte y mantenimiento de vehículos</t>
  </si>
  <si>
    <t>Agraria</t>
  </si>
  <si>
    <t>Seguridad y medio ambiente</t>
  </si>
  <si>
    <t>Energía y agua</t>
  </si>
  <si>
    <t>9. MONCLOA - ARAVACA</t>
  </si>
  <si>
    <t>Madera, mueble y corcho</t>
  </si>
  <si>
    <t xml:space="preserve"> Industrias Alimentarias</t>
  </si>
  <si>
    <t>Industrias alimentarias</t>
  </si>
  <si>
    <t>10. LATINA</t>
  </si>
  <si>
    <t xml:space="preserve">1. Población total de mujeres y hombres </t>
  </si>
  <si>
    <t>2. Población por grandes grupos de edad</t>
  </si>
  <si>
    <t xml:space="preserve">3. Población extranjera </t>
  </si>
  <si>
    <t>Textil confección y piel</t>
  </si>
  <si>
    <t xml:space="preserve">Textil, confección y piel </t>
  </si>
  <si>
    <t>22. Porcentaje de asociaciones de mujeres</t>
  </si>
  <si>
    <t>11. CARABANCHEL</t>
  </si>
  <si>
    <t>Brecha (Nº)</t>
  </si>
  <si>
    <t>Imagen personal</t>
  </si>
  <si>
    <t xml:space="preserve">22. Porcentaje de asociaciones de mujeres </t>
  </si>
  <si>
    <t>12. USERA</t>
  </si>
  <si>
    <t>13. PUENTE DE VALLECAS</t>
  </si>
  <si>
    <t>% Mujeres)</t>
  </si>
  <si>
    <t>Transporte y Mantenimiento de Vehículos</t>
  </si>
  <si>
    <t>Electricidad y Electrónica</t>
  </si>
  <si>
    <t>Imagen Personal</t>
  </si>
  <si>
    <t>Artes Gráficas</t>
  </si>
  <si>
    <t>Hostelería y Turismo</t>
  </si>
  <si>
    <t>Edificación y Obra Civil</t>
  </si>
  <si>
    <t>14. MORATALAZ</t>
  </si>
  <si>
    <t>15. CIUDAD LINEAL</t>
  </si>
  <si>
    <t>Fabricación Mecánica</t>
  </si>
  <si>
    <t>Instalación y Mantenimiento</t>
  </si>
  <si>
    <t>Pasajeros (%)</t>
  </si>
  <si>
    <t>16. HORTALEZA</t>
  </si>
  <si>
    <t>6.334</t>
  </si>
  <si>
    <t>2.528</t>
  </si>
  <si>
    <t>3.806</t>
  </si>
  <si>
    <t>50.2</t>
  </si>
  <si>
    <t>17. VILLAVERDE</t>
  </si>
  <si>
    <t>18. VILLA DE VALLECAS</t>
  </si>
  <si>
    <t xml:space="preserve">11.  Porcentaje de la población parada que percibe prestación por desempleo </t>
  </si>
  <si>
    <t>Total alumnado matriculado en educación Infantil</t>
  </si>
  <si>
    <t>19. VICÁLVARO</t>
  </si>
  <si>
    <t>20. SAN BLAS - CANILLEJAS</t>
  </si>
  <si>
    <t>Industrias Alimentarias</t>
  </si>
  <si>
    <t>Energía y Agua</t>
  </si>
  <si>
    <t>21. BARAJAS</t>
  </si>
  <si>
    <t>1.418</t>
  </si>
  <si>
    <t>572</t>
  </si>
  <si>
    <t>846</t>
  </si>
  <si>
    <t xml:space="preserve"> Informática y Comunicaciones</t>
  </si>
  <si>
    <t xml:space="preserve"> ENLACE</t>
  </si>
  <si>
    <t>Fichero actualizado por la Dirección General de Igualdad y contra la Violencia de Género a fecha de mayo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</si>
</sst>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
    <numFmt numFmtId="166" formatCode="_-* #,##0.0_-;\-* #,##0.0_-;_-* &quot;-&quot;??_-;_-@_-"/>
    <numFmt numFmtId="167" formatCode="[$-10C0A]#,##0;\(#,##0\)"/>
  </numFmts>
  <fonts count="50" x14ac:knownFonts="1">
    <font>
      <sz val="11"/>
      <color theme="1"/>
      <name val="Calibri"/>
      <family val="2"/>
      <scheme val="minor"/>
    </font>
    <font>
      <b/>
      <sz val="11"/>
      <color theme="0"/>
      <name val="Calibri"/>
      <family val="2"/>
      <scheme val="minor"/>
    </font>
    <font>
      <b/>
      <sz val="24"/>
      <color theme="0"/>
      <name val="Calibri"/>
      <family val="2"/>
      <scheme val="minor"/>
    </font>
    <font>
      <b/>
      <sz val="24"/>
      <color theme="1"/>
      <name val="Calibri"/>
      <family val="2"/>
      <scheme val="minor"/>
    </font>
    <font>
      <u/>
      <sz val="11"/>
      <color theme="10"/>
      <name val="Calibri"/>
      <family val="2"/>
      <scheme val="minor"/>
    </font>
    <font>
      <sz val="8"/>
      <name val="Calibri"/>
      <family val="2"/>
      <scheme val="minor"/>
    </font>
    <font>
      <b/>
      <sz val="11"/>
      <color theme="1"/>
      <name val="Calibri"/>
      <family val="2"/>
      <scheme val="minor"/>
    </font>
    <font>
      <sz val="11"/>
      <color theme="1"/>
      <name val="Calibri"/>
      <family val="2"/>
      <scheme val="minor"/>
    </font>
    <font>
      <sz val="12"/>
      <color theme="0"/>
      <name val="Calibri"/>
      <family val="2"/>
      <scheme val="minor"/>
    </font>
    <font>
      <sz val="11"/>
      <color rgb="FF000000"/>
      <name val="Calibri"/>
      <family val="2"/>
      <scheme val="minor"/>
    </font>
    <font>
      <sz val="11"/>
      <color rgb="FF000000"/>
      <name val="Arial Narrow"/>
      <family val="2"/>
      <charset val="1"/>
    </font>
    <font>
      <b/>
      <sz val="12"/>
      <color theme="0"/>
      <name val="Calibri"/>
      <family val="2"/>
      <scheme val="minor"/>
    </font>
    <font>
      <sz val="11"/>
      <color rgb="FF9C0006"/>
      <name val="Calibri"/>
      <family val="2"/>
      <scheme val="minor"/>
    </font>
    <font>
      <b/>
      <sz val="12"/>
      <color rgb="FF404040"/>
      <name val="Calibri"/>
      <family val="2"/>
      <scheme val="minor"/>
    </font>
    <font>
      <b/>
      <sz val="12"/>
      <color rgb="FFFF8989"/>
      <name val="Calibri"/>
      <family val="2"/>
      <scheme val="minor"/>
    </font>
    <font>
      <sz val="12"/>
      <name val="Calibri"/>
      <family val="2"/>
      <scheme val="minor"/>
    </font>
    <font>
      <b/>
      <sz val="12"/>
      <color rgb="FFFF0000"/>
      <name val="Calibri"/>
      <family val="2"/>
      <scheme val="minor"/>
    </font>
    <font>
      <sz val="12"/>
      <color rgb="FF000000"/>
      <name val="Calibri"/>
      <family val="2"/>
      <scheme val="minor"/>
    </font>
    <font>
      <b/>
      <sz val="12"/>
      <name val="Calibri"/>
      <family val="2"/>
      <scheme val="minor"/>
    </font>
    <font>
      <sz val="12"/>
      <color theme="1"/>
      <name val="Calibri"/>
      <family val="2"/>
      <scheme val="minor"/>
    </font>
    <font>
      <b/>
      <sz val="12"/>
      <color theme="1"/>
      <name val="Calibri"/>
      <family val="2"/>
      <scheme val="minor"/>
    </font>
    <font>
      <b/>
      <sz val="12"/>
      <color rgb="FF000000"/>
      <name val="Calibri"/>
      <family val="2"/>
      <scheme val="minor"/>
    </font>
    <font>
      <sz val="12"/>
      <name val="Arial"/>
      <family val="2"/>
    </font>
    <font>
      <b/>
      <sz val="12"/>
      <color rgb="FFC00000"/>
      <name val="Calibri"/>
      <family val="2"/>
      <scheme val="minor"/>
    </font>
    <font>
      <b/>
      <sz val="12"/>
      <color rgb="FF9C0006"/>
      <name val="Calibri"/>
      <family val="2"/>
      <scheme val="minor"/>
    </font>
    <font>
      <sz val="12"/>
      <color rgb="FF333333"/>
      <name val="Calibri"/>
      <family val="2"/>
      <scheme val="minor"/>
    </font>
    <font>
      <sz val="12"/>
      <color rgb="FFC00000"/>
      <name val="Calibri"/>
      <family val="2"/>
      <scheme val="minor"/>
    </font>
    <font>
      <b/>
      <sz val="12"/>
      <color theme="1" tint="0.14999847407452621"/>
      <name val="Calibri"/>
      <family val="2"/>
      <scheme val="minor"/>
    </font>
    <font>
      <sz val="12"/>
      <color rgb="FF404040"/>
      <name val="Calibri"/>
      <family val="2"/>
      <scheme val="minor"/>
    </font>
    <font>
      <sz val="12"/>
      <color rgb="FFFF0000"/>
      <name val="Calibri"/>
      <family val="2"/>
      <scheme val="minor"/>
    </font>
    <font>
      <sz val="12"/>
      <color rgb="FF000000"/>
      <name val="Calibri"/>
      <family val="2"/>
    </font>
    <font>
      <b/>
      <sz val="12"/>
      <color theme="0" tint="-0.34998626667073579"/>
      <name val="Calibri"/>
      <family val="2"/>
      <scheme val="minor"/>
    </font>
    <font>
      <b/>
      <sz val="12"/>
      <color theme="0" tint="-0.14999847407452621"/>
      <name val="Calibri"/>
      <family val="2"/>
      <scheme val="minor"/>
    </font>
    <font>
      <u/>
      <sz val="12"/>
      <color theme="0"/>
      <name val="Calibri"/>
      <family val="2"/>
      <scheme val="minor"/>
    </font>
    <font>
      <b/>
      <u/>
      <sz val="12"/>
      <color theme="10"/>
      <name val="Calibri"/>
      <family val="2"/>
      <scheme val="minor"/>
    </font>
    <font>
      <b/>
      <sz val="12"/>
      <name val="Arial"/>
      <family val="2"/>
    </font>
    <font>
      <u/>
      <sz val="12"/>
      <color theme="10"/>
      <name val="Calibri"/>
      <family val="2"/>
      <scheme val="minor"/>
    </font>
    <font>
      <u/>
      <sz val="12"/>
      <name val="Calibri"/>
      <family val="2"/>
      <scheme val="minor"/>
    </font>
    <font>
      <u/>
      <sz val="12"/>
      <color theme="4"/>
      <name val="Calibri"/>
      <family val="2"/>
      <scheme val="minor"/>
    </font>
    <font>
      <sz val="20"/>
      <color theme="1"/>
      <name val="Calibri"/>
      <family val="2"/>
      <scheme val="minor"/>
    </font>
    <font>
      <b/>
      <sz val="18"/>
      <color theme="1"/>
      <name val="Calibri"/>
      <family val="2"/>
      <scheme val="minor"/>
    </font>
    <font>
      <b/>
      <sz val="10"/>
      <color rgb="FF333333"/>
      <name val="Arial"/>
      <family val="2"/>
    </font>
    <font>
      <sz val="10"/>
      <color rgb="FF333333"/>
      <name val="Arial"/>
      <family val="2"/>
    </font>
    <font>
      <b/>
      <sz val="12"/>
      <color rgb="FF333333"/>
      <name val="Calibri"/>
      <family val="2"/>
      <scheme val="minor"/>
    </font>
    <font>
      <b/>
      <sz val="14"/>
      <color rgb="FF404040"/>
      <name val="Calibri"/>
      <family val="2"/>
      <scheme val="minor"/>
    </font>
    <font>
      <b/>
      <sz val="16"/>
      <color theme="4"/>
      <name val="Calibri"/>
      <family val="2"/>
      <scheme val="minor"/>
    </font>
    <font>
      <sz val="11"/>
      <color theme="4"/>
      <name val="Calibri"/>
      <family val="2"/>
      <scheme val="minor"/>
    </font>
    <font>
      <sz val="14"/>
      <color rgb="FF000000"/>
      <name val="Calibri"/>
      <family val="2"/>
    </font>
    <font>
      <sz val="10"/>
      <color rgb="FF000000"/>
      <name val="Calibri"/>
      <family val="2"/>
    </font>
    <font>
      <sz val="12"/>
      <color theme="5"/>
      <name val="Calibri"/>
      <family val="2"/>
      <scheme val="minor"/>
    </font>
  </fonts>
  <fills count="30">
    <fill>
      <patternFill patternType="none"/>
    </fill>
    <fill>
      <patternFill patternType="gray125"/>
    </fill>
    <fill>
      <patternFill patternType="solid">
        <fgColor theme="8" tint="-0.499984740745262"/>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0.499984740745262"/>
        <bgColor indexed="64"/>
      </patternFill>
    </fill>
    <fill>
      <patternFill patternType="solid">
        <fgColor theme="0"/>
        <bgColor indexed="64"/>
      </patternFill>
    </fill>
    <fill>
      <patternFill patternType="solid">
        <fgColor theme="5" tint="0.79998168889431442"/>
        <bgColor indexed="64"/>
      </patternFill>
    </fill>
    <fill>
      <patternFill patternType="solid">
        <fgColor rgb="FFFFFFFF"/>
        <bgColor rgb="FF0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E5E5FF"/>
        <bgColor indexed="64"/>
      </patternFill>
    </fill>
    <fill>
      <patternFill patternType="solid">
        <fgColor rgb="FFE1FFF9"/>
        <bgColor indexed="64"/>
      </patternFill>
    </fill>
    <fill>
      <patternFill patternType="solid">
        <fgColor rgb="FFFFC7CE"/>
      </patternFill>
    </fill>
    <fill>
      <patternFill patternType="solid">
        <fgColor rgb="FFFFC7CE"/>
        <bgColor indexed="64"/>
      </patternFill>
    </fill>
    <fill>
      <patternFill patternType="solid">
        <fgColor rgb="FFFF8989"/>
        <bgColor indexed="64"/>
      </patternFill>
    </fill>
    <fill>
      <patternFill patternType="solid">
        <fgColor rgb="FFE7E6E6"/>
        <bgColor indexed="64"/>
      </patternFill>
    </fill>
    <fill>
      <patternFill patternType="solid">
        <fgColor theme="2" tint="-9.9978637043366805E-2"/>
        <bgColor indexed="64"/>
      </patternFill>
    </fill>
    <fill>
      <patternFill patternType="solid">
        <fgColor theme="2"/>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rgb="FFD3D3D3"/>
        <bgColor rgb="FFD3D3D3"/>
      </patternFill>
    </fill>
    <fill>
      <patternFill patternType="solid">
        <fgColor theme="0"/>
        <bgColor rgb="FFD3D3D3"/>
      </patternFill>
    </fill>
    <fill>
      <patternFill patternType="solid">
        <fgColor rgb="FFE7E6E6"/>
        <bgColor rgb="FF000000"/>
      </patternFill>
    </fill>
    <fill>
      <patternFill patternType="solid">
        <fgColor theme="4" tint="0.59999389629810485"/>
        <bgColor indexed="64"/>
      </patternFill>
    </fill>
  </fills>
  <borders count="342">
    <border>
      <left/>
      <right/>
      <top/>
      <bottom/>
      <diagonal/>
    </border>
    <border>
      <left style="medium">
        <color theme="6" tint="0.79998168889431442"/>
      </left>
      <right style="medium">
        <color theme="6" tint="0.79998168889431442"/>
      </right>
      <top style="medium">
        <color theme="6" tint="0.79998168889431442"/>
      </top>
      <bottom style="medium">
        <color theme="6" tint="0.79998168889431442"/>
      </bottom>
      <diagonal/>
    </border>
    <border>
      <left style="medium">
        <color theme="6" tint="0.79998168889431442"/>
      </left>
      <right/>
      <top style="medium">
        <color theme="6" tint="0.79998168889431442"/>
      </top>
      <bottom/>
      <diagonal/>
    </border>
    <border>
      <left/>
      <right style="medium">
        <color theme="6" tint="0.79998168889431442"/>
      </right>
      <top style="medium">
        <color theme="6" tint="0.79998168889431442"/>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bottom style="medium">
        <color indexed="64"/>
      </bottom>
      <diagonal/>
    </border>
    <border>
      <left style="medium">
        <color theme="6"/>
      </left>
      <right style="medium">
        <color theme="6"/>
      </right>
      <top/>
      <bottom/>
      <diagonal/>
    </border>
    <border>
      <left style="medium">
        <color theme="6"/>
      </left>
      <right/>
      <top style="medium">
        <color theme="6"/>
      </top>
      <bottom style="medium">
        <color theme="6"/>
      </bottom>
      <diagonal/>
    </border>
    <border>
      <left/>
      <right/>
      <top style="medium">
        <color theme="2" tint="-0.249977111117893"/>
      </top>
      <bottom/>
      <diagonal/>
    </border>
    <border>
      <left/>
      <right style="double">
        <color theme="6" tint="0.79998168889431442"/>
      </right>
      <top/>
      <bottom/>
      <diagonal/>
    </border>
    <border>
      <left/>
      <right/>
      <top style="double">
        <color theme="6" tint="0.79998168889431442"/>
      </top>
      <bottom/>
      <diagonal/>
    </border>
    <border>
      <left style="double">
        <color theme="6" tint="0.79998168889431442"/>
      </left>
      <right/>
      <top/>
      <bottom/>
      <diagonal/>
    </border>
    <border>
      <left style="double">
        <color theme="6" tint="0.79998168889431442"/>
      </left>
      <right style="double">
        <color theme="6" tint="0.79998168889431442"/>
      </right>
      <top/>
      <bottom style="double">
        <color theme="6" tint="0.79998168889431442"/>
      </bottom>
      <diagonal/>
    </border>
    <border>
      <left style="double">
        <color theme="6" tint="0.79998168889431442"/>
      </left>
      <right style="double">
        <color theme="6" tint="0.79998168889431442"/>
      </right>
      <top style="double">
        <color theme="6" tint="0.79998168889431442"/>
      </top>
      <bottom style="double">
        <color theme="6" tint="0.79998168889431442"/>
      </bottom>
      <diagonal/>
    </border>
    <border>
      <left style="thin">
        <color theme="6"/>
      </left>
      <right style="thin">
        <color theme="6"/>
      </right>
      <top/>
      <bottom style="thin">
        <color theme="6"/>
      </bottom>
      <diagonal/>
    </border>
    <border>
      <left style="medium">
        <color theme="6"/>
      </left>
      <right/>
      <top style="medium">
        <color theme="6"/>
      </top>
      <bottom/>
      <diagonal/>
    </border>
    <border>
      <left style="thin">
        <color theme="6"/>
      </left>
      <right style="thin">
        <color theme="6"/>
      </right>
      <top style="thin">
        <color theme="6"/>
      </top>
      <bottom/>
      <diagonal/>
    </border>
    <border>
      <left style="medium">
        <color theme="2" tint="-0.249977111117893"/>
      </left>
      <right style="medium">
        <color theme="2" tint="-0.249977111117893"/>
      </right>
      <top style="thin">
        <color theme="2" tint="-9.9978637043366805E-2"/>
      </top>
      <bottom style="thin">
        <color theme="2" tint="-9.9978637043366805E-2"/>
      </bottom>
      <diagonal/>
    </border>
    <border>
      <left/>
      <right style="thin">
        <color theme="6"/>
      </right>
      <top style="thin">
        <color theme="6"/>
      </top>
      <bottom style="thin">
        <color theme="6"/>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indexed="64"/>
      </left>
      <right/>
      <top style="medium">
        <color indexed="64"/>
      </top>
      <bottom/>
      <diagonal/>
    </border>
    <border>
      <left/>
      <right/>
      <top style="medium">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medium">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style="thin">
        <color theme="6"/>
      </left>
      <right style="thin">
        <color theme="6"/>
      </right>
      <top/>
      <bottom/>
      <diagonal/>
    </border>
    <border>
      <left style="thin">
        <color theme="6"/>
      </left>
      <right style="thin">
        <color theme="6"/>
      </right>
      <top style="medium">
        <color theme="2" tint="-0.499984740745262"/>
      </top>
      <bottom style="thin">
        <color theme="6"/>
      </bottom>
      <diagonal/>
    </border>
    <border>
      <left style="thin">
        <color theme="6"/>
      </left>
      <right style="medium">
        <color theme="2" tint="-0.499984740745262"/>
      </right>
      <top style="medium">
        <color theme="2" tint="-0.499984740745262"/>
      </top>
      <bottom/>
      <diagonal/>
    </border>
    <border>
      <left style="thin">
        <color theme="6"/>
      </left>
      <right style="thin">
        <color theme="6"/>
      </right>
      <top style="thin">
        <color theme="6"/>
      </top>
      <bottom style="medium">
        <color theme="2" tint="-0.499984740745262"/>
      </bottom>
      <diagonal/>
    </border>
    <border>
      <left style="medium">
        <color theme="2" tint="-0.499984740745262"/>
      </left>
      <right style="medium">
        <color theme="2" tint="-0.499984740745262"/>
      </right>
      <top style="medium">
        <color theme="2" tint="-0.499984740745262"/>
      </top>
      <bottom style="medium">
        <color theme="6"/>
      </bottom>
      <diagonal/>
    </border>
    <border>
      <left style="medium">
        <color theme="2" tint="-0.499984740745262"/>
      </left>
      <right style="medium">
        <color theme="2" tint="-0.499984740745262"/>
      </right>
      <top style="medium">
        <color theme="6"/>
      </top>
      <bottom style="medium">
        <color theme="6"/>
      </bottom>
      <diagonal/>
    </border>
    <border>
      <left style="thin">
        <color theme="2" tint="-0.249977111117893"/>
      </left>
      <right style="thin">
        <color theme="2" tint="-0.249977111117893"/>
      </right>
      <top style="medium">
        <color theme="2" tint="-0.499984740745262"/>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499984740745262"/>
      </bottom>
      <diagonal/>
    </border>
    <border>
      <left style="thin">
        <color theme="2" tint="-0.249977111117893"/>
      </left>
      <right/>
      <top style="thin">
        <color theme="2" tint="-0.249977111117893"/>
      </top>
      <bottom style="medium">
        <color theme="2" tint="-0.499984740745262"/>
      </bottom>
      <diagonal/>
    </border>
    <border>
      <left style="thin">
        <color theme="6"/>
      </left>
      <right style="thin">
        <color theme="6"/>
      </right>
      <top/>
      <bottom style="medium">
        <color theme="2" tint="-0.499984740745262"/>
      </bottom>
      <diagonal/>
    </border>
    <border>
      <left style="thin">
        <color theme="6"/>
      </left>
      <right style="medium">
        <color theme="2" tint="-0.499984740745262"/>
      </right>
      <top/>
      <bottom style="medium">
        <color theme="2" tint="-0.499984740745262"/>
      </bottom>
      <diagonal/>
    </border>
    <border>
      <left style="medium">
        <color theme="2" tint="-0.499984740745262"/>
      </left>
      <right/>
      <top style="medium">
        <color theme="2" tint="-0.499984740745262"/>
      </top>
      <bottom style="medium">
        <color theme="6"/>
      </bottom>
      <diagonal/>
    </border>
    <border>
      <left style="medium">
        <color theme="2" tint="-0.499984740745262"/>
      </left>
      <right/>
      <top style="medium">
        <color theme="6"/>
      </top>
      <bottom style="medium">
        <color theme="6"/>
      </bottom>
      <diagonal/>
    </border>
    <border>
      <left style="medium">
        <color theme="2" tint="-0.499984740745262"/>
      </left>
      <right/>
      <top style="medium">
        <color theme="6"/>
      </top>
      <bottom style="medium">
        <color theme="2" tint="-0.499984740745262"/>
      </bottom>
      <diagonal/>
    </border>
    <border>
      <left style="thin">
        <color theme="6"/>
      </left>
      <right style="thin">
        <color theme="6"/>
      </right>
      <top style="medium">
        <color theme="2" tint="-0.499984740745262"/>
      </top>
      <bottom/>
      <diagonal/>
    </border>
    <border>
      <left style="medium">
        <color theme="2" tint="-0.499984740745262"/>
      </left>
      <right style="medium">
        <color theme="6"/>
      </right>
      <top style="medium">
        <color theme="2" tint="-0.499984740745262"/>
      </top>
      <bottom/>
      <diagonal/>
    </border>
    <border>
      <left style="medium">
        <color theme="2" tint="-0.499984740745262"/>
      </left>
      <right style="medium">
        <color theme="6"/>
      </right>
      <top/>
      <bottom style="medium">
        <color theme="2" tint="-0.499984740745262"/>
      </bottom>
      <diagonal/>
    </border>
    <border>
      <left style="thin">
        <color theme="6"/>
      </left>
      <right style="medium">
        <color theme="2" tint="-0.499984740745262"/>
      </right>
      <top/>
      <bottom/>
      <diagonal/>
    </border>
    <border>
      <left style="medium">
        <color theme="2" tint="-0.499984740745262"/>
      </left>
      <right/>
      <top style="medium">
        <color theme="6"/>
      </top>
      <bottom/>
      <diagonal/>
    </border>
    <border>
      <left style="thin">
        <color theme="6"/>
      </left>
      <right/>
      <top style="medium">
        <color theme="2" tint="-0.499984740745262"/>
      </top>
      <bottom style="thin">
        <color theme="6"/>
      </bottom>
      <diagonal/>
    </border>
    <border>
      <left style="thin">
        <color theme="6"/>
      </left>
      <right style="medium">
        <color theme="2" tint="-0.499984740745262"/>
      </right>
      <top style="thin">
        <color theme="6"/>
      </top>
      <bottom/>
      <diagonal/>
    </border>
    <border>
      <left style="medium">
        <color theme="6"/>
      </left>
      <right/>
      <top/>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medium">
        <color theme="2" tint="-0.249977111117893"/>
      </left>
      <right style="thin">
        <color theme="2" tint="-0.249977111117893"/>
      </right>
      <top style="thin">
        <color theme="2" tint="-0.249977111117893"/>
      </top>
      <bottom/>
      <diagonal/>
    </border>
    <border>
      <left style="medium">
        <color theme="2" tint="-0.499984740745262"/>
      </left>
      <right/>
      <top style="medium">
        <color theme="2" tint="-0.499984740745262"/>
      </top>
      <bottom/>
      <diagonal/>
    </border>
    <border>
      <left style="medium">
        <color theme="2" tint="-0.499984740745262"/>
      </left>
      <right/>
      <top/>
      <bottom/>
      <diagonal/>
    </border>
    <border>
      <left style="medium">
        <color theme="2" tint="-0.499984740745262"/>
      </left>
      <right/>
      <top/>
      <bottom style="medium">
        <color theme="2" tint="-0.499984740745262"/>
      </bottom>
      <diagonal/>
    </border>
    <border>
      <left style="medium">
        <color theme="2" tint="-0.249977111117893"/>
      </left>
      <right style="thin">
        <color theme="2" tint="-0.249977111117893"/>
      </right>
      <top style="thin">
        <color theme="2" tint="-0.249977111117893"/>
      </top>
      <bottom style="medium">
        <color theme="2" tint="-0.499984740745262"/>
      </bottom>
      <diagonal/>
    </border>
    <border>
      <left style="medium">
        <color theme="2" tint="-0.499984740745262"/>
      </left>
      <right style="medium">
        <color theme="2" tint="-0.249977111117893"/>
      </right>
      <top style="medium">
        <color theme="2" tint="-0.499984740745262"/>
      </top>
      <bottom/>
      <diagonal/>
    </border>
    <border>
      <left style="medium">
        <color theme="2" tint="-0.499984740745262"/>
      </left>
      <right style="medium">
        <color theme="2" tint="-0.249977111117893"/>
      </right>
      <top/>
      <bottom/>
      <diagonal/>
    </border>
    <border>
      <left style="medium">
        <color theme="2" tint="-0.499984740745262"/>
      </left>
      <right style="medium">
        <color theme="2" tint="-0.249977111117893"/>
      </right>
      <top/>
      <bottom style="medium">
        <color theme="2" tint="-0.499984740745262"/>
      </bottom>
      <diagonal/>
    </border>
    <border>
      <left/>
      <right style="thin">
        <color theme="2" tint="-0.249977111117893"/>
      </right>
      <top style="medium">
        <color theme="2" tint="-0.499984740745262"/>
      </top>
      <bottom style="thin">
        <color theme="2" tint="-0.249977111117893"/>
      </bottom>
      <diagonal/>
    </border>
    <border>
      <left/>
      <right style="thin">
        <color theme="2" tint="-0.249977111117893"/>
      </right>
      <top style="thin">
        <color theme="2" tint="-0.249977111117893"/>
      </top>
      <bottom style="medium">
        <color theme="2" tint="-0.499984740745262"/>
      </bottom>
      <diagonal/>
    </border>
    <border>
      <left/>
      <right style="thin">
        <color theme="6"/>
      </right>
      <top style="medium">
        <color theme="2" tint="-0.499984740745262"/>
      </top>
      <bottom style="thin">
        <color theme="6"/>
      </bottom>
      <diagonal/>
    </border>
    <border>
      <left style="thin">
        <color theme="2" tint="-0.249977111117893"/>
      </left>
      <right style="medium">
        <color theme="2" tint="-0.249977111117893"/>
      </right>
      <top style="thin">
        <color theme="2" tint="-0.249977111117893"/>
      </top>
      <bottom style="medium">
        <color theme="2" tint="-0.499984740745262"/>
      </bottom>
      <diagonal/>
    </border>
    <border>
      <left style="medium">
        <color theme="2" tint="-0.249977111117893"/>
      </left>
      <right/>
      <top/>
      <bottom/>
      <diagonal/>
    </border>
    <border>
      <left/>
      <right/>
      <top style="medium">
        <color theme="2" tint="-0.499984740745262"/>
      </top>
      <bottom style="thin">
        <color theme="6"/>
      </bottom>
      <diagonal/>
    </border>
    <border>
      <left/>
      <right style="medium">
        <color theme="2" tint="-0.499984740745262"/>
      </right>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right/>
      <top/>
      <bottom style="medium">
        <color theme="2" tint="-0.499984740745262"/>
      </bottom>
      <diagonal/>
    </border>
    <border>
      <left style="thin">
        <color theme="6"/>
      </left>
      <right style="medium">
        <color theme="2" tint="-0.499984740745262"/>
      </right>
      <top/>
      <bottom style="thin">
        <color theme="6"/>
      </bottom>
      <diagonal/>
    </border>
    <border>
      <left/>
      <right/>
      <top style="medium">
        <color theme="6"/>
      </top>
      <bottom/>
      <diagonal/>
    </border>
    <border>
      <left style="medium">
        <color theme="2" tint="-0.249977111117893"/>
      </left>
      <right/>
      <top style="thin">
        <color theme="2" tint="-9.9978637043366805E-2"/>
      </top>
      <bottom style="thin">
        <color theme="2" tint="-9.9978637043366805E-2"/>
      </bottom>
      <diagonal/>
    </border>
    <border>
      <left style="thin">
        <color theme="2" tint="-0.249977111117893"/>
      </left>
      <right style="thin">
        <color theme="2" tint="-0.249977111117893"/>
      </right>
      <top/>
      <bottom style="thin">
        <color theme="2" tint="-0.249977111117893"/>
      </bottom>
      <diagonal/>
    </border>
    <border>
      <left style="thin">
        <color indexed="64"/>
      </left>
      <right style="thin">
        <color indexed="64"/>
      </right>
      <top/>
      <bottom/>
      <diagonal/>
    </border>
    <border>
      <left/>
      <right/>
      <top style="medium">
        <color theme="2" tint="-0.249977111117893"/>
      </top>
      <bottom style="medium">
        <color theme="2" tint="-0.499984740745262"/>
      </bottom>
      <diagonal/>
    </border>
    <border>
      <left/>
      <right style="thin">
        <color theme="6"/>
      </right>
      <top style="medium">
        <color theme="2" tint="-0.499984740745262"/>
      </top>
      <bottom/>
      <diagonal/>
    </border>
    <border>
      <left/>
      <right style="thin">
        <color theme="6"/>
      </right>
      <top/>
      <bottom style="thin">
        <color theme="6"/>
      </bottom>
      <diagonal/>
    </border>
    <border>
      <left/>
      <right style="thin">
        <color theme="2" tint="-0.249977111117893"/>
      </right>
      <top style="thin">
        <color theme="2" tint="-0.249977111117893"/>
      </top>
      <bottom/>
      <diagonal/>
    </border>
    <border>
      <left style="medium">
        <color theme="2" tint="-0.499984740745262"/>
      </left>
      <right/>
      <top/>
      <bottom style="medium">
        <color theme="2" tint="-0.249977111117893"/>
      </bottom>
      <diagonal/>
    </border>
    <border>
      <left style="thin">
        <color theme="2" tint="-0.249977111117893"/>
      </left>
      <right/>
      <top style="thin">
        <color theme="2" tint="-0.249977111117893"/>
      </top>
      <bottom style="thin">
        <color theme="2" tint="-0.249977111117893"/>
      </bottom>
      <diagonal/>
    </border>
    <border>
      <left/>
      <right style="medium">
        <color theme="2" tint="-0.499984740745262"/>
      </right>
      <top/>
      <bottom style="medium">
        <color indexed="64"/>
      </bottom>
      <diagonal/>
    </border>
    <border>
      <left style="medium">
        <color theme="6"/>
      </left>
      <right/>
      <top style="medium">
        <color theme="2" tint="-0.499984740745262"/>
      </top>
      <bottom/>
      <diagonal/>
    </border>
    <border>
      <left style="medium">
        <color theme="2" tint="-0.249977111117893"/>
      </left>
      <right style="medium">
        <color theme="2" tint="-0.499984740745262"/>
      </right>
      <top/>
      <bottom/>
      <diagonal/>
    </border>
    <border>
      <left style="medium">
        <color theme="2" tint="-0.249977111117893"/>
      </left>
      <right style="medium">
        <color theme="2" tint="-0.499984740745262"/>
      </right>
      <top style="thin">
        <color theme="2" tint="-0.499984740745262"/>
      </top>
      <bottom/>
      <diagonal/>
    </border>
    <border>
      <left style="medium">
        <color indexed="64"/>
      </left>
      <right style="thin">
        <color indexed="64"/>
      </right>
      <top style="medium">
        <color indexed="64"/>
      </top>
      <bottom style="thin">
        <color theme="2" tint="-0.249977111117893"/>
      </bottom>
      <diagonal/>
    </border>
    <border>
      <left/>
      <right style="medium">
        <color theme="2" tint="-0.249977111117893"/>
      </right>
      <top style="thin">
        <color theme="2" tint="-0.249977111117893"/>
      </top>
      <bottom/>
      <diagonal/>
    </border>
    <border>
      <left/>
      <right/>
      <top style="thin">
        <color theme="2" tint="-0.249977111117893"/>
      </top>
      <bottom/>
      <diagonal/>
    </border>
    <border>
      <left style="thin">
        <color theme="6"/>
      </left>
      <right style="thin">
        <color theme="6"/>
      </right>
      <top/>
      <bottom style="medium">
        <color theme="2" tint="-0.249977111117893"/>
      </bottom>
      <diagonal/>
    </border>
    <border>
      <left style="thin">
        <color theme="2"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2" tint="-0.499984740745262"/>
      </right>
      <top style="thin">
        <color theme="0" tint="-0.34998626667073579"/>
      </top>
      <bottom style="thin">
        <color theme="0" tint="-0.34998626667073579"/>
      </bottom>
      <diagonal/>
    </border>
    <border>
      <left/>
      <right style="thin">
        <color theme="2" tint="-0.499984740745262"/>
      </right>
      <top/>
      <bottom/>
      <diagonal/>
    </border>
    <border>
      <left style="thin">
        <color theme="0" tint="-0.34998626667073579"/>
      </left>
      <right style="thin">
        <color theme="2" tint="-0.499984740745262"/>
      </right>
      <top style="thin">
        <color theme="0" tint="-0.34998626667073579"/>
      </top>
      <bottom style="thin">
        <color theme="2" tint="-0.499984740745262"/>
      </bottom>
      <diagonal/>
    </border>
    <border>
      <left style="medium">
        <color theme="2" tint="-9.9978637043366805E-2"/>
      </left>
      <right style="medium">
        <color theme="2" tint="-9.9978637043366805E-2"/>
      </right>
      <top style="medium">
        <color theme="2" tint="-9.9978637043366805E-2"/>
      </top>
      <bottom style="medium">
        <color theme="2" tint="-9.9978637043366805E-2"/>
      </bottom>
      <diagonal/>
    </border>
    <border>
      <left/>
      <right style="thin">
        <color indexed="64"/>
      </right>
      <top/>
      <bottom/>
      <diagonal/>
    </border>
    <border>
      <left/>
      <right style="medium">
        <color theme="2" tint="-0.249977111117893"/>
      </right>
      <top style="thin">
        <color theme="2" tint="-0.249977111117893"/>
      </top>
      <bottom style="thin">
        <color theme="2" tint="-0.249977111117893"/>
      </bottom>
      <diagonal/>
    </border>
    <border>
      <left/>
      <right style="thin">
        <color theme="6"/>
      </right>
      <top/>
      <bottom/>
      <diagonal/>
    </border>
    <border>
      <left/>
      <right style="thin">
        <color theme="2" tint="-0.249977111117893"/>
      </right>
      <top/>
      <bottom style="thin">
        <color theme="2" tint="-0.249977111117893"/>
      </bottom>
      <diagonal/>
    </border>
    <border>
      <left/>
      <right/>
      <top style="thin">
        <color theme="2" tint="-0.249977111117893"/>
      </top>
      <bottom style="thin">
        <color theme="2" tint="-0.249977111117893"/>
      </bottom>
      <diagonal/>
    </border>
    <border>
      <left style="thin">
        <color theme="2" tint="-0.249977111117893"/>
      </left>
      <right style="thin">
        <color theme="2" tint="-0.499984740745262"/>
      </right>
      <top style="thin">
        <color theme="2" tint="-0.249977111117893"/>
      </top>
      <bottom style="thin">
        <color theme="2" tint="-0.249977111117893"/>
      </bottom>
      <diagonal/>
    </border>
    <border>
      <left style="medium">
        <color theme="2" tint="-0.499984740745262"/>
      </left>
      <right style="medium">
        <color theme="2" tint="-0.499984740745262"/>
      </right>
      <top style="medium">
        <color theme="2" tint="-0.499984740745262"/>
      </top>
      <bottom/>
      <diagonal/>
    </border>
    <border>
      <left style="medium">
        <color theme="2" tint="-0.499984740745262"/>
      </left>
      <right style="medium">
        <color theme="2" tint="-0.499984740745262"/>
      </right>
      <top/>
      <bottom/>
      <diagonal/>
    </border>
    <border>
      <left style="medium">
        <color theme="2" tint="-0.499984740745262"/>
      </left>
      <right style="medium">
        <color theme="2" tint="-0.499984740745262"/>
      </right>
      <top/>
      <bottom style="medium">
        <color theme="2" tint="-0.499984740745262"/>
      </bottom>
      <diagonal/>
    </border>
    <border>
      <left style="medium">
        <color theme="2" tint="-0.249977111117893"/>
      </left>
      <right style="medium">
        <color theme="2" tint="-0.249977111117893"/>
      </right>
      <top/>
      <bottom style="thin">
        <color theme="2" tint="-9.9978637043366805E-2"/>
      </bottom>
      <diagonal/>
    </border>
    <border>
      <left style="medium">
        <color theme="2" tint="-0.249977111117893"/>
      </left>
      <right style="thin">
        <color theme="2" tint="-0.249977111117893"/>
      </right>
      <top/>
      <bottom style="thin">
        <color theme="2" tint="-0.249977111117893"/>
      </bottom>
      <diagonal/>
    </border>
    <border>
      <left style="thin">
        <color theme="2" tint="-0.249977111117893"/>
      </left>
      <right style="medium">
        <color theme="2" tint="-0.249977111117893"/>
      </right>
      <top/>
      <bottom style="thin">
        <color theme="2" tint="-0.249977111117893"/>
      </bottom>
      <diagonal/>
    </border>
    <border>
      <left/>
      <right style="medium">
        <color theme="6"/>
      </right>
      <top/>
      <bottom/>
      <diagonal/>
    </border>
    <border>
      <left style="thin">
        <color theme="6"/>
      </left>
      <right/>
      <top/>
      <bottom style="thin">
        <color theme="6"/>
      </bottom>
      <diagonal/>
    </border>
    <border>
      <left style="thin">
        <color theme="0" tint="-0.34998626667073579"/>
      </left>
      <right style="thin">
        <color theme="2" tint="-0.499984740745262"/>
      </right>
      <top/>
      <bottom/>
      <diagonal/>
    </border>
    <border>
      <left style="thin">
        <color theme="0" tint="-0.34998626667073579"/>
      </left>
      <right style="thin">
        <color theme="2" tint="-0.499984740745262"/>
      </right>
      <top style="thin">
        <color theme="0" tint="-0.34998626667073579"/>
      </top>
      <bottom/>
      <diagonal/>
    </border>
    <border>
      <left style="thin">
        <color theme="2" tint="-0.499984740745262"/>
      </left>
      <right/>
      <top style="thin">
        <color theme="2" tint="-0.499984740745262"/>
      </top>
      <bottom style="thin">
        <color theme="0" tint="-0.34998626667073579"/>
      </bottom>
      <diagonal/>
    </border>
    <border>
      <left/>
      <right style="thin">
        <color theme="2" tint="-0.499984740745262"/>
      </right>
      <top style="thin">
        <color theme="2" tint="-0.499984740745262"/>
      </top>
      <bottom style="thin">
        <color theme="0" tint="-0.34998626667073579"/>
      </bottom>
      <diagonal/>
    </border>
    <border>
      <left style="thin">
        <color theme="2" tint="-0.499984740745262"/>
      </left>
      <right/>
      <top style="thin">
        <color theme="0" tint="-0.34998626667073579"/>
      </top>
      <bottom/>
      <diagonal/>
    </border>
    <border>
      <left style="thin">
        <color theme="2" tint="-0.499984740745262"/>
      </left>
      <right/>
      <top/>
      <bottom style="thin">
        <color theme="0" tint="-0.34998626667073579"/>
      </bottom>
      <diagonal/>
    </border>
    <border>
      <left style="thin">
        <color theme="0" tint="-0.34998626667073579"/>
      </left>
      <right style="thin">
        <color theme="2" tint="-0.499984740745262"/>
      </right>
      <top/>
      <bottom style="thin">
        <color theme="0" tint="-0.34998626667073579"/>
      </bottom>
      <diagonal/>
    </border>
    <border>
      <left style="thin">
        <color theme="2" tint="-0.499984740745262"/>
      </left>
      <right/>
      <top style="thin">
        <color theme="0" tint="-0.34998626667073579"/>
      </top>
      <bottom style="thin">
        <color theme="0" tint="-0.34998626667073579"/>
      </bottom>
      <diagonal/>
    </border>
    <border>
      <left/>
      <right style="thin">
        <color theme="2" tint="-0.499984740745262"/>
      </right>
      <top style="thin">
        <color theme="0" tint="-0.34998626667073579"/>
      </top>
      <bottom style="thin">
        <color theme="0" tint="-0.34998626667073579"/>
      </bottom>
      <diagonal/>
    </border>
    <border>
      <left style="thin">
        <color theme="2" tint="-0.499984740745262"/>
      </left>
      <right style="thin">
        <color theme="2" tint="-0.249977111117893"/>
      </right>
      <top style="thin">
        <color theme="2" tint="-0.249977111117893"/>
      </top>
      <bottom style="thin">
        <color theme="2" tint="-0.249977111117893"/>
      </bottom>
      <diagonal/>
    </border>
    <border>
      <left/>
      <right style="thin">
        <color theme="2" tint="-0.499984740745262"/>
      </right>
      <top style="thin">
        <color theme="2" tint="-0.249977111117893"/>
      </top>
      <bottom style="thin">
        <color theme="2" tint="-0.249977111117893"/>
      </bottom>
      <diagonal/>
    </border>
    <border>
      <left style="thin">
        <color theme="2" tint="-0.499984740745262"/>
      </left>
      <right style="thin">
        <color theme="0" tint="-0.34998626667073579"/>
      </right>
      <top/>
      <bottom style="thin">
        <color theme="0" tint="-0.34998626667073579"/>
      </bottom>
      <diagonal/>
    </border>
    <border>
      <left style="thin">
        <color theme="2" tint="-0.499984740745262"/>
      </left>
      <right style="thin">
        <color theme="0" tint="-0.34998626667073579"/>
      </right>
      <top style="thin">
        <color theme="0" tint="-0.34998626667073579"/>
      </top>
      <bottom/>
      <diagonal/>
    </border>
    <border>
      <left style="thin">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right style="thin">
        <color theme="2" tint="-0.499984740745262"/>
      </right>
      <top/>
      <bottom style="thin">
        <color theme="0" tint="-0.34998626667073579"/>
      </bottom>
      <diagonal/>
    </border>
    <border>
      <left/>
      <right style="thin">
        <color theme="2" tint="-0.499984740745262"/>
      </right>
      <top style="thin">
        <color theme="0" tint="-0.34998626667073579"/>
      </top>
      <bottom/>
      <diagonal/>
    </border>
    <border>
      <left style="thin">
        <color theme="2" tint="-0.499984740745262"/>
      </left>
      <right style="thin">
        <color theme="0" tint="-0.34998626667073579"/>
      </right>
      <top/>
      <bottom/>
      <diagonal/>
    </border>
    <border>
      <left style="thin">
        <color theme="2" tint="-0.499984740745262"/>
      </left>
      <right style="thin">
        <color theme="0" tint="-0.34998626667073579"/>
      </right>
      <top style="thin">
        <color theme="0" tint="-0.34998626667073579"/>
      </top>
      <bottom style="thin">
        <color theme="2" tint="-0.499984740745262"/>
      </bottom>
      <diagonal/>
    </border>
    <border>
      <left/>
      <right style="thin">
        <color theme="2" tint="-0.249977111117893"/>
      </right>
      <top/>
      <bottom/>
      <diagonal/>
    </border>
    <border>
      <left/>
      <right style="medium">
        <color theme="2" tint="-0.249977111117893"/>
      </right>
      <top style="medium">
        <color theme="2" tint="-0.499984740745262"/>
      </top>
      <bottom style="thin">
        <color theme="2" tint="-0.249977111117893"/>
      </bottom>
      <diagonal/>
    </border>
    <border>
      <left style="medium">
        <color indexed="64"/>
      </left>
      <right/>
      <top style="medium">
        <color indexed="64"/>
      </top>
      <bottom/>
      <diagonal/>
    </border>
    <border>
      <left style="medium">
        <color theme="0" tint="-0.499984740745262"/>
      </left>
      <right/>
      <top style="medium">
        <color theme="0" tint="-0.499984740745262"/>
      </top>
      <bottom/>
      <diagonal/>
    </border>
    <border>
      <left style="medium">
        <color theme="0" tint="-0.499984740745262"/>
      </left>
      <right/>
      <top/>
      <bottom/>
      <diagonal/>
    </border>
    <border>
      <left style="thin">
        <color theme="6"/>
      </left>
      <right style="medium">
        <color theme="0" tint="-0.499984740745262"/>
      </right>
      <top/>
      <bottom style="thin">
        <color theme="6"/>
      </bottom>
      <diagonal/>
    </border>
    <border>
      <left style="thin">
        <color theme="6"/>
      </left>
      <right style="medium">
        <color theme="0" tint="-0.499984740745262"/>
      </right>
      <top style="thin">
        <color theme="6"/>
      </top>
      <bottom/>
      <diagonal/>
    </border>
    <border>
      <left style="medium">
        <color theme="0" tint="-0.499984740745262"/>
      </left>
      <right/>
      <top/>
      <bottom style="medium">
        <color theme="2" tint="-0.499984740745262"/>
      </bottom>
      <diagonal/>
    </border>
    <border>
      <left style="medium">
        <color theme="0" tint="-0.499984740745262"/>
      </left>
      <right style="medium">
        <color theme="2" tint="-0.499984740745262"/>
      </right>
      <top/>
      <bottom/>
      <diagonal/>
    </border>
    <border>
      <left style="medium">
        <color theme="0" tint="-0.499984740745262"/>
      </left>
      <right/>
      <top/>
      <bottom style="medium">
        <color theme="0" tint="-0.499984740745262"/>
      </bottom>
      <diagonal/>
    </border>
    <border>
      <left style="medium">
        <color theme="0" tint="-0.499984740745262"/>
      </left>
      <right style="medium">
        <color theme="0" tint="-0.499984740745262"/>
      </right>
      <top/>
      <bottom/>
      <diagonal/>
    </border>
    <border>
      <left style="medium">
        <color theme="2" tint="-0.499984740745262"/>
      </left>
      <right style="medium">
        <color theme="0" tint="-0.499984740745262"/>
      </right>
      <top/>
      <bottom/>
      <diagonal/>
    </border>
    <border>
      <left style="medium">
        <color theme="2" tint="-0.499984740745262"/>
      </left>
      <right style="medium">
        <color theme="0" tint="-0.499984740745262"/>
      </right>
      <top/>
      <bottom style="medium">
        <color theme="2" tint="-0.499984740745262"/>
      </bottom>
      <diagonal/>
    </border>
    <border>
      <left style="medium">
        <color theme="2" tint="-0.249977111117893"/>
      </left>
      <right/>
      <top style="thin">
        <color theme="2" tint="-0.499984740745262"/>
      </top>
      <bottom/>
      <diagonal/>
    </border>
    <border>
      <left style="medium">
        <color theme="2" tint="-0.249977111117893"/>
      </left>
      <right/>
      <top/>
      <bottom style="medium">
        <color indexed="64"/>
      </bottom>
      <diagonal/>
    </border>
    <border>
      <left style="thin">
        <color theme="2" tint="-0.249977111117893"/>
      </left>
      <right/>
      <top style="thin">
        <color theme="2" tint="-0.249977111117893"/>
      </top>
      <bottom/>
      <diagonal/>
    </border>
    <border>
      <left style="medium">
        <color theme="2" tint="-0.249977111117893"/>
      </left>
      <right style="medium">
        <color theme="0" tint="-0.34998626667073579"/>
      </right>
      <top style="thin">
        <color theme="2" tint="-0.249977111117893"/>
      </top>
      <bottom style="thin">
        <color theme="2" tint="-0.249977111117893"/>
      </bottom>
      <diagonal/>
    </border>
    <border>
      <left style="thin">
        <color theme="2" tint="-0.249977111117893"/>
      </left>
      <right style="thin">
        <color theme="2" tint="-0.249977111117893"/>
      </right>
      <top/>
      <bottom/>
      <diagonal/>
    </border>
    <border>
      <left style="thin">
        <color theme="2" tint="-0.249977111117893"/>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medium">
        <color theme="6"/>
      </left>
      <right style="medium">
        <color theme="2" tint="-0.249977111117893"/>
      </right>
      <top/>
      <bottom/>
      <diagonal/>
    </border>
    <border>
      <left style="thin">
        <color indexed="64"/>
      </left>
      <right style="thin">
        <color indexed="64"/>
      </right>
      <top/>
      <bottom style="thin">
        <color indexed="64"/>
      </bottom>
      <diagonal/>
    </border>
    <border>
      <left style="medium">
        <color theme="6"/>
      </left>
      <right/>
      <top/>
      <bottom style="medium">
        <color theme="6"/>
      </bottom>
      <diagonal/>
    </border>
    <border>
      <left style="thin">
        <color theme="6"/>
      </left>
      <right/>
      <top/>
      <bottom/>
      <diagonal/>
    </border>
    <border>
      <left style="medium">
        <color theme="2" tint="-9.9978637043366805E-2"/>
      </left>
      <right/>
      <top style="medium">
        <color theme="2" tint="-9.9978637043366805E-2"/>
      </top>
      <bottom style="medium">
        <color theme="2" tint="-9.9978637043366805E-2"/>
      </bottom>
      <diagonal/>
    </border>
    <border>
      <left/>
      <right/>
      <top style="medium">
        <color theme="2" tint="-9.9978637043366805E-2"/>
      </top>
      <bottom style="medium">
        <color theme="2" tint="-9.9978637043366805E-2"/>
      </bottom>
      <diagonal/>
    </border>
    <border>
      <left style="medium">
        <color theme="2" tint="-9.9978637043366805E-2"/>
      </left>
      <right/>
      <top/>
      <bottom style="medium">
        <color theme="2" tint="-9.9978637043366805E-2"/>
      </bottom>
      <diagonal/>
    </border>
    <border>
      <left/>
      <right/>
      <top/>
      <bottom style="medium">
        <color theme="2" tint="-9.9978637043366805E-2"/>
      </bottom>
      <diagonal/>
    </border>
    <border>
      <left style="medium">
        <color rgb="FFD0CECE"/>
      </left>
      <right style="medium">
        <color rgb="FFD0CECE"/>
      </right>
      <top style="medium">
        <color rgb="FFD0CECE"/>
      </top>
      <bottom style="medium">
        <color rgb="FFD0CECE"/>
      </bottom>
      <diagonal/>
    </border>
    <border>
      <left style="thin">
        <color indexed="64"/>
      </left>
      <right style="thin">
        <color indexed="64"/>
      </right>
      <top style="thin">
        <color indexed="64"/>
      </top>
      <bottom/>
      <diagonal/>
    </border>
    <border>
      <left style="thin">
        <color theme="2" tint="-0.249977111117893"/>
      </left>
      <right/>
      <top style="medium">
        <color theme="2" tint="-0.499984740745262"/>
      </top>
      <bottom style="thin">
        <color theme="2" tint="-0.249977111117893"/>
      </bottom>
      <diagonal/>
    </border>
    <border>
      <left style="thin">
        <color theme="2" tint="-0.249977111117893"/>
      </left>
      <right style="thin">
        <color theme="2" tint="-0.249977111117893"/>
      </right>
      <top/>
      <bottom style="medium">
        <color theme="2" tint="-0.499984740745262"/>
      </bottom>
      <diagonal/>
    </border>
    <border>
      <left/>
      <right/>
      <top/>
      <bottom style="thin">
        <color rgb="FF93B1CC"/>
      </bottom>
      <diagonal/>
    </border>
    <border>
      <left style="medium">
        <color theme="2" tint="-0.499984740745262"/>
      </left>
      <right/>
      <top style="thin">
        <color rgb="FFE7E6E6"/>
      </top>
      <bottom style="thin">
        <color rgb="FFE7E6E6"/>
      </bottom>
      <diagonal/>
    </border>
    <border>
      <left style="medium">
        <color theme="2" tint="-0.499984740745262"/>
      </left>
      <right/>
      <top style="thin">
        <color rgb="FFE7E6E6"/>
      </top>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style="medium">
        <color theme="2" tint="-0.249977111117893"/>
      </right>
      <top style="medium">
        <color theme="6"/>
      </top>
      <bottom/>
      <diagonal/>
    </border>
    <border>
      <left style="medium">
        <color indexed="64"/>
      </left>
      <right style="thin">
        <color indexed="64"/>
      </right>
      <top/>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thin">
        <color theme="2" tint="-0.249977111117893"/>
      </left>
      <right/>
      <top/>
      <bottom style="thin">
        <color theme="2" tint="-0.249977111117893"/>
      </bottom>
      <diagonal/>
    </border>
    <border>
      <left/>
      <right style="thin">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theme="2" tint="-0.499984740745262"/>
      </right>
      <top/>
      <bottom style="thin">
        <color theme="2" tint="-0.499984740745262"/>
      </bottom>
      <diagonal/>
    </border>
    <border>
      <left/>
      <right style="thin">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indexed="64"/>
      </left>
      <right/>
      <top/>
      <bottom/>
      <diagonal/>
    </border>
    <border>
      <left style="thin">
        <color theme="2" tint="-0.249977111117893"/>
      </left>
      <right style="medium">
        <color theme="2" tint="-0.499984740745262"/>
      </right>
      <top/>
      <bottom/>
      <diagonal/>
    </border>
    <border>
      <left style="medium">
        <color rgb="FFAEAAAA"/>
      </left>
      <right style="medium">
        <color theme="2" tint="-0.499984740745262"/>
      </right>
      <top/>
      <bottom/>
      <diagonal/>
    </border>
    <border>
      <left style="thin">
        <color theme="2" tint="-0.499984740745262"/>
      </left>
      <right style="medium">
        <color theme="2" tint="-0.499984740745262"/>
      </right>
      <top/>
      <bottom style="thin">
        <color theme="2" tint="-0.499984740745262"/>
      </bottom>
      <diagonal/>
    </border>
    <border>
      <left style="thin">
        <color theme="6"/>
      </left>
      <right style="thin">
        <color theme="2" tint="-0.249977111117893"/>
      </right>
      <top/>
      <bottom/>
      <diagonal/>
    </border>
    <border>
      <left/>
      <right style="thin">
        <color theme="2" tint="-0.499984740745262"/>
      </right>
      <top style="thin">
        <color theme="2" tint="-0.499984740745262"/>
      </top>
      <bottom/>
      <diagonal/>
    </border>
    <border>
      <left style="medium">
        <color theme="2" tint="-0.499984740745262"/>
      </left>
      <right style="medium">
        <color theme="2" tint="-0.499984740745262"/>
      </right>
      <top style="thin">
        <color theme="2" tint="-0.499984740745262"/>
      </top>
      <bottom/>
      <diagonal/>
    </border>
    <border>
      <left style="thin">
        <color theme="2" tint="-0.499984740745262"/>
      </left>
      <right style="thin">
        <color theme="2" tint="-0.499984740745262"/>
      </right>
      <top/>
      <bottom/>
      <diagonal/>
    </border>
    <border>
      <left style="thin">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2" tint="-0.499984740745262"/>
      </left>
      <right/>
      <top style="medium">
        <color theme="2" tint="-0.499984740745262"/>
      </top>
      <bottom style="medium">
        <color theme="2" tint="-0.499984740745262"/>
      </bottom>
      <diagonal/>
    </border>
    <border>
      <left style="medium">
        <color theme="2" tint="-0.499984740745262"/>
      </left>
      <right style="thin">
        <color theme="2" tint="-0.249977111117893"/>
      </right>
      <top/>
      <bottom/>
      <diagonal/>
    </border>
    <border>
      <left style="thin">
        <color theme="2" tint="-0.249977111117893"/>
      </left>
      <right style="medium">
        <color theme="2" tint="-0.249977111117893"/>
      </right>
      <top/>
      <bottom/>
      <diagonal/>
    </border>
    <border>
      <left style="medium">
        <color theme="2" tint="-0.499984740745262"/>
      </left>
      <right style="thin">
        <color theme="2" tint="-0.499984740745262"/>
      </right>
      <top/>
      <bottom style="thin">
        <color theme="2" tint="-0.499984740745262"/>
      </bottom>
      <diagonal/>
    </border>
    <border>
      <left/>
      <right style="double">
        <color theme="6" tint="0.79998168889431442"/>
      </right>
      <top/>
      <bottom style="double">
        <color theme="6" tint="0.79998168889431442"/>
      </bottom>
      <diagonal/>
    </border>
    <border>
      <left/>
      <right/>
      <top style="thin">
        <color theme="2" tint="-0.249977111117893"/>
      </top>
      <bottom style="medium">
        <color theme="2" tint="-0.499984740745262"/>
      </bottom>
      <diagonal/>
    </border>
    <border>
      <left style="medium">
        <color theme="6"/>
      </left>
      <right/>
      <top/>
      <bottom style="medium">
        <color theme="2" tint="-0.499984740745262"/>
      </bottom>
      <diagonal/>
    </border>
    <border>
      <left style="medium">
        <color theme="2" tint="-0.499984740745262"/>
      </left>
      <right style="medium">
        <color theme="2" tint="-0.499984740745262"/>
      </right>
      <top style="medium">
        <color theme="6"/>
      </top>
      <bottom style="medium">
        <color theme="2" tint="-0.499984740745262"/>
      </bottom>
      <diagonal/>
    </border>
    <border>
      <left style="medium">
        <color theme="2" tint="-0.499984740745262"/>
      </left>
      <right/>
      <top/>
      <bottom style="medium">
        <color theme="6"/>
      </bottom>
      <diagonal/>
    </border>
    <border>
      <left/>
      <right/>
      <top style="thin">
        <color theme="6"/>
      </top>
      <bottom style="thin">
        <color theme="6"/>
      </bottom>
      <diagonal/>
    </border>
    <border>
      <left style="thin">
        <color theme="2" tint="-0.499984740745262"/>
      </left>
      <right/>
      <top style="medium">
        <color theme="2" tint="-0.499984740745262"/>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style="thin">
        <color theme="2" tint="-0.499984740745262"/>
      </left>
      <right/>
      <top/>
      <bottom style="thin">
        <color theme="2" tint="-0.499984740745262"/>
      </bottom>
      <diagonal/>
    </border>
    <border>
      <left style="medium">
        <color theme="2" tint="-0.499984740745262"/>
      </left>
      <right/>
      <top style="medium">
        <color theme="2" tint="-0.499984740745262"/>
      </top>
      <bottom style="thin">
        <color theme="2" tint="-0.499984740745262"/>
      </bottom>
      <diagonal/>
    </border>
    <border>
      <left style="medium">
        <color theme="2" tint="-0.499984740745262"/>
      </left>
      <right/>
      <top style="thin">
        <color theme="2" tint="-0.499984740745262"/>
      </top>
      <bottom style="thin">
        <color theme="2" tint="-0.499984740745262"/>
      </bottom>
      <diagonal/>
    </border>
    <border>
      <left style="medium">
        <color theme="2" tint="-0.499984740745262"/>
      </left>
      <right/>
      <top/>
      <bottom style="thin">
        <color rgb="FFE7E6E6"/>
      </bottom>
      <diagonal/>
    </border>
    <border>
      <left style="thin">
        <color indexed="64"/>
      </left>
      <right style="thin">
        <color indexed="64"/>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bottom style="medium">
        <color theme="0" tint="-0.499984740745262"/>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medium">
        <color theme="2" tint="-0.499984740745262"/>
      </left>
      <right style="thin">
        <color indexed="64"/>
      </right>
      <top style="medium">
        <color theme="2" tint="-0.499984740745262"/>
      </top>
      <bottom/>
      <diagonal/>
    </border>
    <border>
      <left style="thin">
        <color theme="2" tint="-0.499984740745262"/>
      </left>
      <right style="medium">
        <color theme="2" tint="-0.499984740745262"/>
      </right>
      <top style="medium">
        <color theme="2" tint="-0.499984740745262"/>
      </top>
      <bottom/>
      <diagonal/>
    </border>
    <border>
      <left style="medium">
        <color theme="2" tint="-0.499984740745262"/>
      </left>
      <right style="medium">
        <color theme="2" tint="-0.249977111117893"/>
      </right>
      <top style="medium">
        <color theme="2" tint="-0.499984740745262"/>
      </top>
      <bottom style="thin">
        <color theme="2" tint="-0.249977111117893"/>
      </bottom>
      <diagonal/>
    </border>
    <border>
      <left style="medium">
        <color theme="2" tint="-0.499984740745262"/>
      </left>
      <right style="medium">
        <color theme="2" tint="-0.249977111117893"/>
      </right>
      <top style="thin">
        <color theme="2" tint="-0.249977111117893"/>
      </top>
      <bottom style="thin">
        <color theme="2" tint="-0.249977111117893"/>
      </bottom>
      <diagonal/>
    </border>
    <border>
      <left style="medium">
        <color theme="2" tint="-0.499984740745262"/>
      </left>
      <right style="medium">
        <color theme="2" tint="-0.249977111117893"/>
      </right>
      <top style="thin">
        <color theme="2" tint="-0.249977111117893"/>
      </top>
      <bottom style="medium">
        <color theme="2" tint="-0.499984740745262"/>
      </bottom>
      <diagonal/>
    </border>
    <border>
      <left/>
      <right style="medium">
        <color theme="2" tint="-0.249977111117893"/>
      </right>
      <top style="thin">
        <color theme="2" tint="-0.249977111117893"/>
      </top>
      <bottom style="medium">
        <color theme="2" tint="-0.499984740745262"/>
      </bottom>
      <diagonal/>
    </border>
    <border>
      <left/>
      <right/>
      <top style="medium">
        <color theme="2" tint="-0.499984740745262"/>
      </top>
      <bottom style="thin">
        <color rgb="FF93B1CC"/>
      </bottom>
      <diagonal/>
    </border>
    <border>
      <left style="medium">
        <color theme="2" tint="-0.249977111117893"/>
      </left>
      <right style="thin">
        <color theme="6"/>
      </right>
      <top style="thin">
        <color theme="2" tint="-0.249977111117893"/>
      </top>
      <bottom style="medium">
        <color theme="2" tint="-0.499984740745262"/>
      </bottom>
      <diagonal/>
    </border>
    <border>
      <left style="thin">
        <color theme="6"/>
      </left>
      <right style="thin">
        <color theme="6"/>
      </right>
      <top style="thin">
        <color theme="2" tint="-0.249977111117893"/>
      </top>
      <bottom style="medium">
        <color theme="2" tint="-0.499984740745262"/>
      </bottom>
      <diagonal/>
    </border>
    <border>
      <left style="thin">
        <color theme="6"/>
      </left>
      <right/>
      <top style="thin">
        <color theme="2" tint="-0.249977111117893"/>
      </top>
      <bottom style="medium">
        <color theme="2" tint="-0.499984740745262"/>
      </bottom>
      <diagonal/>
    </border>
    <border>
      <left style="medium">
        <color theme="2" tint="-0.499984740745262"/>
      </left>
      <right style="medium">
        <color theme="2" tint="-0.249977111117893"/>
      </right>
      <top style="thin">
        <color theme="2" tint="-0.249977111117893"/>
      </top>
      <bottom/>
      <diagonal/>
    </border>
    <border>
      <left style="medium">
        <color theme="2" tint="-0.249977111117893"/>
      </left>
      <right/>
      <top style="medium">
        <color theme="2" tint="-0.249977111117893"/>
      </top>
      <bottom style="thin">
        <color theme="2" tint="-9.9978637043366805E-2"/>
      </bottom>
      <diagonal/>
    </border>
    <border>
      <left style="medium">
        <color theme="2" tint="-0.499984740745262"/>
      </left>
      <right style="thin">
        <color theme="2" tint="-0.499984740745262"/>
      </right>
      <top style="medium">
        <color theme="2" tint="-0.499984740745262"/>
      </top>
      <bottom/>
      <diagonal/>
    </border>
    <border>
      <left style="thin">
        <color theme="2" tint="-0.499984740745262"/>
      </left>
      <right style="thin">
        <color theme="2" tint="-0.499984740745262"/>
      </right>
      <top style="medium">
        <color theme="2" tint="-0.499984740745262"/>
      </top>
      <bottom/>
      <diagonal/>
    </border>
    <border>
      <left style="medium">
        <color theme="2" tint="-0.249977111117893"/>
      </left>
      <right/>
      <top/>
      <bottom style="thin">
        <color theme="2" tint="-9.9978637043366805E-2"/>
      </bottom>
      <diagonal/>
    </border>
    <border>
      <left style="medium">
        <color theme="2" tint="-0.499984740745262"/>
      </left>
      <right/>
      <top style="thin">
        <color theme="2" tint="-0.499984740745262"/>
      </top>
      <bottom style="medium">
        <color theme="2" tint="-0.499984740745262"/>
      </bottom>
      <diagonal/>
    </border>
    <border>
      <left style="thin">
        <color theme="6"/>
      </left>
      <right style="thin">
        <color theme="2" tint="-0.249977111117893"/>
      </right>
      <top style="medium">
        <color theme="2" tint="-0.499984740745262"/>
      </top>
      <bottom/>
      <diagonal/>
    </border>
    <border>
      <left style="medium">
        <color theme="2" tint="-0.499984740745262"/>
      </left>
      <right/>
      <top style="thin">
        <color theme="2" tint="-0.499984740745262"/>
      </top>
      <bottom/>
      <diagonal/>
    </border>
    <border>
      <left style="thin">
        <color indexed="64"/>
      </left>
      <right style="medium">
        <color indexed="64"/>
      </right>
      <top style="medium">
        <color theme="2" tint="-0.499984740745262"/>
      </top>
      <bottom/>
      <diagonal/>
    </border>
    <border>
      <left style="medium">
        <color theme="2" tint="-0.499984740745262"/>
      </left>
      <right style="thin">
        <color theme="2" tint="-0.499984740745262"/>
      </right>
      <top/>
      <bottom/>
      <diagonal/>
    </border>
    <border>
      <left style="medium">
        <color theme="2" tint="-0.499984740745262"/>
      </left>
      <right/>
      <top/>
      <bottom style="thin">
        <color theme="2" tint="-9.9978637043366805E-2"/>
      </bottom>
      <diagonal/>
    </border>
    <border>
      <left style="medium">
        <color theme="2" tint="-0.499984740745262"/>
      </left>
      <right/>
      <top style="thin">
        <color theme="2" tint="-9.9978637043366805E-2"/>
      </top>
      <bottom style="thin">
        <color theme="2" tint="-9.9978637043366805E-2"/>
      </bottom>
      <diagonal/>
    </border>
    <border>
      <left style="medium">
        <color theme="2" tint="-0.499984740745262"/>
      </left>
      <right/>
      <top style="thin">
        <color theme="2" tint="-9.9978637043366805E-2"/>
      </top>
      <bottom/>
      <diagonal/>
    </border>
    <border>
      <left style="medium">
        <color theme="2" tint="-0.499984740745262"/>
      </left>
      <right style="thin">
        <color theme="2" tint="-0.499984740745262"/>
      </right>
      <top/>
      <bottom style="medium">
        <color theme="2" tint="-0.499984740745262"/>
      </bottom>
      <diagonal/>
    </border>
    <border>
      <left style="thin">
        <color theme="2" tint="-0.499984740745262"/>
      </left>
      <right style="thin">
        <color theme="2" tint="-0.499984740745262"/>
      </right>
      <top/>
      <bottom style="medium">
        <color theme="2" tint="-0.499984740745262"/>
      </bottom>
      <diagonal/>
    </border>
    <border>
      <left style="medium">
        <color theme="2" tint="-0.499984740745262"/>
      </left>
      <right/>
      <top style="medium">
        <color theme="2" tint="-0.249977111117893"/>
      </top>
      <bottom style="medium">
        <color theme="2" tint="-0.249977111117893"/>
      </bottom>
      <diagonal/>
    </border>
    <border>
      <left style="medium">
        <color theme="2" tint="-0.249977111117893"/>
      </left>
      <right/>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diagonal/>
    </border>
    <border>
      <left/>
      <right style="medium">
        <color theme="2" tint="-0.499984740745262"/>
      </right>
      <top/>
      <bottom style="thin">
        <color theme="2" tint="-0.499984740745262"/>
      </bottom>
      <diagonal/>
    </border>
    <border>
      <left style="medium">
        <color theme="2" tint="-0.499984740745262"/>
      </left>
      <right style="medium">
        <color theme="2" tint="-0.499984740745262"/>
      </right>
      <top style="medium">
        <color theme="6"/>
      </top>
      <bottom/>
      <diagonal/>
    </border>
    <border>
      <left style="medium">
        <color indexed="64"/>
      </left>
      <right/>
      <top/>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medium">
        <color theme="2" tint="-0.499984740745262"/>
      </left>
      <right style="medium">
        <color theme="2" tint="-0.499984740745262"/>
      </right>
      <top style="thin">
        <color theme="2" tint="-0.249977111117893"/>
      </top>
      <bottom style="thin">
        <color theme="2" tint="-0.249977111117893"/>
      </bottom>
      <diagonal/>
    </border>
    <border>
      <left style="medium">
        <color theme="2" tint="-0.499984740745262"/>
      </left>
      <right style="medium">
        <color theme="2" tint="-0.499984740745262"/>
      </right>
      <top style="thin">
        <color theme="2" tint="-0.249977111117893"/>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medium">
        <color theme="2" tint="-0.499984740745262"/>
      </left>
      <right style="medium">
        <color theme="2" tint="-0.499984740745262"/>
      </right>
      <top/>
      <bottom style="thin">
        <color theme="2" tint="-0.249977111117893"/>
      </bottom>
      <diagonal/>
    </border>
    <border>
      <left/>
      <right style="thin">
        <color indexed="64"/>
      </right>
      <top style="medium">
        <color theme="2" tint="-0.499984740745262"/>
      </top>
      <bottom style="medium">
        <color theme="2" tint="-0.499984740745262"/>
      </bottom>
      <diagonal/>
    </border>
    <border>
      <left style="thin">
        <color indexed="64"/>
      </left>
      <right style="thin">
        <color indexed="64"/>
      </right>
      <top style="medium">
        <color theme="2" tint="-0.499984740745262"/>
      </top>
      <bottom style="medium">
        <color theme="2" tint="-0.499984740745262"/>
      </bottom>
      <diagonal/>
    </border>
    <border>
      <left style="thin">
        <color indexed="64"/>
      </left>
      <right/>
      <top style="medium">
        <color theme="2" tint="-0.499984740745262"/>
      </top>
      <bottom style="medium">
        <color theme="2" tint="-0.499984740745262"/>
      </bottom>
      <diagonal/>
    </border>
    <border>
      <left style="thin">
        <color indexed="64"/>
      </left>
      <right style="medium">
        <color theme="0" tint="-0.499984740745262"/>
      </right>
      <top style="medium">
        <color theme="2" tint="-0.499984740745262"/>
      </top>
      <bottom style="medium">
        <color theme="2" tint="-0.499984740745262"/>
      </bottom>
      <diagonal/>
    </border>
    <border>
      <left style="thin">
        <color indexed="64"/>
      </left>
      <right style="medium">
        <color theme="2" tint="-0.499984740745262"/>
      </right>
      <top style="medium">
        <color theme="2" tint="-0.499984740745262"/>
      </top>
      <bottom style="medium">
        <color theme="2" tint="-0.499984740745262"/>
      </bottom>
      <diagonal/>
    </border>
    <border>
      <left style="medium">
        <color theme="2" tint="-0.499984740745262"/>
      </left>
      <right style="thin">
        <color indexed="64"/>
      </right>
      <top style="medium">
        <color theme="2" tint="-0.499984740745262"/>
      </top>
      <bottom style="medium">
        <color theme="2" tint="-0.499984740745262"/>
      </bottom>
      <diagonal/>
    </border>
    <border>
      <left style="medium">
        <color theme="0" tint="-0.34998626667073579"/>
      </left>
      <right style="thin">
        <color indexed="64"/>
      </right>
      <top style="medium">
        <color theme="2" tint="-0.499984740745262"/>
      </top>
      <bottom style="medium">
        <color theme="2" tint="-0.499984740745262"/>
      </bottom>
      <diagonal/>
    </border>
    <border>
      <left style="thin">
        <color theme="2" tint="-0.499984740745262"/>
      </left>
      <right/>
      <top style="thin">
        <color theme="2" tint="-0.499984740745262"/>
      </top>
      <bottom/>
      <diagonal/>
    </border>
    <border>
      <left style="thin">
        <color theme="2" tint="-0.499984740745262"/>
      </left>
      <right style="medium">
        <color theme="2" tint="-0.499984740745262"/>
      </right>
      <top/>
      <bottom style="medium">
        <color theme="2" tint="-0.499984740745262"/>
      </bottom>
      <diagonal/>
    </border>
    <border>
      <left style="medium">
        <color theme="2" tint="-0.499984740745262"/>
      </left>
      <right style="medium">
        <color theme="2" tint="-0.499984740745262"/>
      </right>
      <top style="medium">
        <color theme="2" tint="-0.499984740745262"/>
      </top>
      <bottom style="thin">
        <color rgb="FFE7E6E6"/>
      </bottom>
      <diagonal/>
    </border>
    <border>
      <left style="medium">
        <color theme="2" tint="-0.499984740745262"/>
      </left>
      <right style="medium">
        <color theme="2" tint="-0.499984740745262"/>
      </right>
      <top style="thin">
        <color rgb="FFE7E6E6"/>
      </top>
      <bottom style="thin">
        <color rgb="FFE7E6E6"/>
      </bottom>
      <diagonal/>
    </border>
    <border>
      <left style="medium">
        <color theme="2" tint="-0.499984740745262"/>
      </left>
      <right style="medium">
        <color theme="2" tint="-0.499984740745262"/>
      </right>
      <top style="thin">
        <color rgb="FFE7E6E6"/>
      </top>
      <bottom style="medium">
        <color theme="2" tint="-0.499984740745262"/>
      </bottom>
      <diagonal/>
    </border>
    <border>
      <left style="medium">
        <color theme="2" tint="-0.499984740745262"/>
      </left>
      <right style="medium">
        <color theme="2" tint="-0.499984740745262"/>
      </right>
      <top/>
      <bottom style="medium">
        <color theme="6"/>
      </bottom>
      <diagonal/>
    </border>
    <border>
      <left/>
      <right style="medium">
        <color theme="2" tint="-0.499984740745262"/>
      </right>
      <top style="thin">
        <color theme="2" tint="-0.499984740745262"/>
      </top>
      <bottom style="medium">
        <color theme="2" tint="-0.499984740745262"/>
      </bottom>
      <diagonal/>
    </border>
    <border>
      <left/>
      <right style="thin">
        <color theme="2" tint="-0.499984740745262"/>
      </right>
      <top/>
      <bottom style="medium">
        <color theme="2" tint="-0.499984740745262"/>
      </bottom>
      <diagonal/>
    </border>
    <border>
      <left style="medium">
        <color theme="2" tint="-0.249977111117893"/>
      </left>
      <right/>
      <top style="thin">
        <color theme="2" tint="-9.9978637043366805E-2"/>
      </top>
      <bottom/>
      <diagonal/>
    </border>
    <border>
      <left/>
      <right/>
      <top/>
      <bottom style="thin">
        <color theme="2" tint="-0.499984740745262"/>
      </bottom>
      <diagonal/>
    </border>
    <border>
      <left/>
      <right/>
      <top style="thin">
        <color theme="2" tint="-0.499984740745262"/>
      </top>
      <bottom style="thin">
        <color theme="2" tint="-0.499984740745262"/>
      </bottom>
      <diagonal/>
    </border>
    <border>
      <left/>
      <right style="thin">
        <color theme="2" tint="-0.499984740745262"/>
      </right>
      <top style="medium">
        <color theme="2" tint="-0.499984740745262"/>
      </top>
      <bottom/>
      <diagonal/>
    </border>
    <border>
      <left/>
      <right/>
      <top/>
      <bottom style="thin">
        <color theme="2" tint="-9.9978637043366805E-2"/>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style="medium">
        <color theme="2" tint="-0.499984740745262"/>
      </left>
      <right style="medium">
        <color theme="2" tint="-0.499984740745262"/>
      </right>
      <top style="medium">
        <color theme="2" tint="-0.499984740745262"/>
      </top>
      <bottom style="thin">
        <color theme="2" tint="-9.9978637043366805E-2"/>
      </bottom>
      <diagonal/>
    </border>
    <border>
      <left style="medium">
        <color theme="2" tint="-0.499984740745262"/>
      </left>
      <right style="medium">
        <color theme="2" tint="-0.499984740745262"/>
      </right>
      <top style="thin">
        <color theme="2" tint="-9.9978637043366805E-2"/>
      </top>
      <bottom style="thin">
        <color theme="2" tint="-9.9978637043366805E-2"/>
      </bottom>
      <diagonal/>
    </border>
    <border>
      <left style="medium">
        <color theme="2" tint="-0.499984740745262"/>
      </left>
      <right style="medium">
        <color theme="2" tint="-0.499984740745262"/>
      </right>
      <top style="thin">
        <color theme="2" tint="-9.9978637043366805E-2"/>
      </top>
      <bottom style="medium">
        <color theme="2" tint="-0.499984740745262"/>
      </bottom>
      <diagonal/>
    </border>
    <border>
      <left style="medium">
        <color theme="2" tint="-0.249977111117893"/>
      </left>
      <right style="medium">
        <color theme="2" tint="-0.249977111117893"/>
      </right>
      <top style="thin">
        <color theme="2" tint="-9.9978637043366805E-2"/>
      </top>
      <bottom/>
      <diagonal/>
    </border>
    <border>
      <left style="thin">
        <color indexed="64"/>
      </left>
      <right style="thin">
        <color indexed="64"/>
      </right>
      <top/>
      <bottom style="medium">
        <color theme="2" tint="-0.499984740745262"/>
      </bottom>
      <diagonal/>
    </border>
    <border>
      <left style="medium">
        <color theme="2" tint="-0.499984740745262"/>
      </left>
      <right style="medium">
        <color theme="2" tint="-0.499984740745262"/>
      </right>
      <top style="thin">
        <color theme="2" tint="-9.9978637043366805E-2"/>
      </top>
      <bottom/>
      <diagonal/>
    </border>
    <border>
      <left style="thin">
        <color indexed="64"/>
      </left>
      <right style="thin">
        <color indexed="64"/>
      </right>
      <top style="medium">
        <color theme="2" tint="-0.499984740745262"/>
      </top>
      <bottom style="thin">
        <color indexed="64"/>
      </bottom>
      <diagonal/>
    </border>
    <border>
      <left style="thin">
        <color indexed="64"/>
      </left>
      <right style="thin">
        <color indexed="64"/>
      </right>
      <top style="thin">
        <color indexed="64"/>
      </top>
      <bottom style="medium">
        <color theme="2" tint="-0.499984740745262"/>
      </bottom>
      <diagonal/>
    </border>
    <border>
      <left style="thin">
        <color theme="2" tint="-0.499984740745262"/>
      </left>
      <right style="medium">
        <color theme="2" tint="-0.499984740745262"/>
      </right>
      <top/>
      <bottom/>
      <diagonal/>
    </border>
    <border>
      <left/>
      <right/>
      <top style="medium">
        <color theme="2" tint="-0.499984740745262"/>
      </top>
      <bottom style="thin">
        <color theme="2" tint="-0.499984740745262"/>
      </bottom>
      <diagonal/>
    </border>
    <border>
      <left/>
      <right/>
      <top style="thin">
        <color theme="2" tint="-0.499984740745262"/>
      </top>
      <bottom style="medium">
        <color theme="2" tint="-0.499984740745262"/>
      </bottom>
      <diagonal/>
    </border>
    <border>
      <left/>
      <right/>
      <top style="thin">
        <color theme="2" tint="-0.499984740745262"/>
      </top>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top style="thin">
        <color indexed="64"/>
      </top>
      <bottom/>
      <diagonal/>
    </border>
    <border>
      <left style="medium">
        <color theme="2" tint="-0.499984740745262"/>
      </left>
      <right style="medium">
        <color theme="2" tint="-0.499984740745262"/>
      </right>
      <top style="medium">
        <color theme="2" tint="-0.499984740745262"/>
      </top>
      <bottom style="thin">
        <color indexed="64"/>
      </bottom>
      <diagonal/>
    </border>
    <border>
      <left style="medium">
        <color theme="2" tint="-0.499984740745262"/>
      </left>
      <right style="medium">
        <color theme="2" tint="-0.499984740745262"/>
      </right>
      <top style="thin">
        <color indexed="64"/>
      </top>
      <bottom style="thin">
        <color indexed="64"/>
      </bottom>
      <diagonal/>
    </border>
    <border>
      <left style="medium">
        <color theme="2" tint="-0.499984740745262"/>
      </left>
      <right style="medium">
        <color theme="2" tint="-0.499984740745262"/>
      </right>
      <top style="thin">
        <color indexed="64"/>
      </top>
      <bottom style="medium">
        <color theme="2" tint="-0.499984740745262"/>
      </bottom>
      <diagonal/>
    </border>
    <border>
      <left style="thin">
        <color indexed="64"/>
      </left>
      <right style="thin">
        <color theme="2" tint="-0.499984740745262"/>
      </right>
      <top style="thin">
        <color indexed="64"/>
      </top>
      <bottom/>
      <diagonal/>
    </border>
    <border>
      <left style="thin">
        <color theme="2" tint="-0.499984740745262"/>
      </left>
      <right style="thin">
        <color indexed="64"/>
      </right>
      <top style="thin">
        <color theme="2" tint="-0.499984740745262"/>
      </top>
      <bottom/>
      <diagonal/>
    </border>
    <border>
      <left style="thin">
        <color indexed="64"/>
      </left>
      <right style="thin">
        <color indexed="64"/>
      </right>
      <top style="thin">
        <color theme="2" tint="-0.499984740745262"/>
      </top>
      <bottom/>
      <diagonal/>
    </border>
    <border>
      <left style="thin">
        <color indexed="64"/>
      </left>
      <right/>
      <top style="thin">
        <color theme="2" tint="-0.499984740745262"/>
      </top>
      <bottom/>
      <diagonal/>
    </border>
    <border>
      <left style="thin">
        <color theme="2" tint="-0.499984740745262"/>
      </left>
      <right/>
      <top style="thin">
        <color indexed="64"/>
      </top>
      <bottom/>
      <diagonal/>
    </border>
    <border>
      <left style="medium">
        <color theme="2" tint="-0.499984740745262"/>
      </left>
      <right/>
      <top style="medium">
        <color theme="2" tint="-0.499984740745262"/>
      </top>
      <bottom style="thin">
        <color indexed="64"/>
      </bottom>
      <diagonal/>
    </border>
    <border>
      <left style="medium">
        <color theme="2" tint="-0.499984740745262"/>
      </left>
      <right/>
      <top style="thin">
        <color indexed="64"/>
      </top>
      <bottom style="thin">
        <color indexed="64"/>
      </bottom>
      <diagonal/>
    </border>
    <border>
      <left/>
      <right style="thin">
        <color indexed="64"/>
      </right>
      <top style="medium">
        <color theme="2" tint="-0.499984740745262"/>
      </top>
      <bottom style="thin">
        <color indexed="64"/>
      </bottom>
      <diagonal/>
    </border>
    <border>
      <left style="thin">
        <color indexed="64"/>
      </left>
      <right style="medium">
        <color theme="2" tint="-0.499984740745262"/>
      </right>
      <top style="medium">
        <color theme="2" tint="-0.499984740745262"/>
      </top>
      <bottom style="thin">
        <color indexed="64"/>
      </bottom>
      <diagonal/>
    </border>
    <border>
      <left style="thin">
        <color indexed="64"/>
      </left>
      <right style="medium">
        <color theme="2" tint="-0.499984740745262"/>
      </right>
      <top style="thin">
        <color indexed="64"/>
      </top>
      <bottom style="thin">
        <color indexed="64"/>
      </bottom>
      <diagonal/>
    </border>
    <border>
      <left/>
      <right style="thin">
        <color indexed="64"/>
      </right>
      <top style="thin">
        <color indexed="64"/>
      </top>
      <bottom style="medium">
        <color theme="2" tint="-0.499984740745262"/>
      </bottom>
      <diagonal/>
    </border>
    <border>
      <left style="thin">
        <color indexed="64"/>
      </left>
      <right style="medium">
        <color theme="2" tint="-0.499984740745262"/>
      </right>
      <top style="thin">
        <color indexed="64"/>
      </top>
      <bottom style="medium">
        <color theme="2" tint="-0.499984740745262"/>
      </bottom>
      <diagonal/>
    </border>
    <border>
      <left style="medium">
        <color theme="2" tint="-0.499984740745262"/>
      </left>
      <right style="thin">
        <color indexed="64"/>
      </right>
      <top style="medium">
        <color theme="2" tint="-0.499984740745262"/>
      </top>
      <bottom style="thin">
        <color indexed="64"/>
      </bottom>
      <diagonal/>
    </border>
    <border>
      <left style="medium">
        <color theme="2" tint="-0.499984740745262"/>
      </left>
      <right style="thin">
        <color indexed="64"/>
      </right>
      <top style="thin">
        <color indexed="64"/>
      </top>
      <bottom style="thin">
        <color indexed="64"/>
      </bottom>
      <diagonal/>
    </border>
    <border>
      <left style="medium">
        <color theme="2" tint="-0.499984740745262"/>
      </left>
      <right style="thin">
        <color indexed="64"/>
      </right>
      <top style="thin">
        <color indexed="64"/>
      </top>
      <bottom style="medium">
        <color theme="2" tint="-0.499984740745262"/>
      </bottom>
      <diagonal/>
    </border>
    <border>
      <left style="medium">
        <color theme="2" tint="-0.499984740745262"/>
      </left>
      <right style="thin">
        <color indexed="64"/>
      </right>
      <top style="thin">
        <color indexed="64"/>
      </top>
      <bottom/>
      <diagonal/>
    </border>
    <border>
      <left style="thin">
        <color indexed="64"/>
      </left>
      <right style="medium">
        <color theme="2" tint="-0.499984740745262"/>
      </right>
      <top style="thin">
        <color indexed="64"/>
      </top>
      <bottom/>
      <diagonal/>
    </border>
    <border>
      <left style="medium">
        <color theme="2" tint="-0.499984740745262"/>
      </left>
      <right/>
      <top style="thin">
        <color indexed="64"/>
      </top>
      <bottom/>
      <diagonal/>
    </border>
    <border>
      <left style="medium">
        <color theme="2" tint="-0.499984740745262"/>
      </left>
      <right/>
      <top/>
      <bottom style="thin">
        <color theme="2" tint="-0.499984740745262"/>
      </bottom>
      <diagonal/>
    </border>
    <border>
      <left/>
      <right style="medium">
        <color theme="2" tint="-0.499984740745262"/>
      </right>
      <top/>
      <bottom style="medium">
        <color theme="2" tint="-0.499984740745262"/>
      </bottom>
      <diagonal/>
    </border>
    <border>
      <left style="medium">
        <color theme="2" tint="-0.249977111117893"/>
      </left>
      <right style="medium">
        <color theme="0" tint="-0.34998626667073579"/>
      </right>
      <top style="medium">
        <color theme="2" tint="-0.499984740745262"/>
      </top>
      <bottom style="thin">
        <color theme="2" tint="-0.249977111117893"/>
      </bottom>
      <diagonal/>
    </border>
    <border>
      <left style="medium">
        <color theme="2" tint="-0.249977111117893"/>
      </left>
      <right style="medium">
        <color theme="0" tint="-0.34998626667073579"/>
      </right>
      <top style="thin">
        <color theme="2" tint="-0.249977111117893"/>
      </top>
      <bottom style="medium">
        <color theme="2" tint="-0.499984740745262"/>
      </bottom>
      <diagonal/>
    </border>
    <border>
      <left/>
      <right style="thin">
        <color indexed="64"/>
      </right>
      <top style="medium">
        <color theme="2" tint="-0.499984740745262"/>
      </top>
      <bottom/>
      <diagonal/>
    </border>
    <border>
      <left style="thin">
        <color indexed="64"/>
      </left>
      <right/>
      <top style="medium">
        <color theme="2" tint="-0.499984740745262"/>
      </top>
      <bottom/>
      <diagonal/>
    </border>
    <border>
      <left style="thin">
        <color rgb="FF000000"/>
      </left>
      <right style="medium">
        <color theme="2" tint="-0.499984740745262"/>
      </right>
      <top style="thin">
        <color rgb="FF000000"/>
      </top>
      <bottom style="thin">
        <color rgb="FF000000"/>
      </bottom>
      <diagonal/>
    </border>
    <border>
      <left style="thin">
        <color indexed="64"/>
      </left>
      <right/>
      <top style="medium">
        <color theme="2" tint="-0.499984740745262"/>
      </top>
      <bottom style="thin">
        <color indexed="64"/>
      </bottom>
      <diagonal/>
    </border>
    <border>
      <left style="double">
        <color theme="6" tint="0.79998168889431442"/>
      </left>
      <right style="double">
        <color theme="6" tint="0.79998168889431442"/>
      </right>
      <top/>
      <bottom/>
      <diagonal/>
    </border>
    <border>
      <left style="double">
        <color theme="6" tint="0.79998168889431442"/>
      </left>
      <right style="double">
        <color theme="6" tint="0.79998168889431442"/>
      </right>
      <top style="double">
        <color theme="6" tint="0.79998168889431442"/>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medium">
        <color theme="0" tint="-0.499984740745262"/>
      </left>
      <right style="medium">
        <color theme="2" tint="-0.499984740745262"/>
      </right>
      <top style="medium">
        <color theme="2" tint="-0.499984740745262"/>
      </top>
      <bottom/>
      <diagonal/>
    </border>
    <border>
      <left style="medium">
        <color theme="0" tint="-0.499984740745262"/>
      </left>
      <right style="medium">
        <color theme="2" tint="-0.499984740745262"/>
      </right>
      <top/>
      <bottom style="medium">
        <color theme="0" tint="-0.499984740745262"/>
      </bottom>
      <diagonal/>
    </border>
    <border>
      <left style="thin">
        <color rgb="FF000000"/>
      </left>
      <right style="thin">
        <color rgb="FF000000"/>
      </right>
      <top style="thin">
        <color rgb="FF000000"/>
      </top>
      <bottom style="thin">
        <color rgb="FF000000"/>
      </bottom>
      <diagonal/>
    </border>
    <border>
      <left style="medium">
        <color theme="2" tint="-9.9978637043366805E-2"/>
      </left>
      <right style="medium">
        <color rgb="FFD0CECE"/>
      </right>
      <top style="medium">
        <color rgb="FFD0CECE"/>
      </top>
      <bottom style="medium">
        <color rgb="FFD0CECE"/>
      </bottom>
      <diagonal/>
    </border>
  </borders>
  <cellStyleXfs count="8">
    <xf numFmtId="0" fontId="0" fillId="0" borderId="0"/>
    <xf numFmtId="0" fontId="4"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10" fillId="0" borderId="0"/>
    <xf numFmtId="0" fontId="12" fillId="16" borderId="0" applyNumberFormat="0" applyBorder="0" applyAlignment="0" applyProtection="0"/>
    <xf numFmtId="43" fontId="7" fillId="0" borderId="0" applyFont="0" applyFill="0" applyBorder="0" applyAlignment="0" applyProtection="0"/>
    <xf numFmtId="0" fontId="9" fillId="0" borderId="0"/>
  </cellStyleXfs>
  <cellXfs count="1925">
    <xf numFmtId="0" fontId="0" fillId="0" borderId="0" xfId="0"/>
    <xf numFmtId="165" fontId="0" fillId="0" borderId="0" xfId="0" applyNumberFormat="1"/>
    <xf numFmtId="0" fontId="0" fillId="0" borderId="0" xfId="0" applyAlignment="1">
      <alignment wrapText="1"/>
    </xf>
    <xf numFmtId="3" fontId="6" fillId="0" borderId="86" xfId="0" applyNumberFormat="1" applyFont="1" applyBorder="1"/>
    <xf numFmtId="0" fontId="1" fillId="0" borderId="0" xfId="0" applyFont="1" applyAlignment="1">
      <alignment wrapText="1"/>
    </xf>
    <xf numFmtId="0" fontId="0" fillId="0" borderId="0" xfId="0" applyAlignment="1">
      <alignment vertical="center" wrapText="1"/>
    </xf>
    <xf numFmtId="0" fontId="11" fillId="6" borderId="117" xfId="0" applyFont="1" applyFill="1" applyBorder="1" applyAlignment="1">
      <alignment horizontal="left" vertical="center"/>
    </xf>
    <xf numFmtId="0" fontId="11" fillId="6" borderId="112" xfId="0" applyFont="1" applyFill="1" applyBorder="1" applyAlignment="1">
      <alignment horizontal="left" vertical="center"/>
    </xf>
    <xf numFmtId="0" fontId="11" fillId="6" borderId="87" xfId="0" applyFont="1" applyFill="1" applyBorder="1" applyAlignment="1">
      <alignment horizontal="left" vertical="center"/>
    </xf>
    <xf numFmtId="0" fontId="11" fillId="6" borderId="88" xfId="0" applyFont="1" applyFill="1" applyBorder="1" applyAlignment="1">
      <alignment horizontal="left" vertical="center"/>
    </xf>
    <xf numFmtId="0" fontId="6" fillId="0" borderId="0" xfId="0" applyFont="1"/>
    <xf numFmtId="0" fontId="19" fillId="0" borderId="0" xfId="0" applyFont="1"/>
    <xf numFmtId="3" fontId="19" fillId="0" borderId="20" xfId="0" applyNumberFormat="1" applyFont="1" applyBorder="1" applyAlignment="1">
      <alignment horizontal="right"/>
    </xf>
    <xf numFmtId="3" fontId="20" fillId="0" borderId="32" xfId="0" applyNumberFormat="1" applyFont="1" applyBorder="1"/>
    <xf numFmtId="3" fontId="19" fillId="0" borderId="20" xfId="0" applyNumberFormat="1" applyFont="1" applyBorder="1"/>
    <xf numFmtId="3" fontId="19" fillId="0" borderId="32" xfId="0" applyNumberFormat="1" applyFont="1" applyBorder="1"/>
    <xf numFmtId="3" fontId="20" fillId="0" borderId="20" xfId="0" applyNumberFormat="1" applyFont="1" applyBorder="1"/>
    <xf numFmtId="0" fontId="19" fillId="0" borderId="48" xfId="0" applyFont="1" applyBorder="1"/>
    <xf numFmtId="0" fontId="19" fillId="0" borderId="20" xfId="0" applyFont="1" applyBorder="1"/>
    <xf numFmtId="164" fontId="20" fillId="0" borderId="49" xfId="0" applyNumberFormat="1" applyFont="1" applyBorder="1"/>
    <xf numFmtId="0" fontId="19" fillId="0" borderId="170" xfId="0" applyFont="1" applyBorder="1"/>
    <xf numFmtId="0" fontId="19" fillId="0" borderId="171" xfId="0" applyFont="1" applyBorder="1"/>
    <xf numFmtId="0" fontId="19" fillId="0" borderId="172" xfId="0" applyFont="1" applyBorder="1"/>
    <xf numFmtId="0" fontId="19" fillId="0" borderId="32" xfId="0" applyFont="1" applyBorder="1"/>
    <xf numFmtId="0" fontId="19" fillId="0" borderId="94" xfId="0" applyFont="1" applyBorder="1"/>
    <xf numFmtId="165" fontId="20" fillId="0" borderId="142" xfId="0" applyNumberFormat="1" applyFont="1" applyBorder="1"/>
    <xf numFmtId="165" fontId="20" fillId="0" borderId="192" xfId="0" applyNumberFormat="1" applyFont="1" applyBorder="1"/>
    <xf numFmtId="165" fontId="21" fillId="0" borderId="193" xfId="0" applyNumberFormat="1" applyFont="1" applyBorder="1" applyAlignment="1">
      <alignment horizontal="right" vertical="center"/>
    </xf>
    <xf numFmtId="0" fontId="19" fillId="0" borderId="167" xfId="0" applyFont="1" applyBorder="1"/>
    <xf numFmtId="165" fontId="19" fillId="0" borderId="167" xfId="0" applyNumberFormat="1" applyFont="1" applyBorder="1"/>
    <xf numFmtId="165" fontId="17" fillId="0" borderId="171" xfId="0" applyNumberFormat="1" applyFont="1" applyBorder="1" applyAlignment="1">
      <alignment horizontal="right" vertical="center"/>
    </xf>
    <xf numFmtId="165" fontId="20" fillId="0" borderId="167" xfId="0" applyNumberFormat="1" applyFont="1" applyBorder="1"/>
    <xf numFmtId="165" fontId="20" fillId="0" borderId="171" xfId="0" applyNumberFormat="1" applyFont="1" applyBorder="1"/>
    <xf numFmtId="0" fontId="19" fillId="0" borderId="176" xfId="0" applyFont="1" applyBorder="1"/>
    <xf numFmtId="165" fontId="20" fillId="0" borderId="176" xfId="0" applyNumberFormat="1" applyFont="1" applyBorder="1"/>
    <xf numFmtId="165" fontId="20" fillId="0" borderId="172" xfId="0" applyNumberFormat="1" applyFont="1" applyBorder="1"/>
    <xf numFmtId="0" fontId="19" fillId="0" borderId="178" xfId="0" applyFont="1" applyBorder="1"/>
    <xf numFmtId="165" fontId="20" fillId="0" borderId="178" xfId="0" applyNumberFormat="1" applyFont="1" applyBorder="1"/>
    <xf numFmtId="165" fontId="19" fillId="0" borderId="170" xfId="0" applyNumberFormat="1" applyFont="1" applyBorder="1"/>
    <xf numFmtId="165" fontId="19" fillId="0" borderId="171" xfId="0" applyNumberFormat="1" applyFont="1" applyBorder="1"/>
    <xf numFmtId="0" fontId="20" fillId="0" borderId="178" xfId="0" applyFont="1" applyBorder="1"/>
    <xf numFmtId="3" fontId="20" fillId="20" borderId="167" xfId="0" applyNumberFormat="1" applyFont="1" applyFill="1" applyBorder="1"/>
    <xf numFmtId="0" fontId="20" fillId="20" borderId="167" xfId="0" applyFont="1" applyFill="1" applyBorder="1"/>
    <xf numFmtId="164" fontId="20" fillId="20" borderId="167" xfId="0" applyNumberFormat="1" applyFont="1" applyFill="1" applyBorder="1"/>
    <xf numFmtId="0" fontId="20" fillId="0" borderId="167" xfId="0" applyFont="1" applyBorder="1"/>
    <xf numFmtId="164" fontId="20" fillId="20" borderId="176" xfId="0" applyNumberFormat="1" applyFont="1" applyFill="1" applyBorder="1"/>
    <xf numFmtId="0" fontId="19" fillId="0" borderId="58" xfId="0" applyFont="1" applyBorder="1"/>
    <xf numFmtId="3" fontId="20" fillId="0" borderId="162" xfId="0" applyNumberFormat="1" applyFont="1" applyBorder="1"/>
    <xf numFmtId="3" fontId="19" fillId="0" borderId="78" xfId="0" applyNumberFormat="1" applyFont="1" applyBorder="1"/>
    <xf numFmtId="3" fontId="20" fillId="0" borderId="78" xfId="0" applyNumberFormat="1" applyFont="1" applyBorder="1"/>
    <xf numFmtId="0" fontId="19" fillId="0" borderId="76" xfId="0" applyFont="1" applyBorder="1"/>
    <xf numFmtId="0" fontId="19" fillId="0" borderId="49" xfId="0" applyFont="1" applyBorder="1"/>
    <xf numFmtId="164" fontId="20" fillId="0" borderId="140" xfId="0" applyNumberFormat="1" applyFont="1" applyBorder="1"/>
    <xf numFmtId="0" fontId="19" fillId="0" borderId="181" xfId="0" applyFont="1" applyBorder="1"/>
    <xf numFmtId="0" fontId="18" fillId="7" borderId="167" xfId="0" applyFont="1" applyFill="1" applyBorder="1"/>
    <xf numFmtId="0" fontId="18" fillId="7" borderId="167" xfId="2" applyNumberFormat="1" applyFont="1" applyFill="1" applyBorder="1"/>
    <xf numFmtId="164" fontId="18" fillId="7" borderId="167" xfId="2" applyNumberFormat="1" applyFont="1" applyFill="1" applyBorder="1"/>
    <xf numFmtId="0" fontId="15" fillId="7" borderId="167" xfId="0" applyFont="1" applyFill="1" applyBorder="1"/>
    <xf numFmtId="0" fontId="15" fillId="7" borderId="167" xfId="2" applyNumberFormat="1" applyFont="1" applyFill="1" applyBorder="1"/>
    <xf numFmtId="164" fontId="15" fillId="7" borderId="167" xfId="2" applyNumberFormat="1" applyFont="1" applyFill="1" applyBorder="1"/>
    <xf numFmtId="0" fontId="18" fillId="7" borderId="102" xfId="0" applyFont="1" applyFill="1" applyBorder="1"/>
    <xf numFmtId="43" fontId="18" fillId="7" borderId="71" xfId="2" applyFont="1" applyFill="1" applyBorder="1"/>
    <xf numFmtId="3" fontId="18" fillId="7" borderId="71" xfId="2" applyNumberFormat="1" applyFont="1" applyFill="1" applyBorder="1"/>
    <xf numFmtId="3" fontId="20" fillId="0" borderId="71" xfId="0" applyNumberFormat="1" applyFont="1" applyBorder="1"/>
    <xf numFmtId="0" fontId="20" fillId="0" borderId="0" xfId="0" applyFont="1"/>
    <xf numFmtId="0" fontId="15" fillId="7" borderId="24" xfId="0" applyFont="1" applyFill="1" applyBorder="1"/>
    <xf numFmtId="43" fontId="15" fillId="7" borderId="20" xfId="2" applyFont="1" applyFill="1" applyBorder="1"/>
    <xf numFmtId="3" fontId="15" fillId="7" borderId="20" xfId="2" applyNumberFormat="1" applyFont="1" applyFill="1" applyBorder="1"/>
    <xf numFmtId="3" fontId="19" fillId="0" borderId="15" xfId="0" applyNumberFormat="1" applyFont="1" applyBorder="1"/>
    <xf numFmtId="3" fontId="19" fillId="0" borderId="75" xfId="0" applyNumberFormat="1" applyFont="1" applyBorder="1"/>
    <xf numFmtId="0" fontId="19" fillId="0" borderId="48" xfId="0" applyFont="1" applyBorder="1" applyAlignment="1">
      <alignment horizontal="center"/>
    </xf>
    <xf numFmtId="0" fontId="19" fillId="0" borderId="48" xfId="0" applyFont="1" applyBorder="1" applyAlignment="1">
      <alignment horizontal="right"/>
    </xf>
    <xf numFmtId="3" fontId="19" fillId="0" borderId="94" xfId="0" applyNumberFormat="1" applyFont="1" applyBorder="1"/>
    <xf numFmtId="3" fontId="19" fillId="0" borderId="26" xfId="0" applyNumberFormat="1" applyFont="1" applyBorder="1"/>
    <xf numFmtId="0" fontId="25" fillId="0" borderId="20" xfId="0" applyFont="1" applyBorder="1" applyAlignment="1">
      <alignment horizontal="right" vertical="center"/>
    </xf>
    <xf numFmtId="164" fontId="20" fillId="18" borderId="20" xfId="3" applyNumberFormat="1" applyFont="1" applyFill="1" applyBorder="1" applyAlignment="1">
      <alignment horizontal="right" vertical="center"/>
    </xf>
    <xf numFmtId="164" fontId="20" fillId="18" borderId="20" xfId="0" applyNumberFormat="1" applyFont="1" applyFill="1" applyBorder="1" applyAlignment="1">
      <alignment horizontal="right" vertical="center"/>
    </xf>
    <xf numFmtId="164" fontId="20" fillId="18" borderId="23" xfId="0" applyNumberFormat="1" applyFont="1" applyFill="1" applyBorder="1" applyAlignment="1">
      <alignment horizontal="right" vertical="center"/>
    </xf>
    <xf numFmtId="0" fontId="25" fillId="0" borderId="20" xfId="0" applyFont="1" applyBorder="1" applyAlignment="1">
      <alignment vertical="center"/>
    </xf>
    <xf numFmtId="3" fontId="20" fillId="0" borderId="167" xfId="0" applyNumberFormat="1" applyFont="1" applyBorder="1" applyAlignment="1">
      <alignment horizontal="right"/>
    </xf>
    <xf numFmtId="3" fontId="19" fillId="0" borderId="167" xfId="0" applyNumberFormat="1" applyFont="1" applyBorder="1" applyAlignment="1">
      <alignment horizontal="right"/>
    </xf>
    <xf numFmtId="3" fontId="20" fillId="0" borderId="178" xfId="0" applyNumberFormat="1" applyFont="1" applyBorder="1" applyAlignment="1">
      <alignment horizontal="right"/>
    </xf>
    <xf numFmtId="3" fontId="20" fillId="0" borderId="170" xfId="0" applyNumberFormat="1" applyFont="1" applyBorder="1" applyAlignment="1">
      <alignment horizontal="right"/>
    </xf>
    <xf numFmtId="3" fontId="19" fillId="0" borderId="171" xfId="0" applyNumberFormat="1" applyFont="1" applyBorder="1" applyAlignment="1">
      <alignment horizontal="right"/>
    </xf>
    <xf numFmtId="3" fontId="20" fillId="20" borderId="171" xfId="0" applyNumberFormat="1" applyFont="1" applyFill="1" applyBorder="1"/>
    <xf numFmtId="164" fontId="20" fillId="20" borderId="172" xfId="0" applyNumberFormat="1" applyFont="1" applyFill="1" applyBorder="1"/>
    <xf numFmtId="3" fontId="19" fillId="0" borderId="105" xfId="0" applyNumberFormat="1" applyFont="1" applyBorder="1"/>
    <xf numFmtId="0" fontId="19" fillId="0" borderId="194" xfId="0" applyFont="1" applyBorder="1"/>
    <xf numFmtId="0" fontId="19" fillId="6" borderId="26" xfId="0" applyFont="1" applyFill="1" applyBorder="1"/>
    <xf numFmtId="0" fontId="11" fillId="6" borderId="195" xfId="0" applyFont="1" applyFill="1" applyBorder="1" applyAlignment="1">
      <alignment horizontal="center"/>
    </xf>
    <xf numFmtId="0" fontId="11" fillId="6" borderId="94" xfId="0" applyFont="1" applyFill="1" applyBorder="1"/>
    <xf numFmtId="0" fontId="19" fillId="6" borderId="43" xfId="0" applyFont="1" applyFill="1" applyBorder="1"/>
    <xf numFmtId="0" fontId="20" fillId="0" borderId="167" xfId="0" applyFont="1" applyBorder="1" applyAlignment="1">
      <alignment horizontal="center"/>
    </xf>
    <xf numFmtId="3" fontId="20" fillId="0" borderId="167" xfId="0" applyNumberFormat="1" applyFont="1" applyBorder="1" applyAlignment="1">
      <alignment horizontal="center"/>
    </xf>
    <xf numFmtId="0" fontId="19" fillId="0" borderId="167" xfId="0" applyFont="1" applyBorder="1" applyAlignment="1">
      <alignment horizontal="center"/>
    </xf>
    <xf numFmtId="3" fontId="19" fillId="0" borderId="167" xfId="0" applyNumberFormat="1" applyFont="1" applyBorder="1" applyAlignment="1">
      <alignment horizontal="center"/>
    </xf>
    <xf numFmtId="3" fontId="19" fillId="0" borderId="167" xfId="0" applyNumberFormat="1" applyFont="1" applyBorder="1"/>
    <xf numFmtId="165" fontId="19" fillId="17" borderId="167" xfId="0" applyNumberFormat="1" applyFont="1" applyFill="1" applyBorder="1" applyAlignment="1">
      <alignment horizontal="right"/>
    </xf>
    <xf numFmtId="165" fontId="19" fillId="19" borderId="167" xfId="0" applyNumberFormat="1" applyFont="1" applyFill="1" applyBorder="1" applyAlignment="1">
      <alignment horizontal="right"/>
    </xf>
    <xf numFmtId="165" fontId="19" fillId="18" borderId="167" xfId="0" applyNumberFormat="1" applyFont="1" applyFill="1" applyBorder="1" applyAlignment="1">
      <alignment horizontal="right"/>
    </xf>
    <xf numFmtId="164" fontId="20" fillId="17" borderId="167" xfId="0" applyNumberFormat="1" applyFont="1" applyFill="1" applyBorder="1"/>
    <xf numFmtId="164" fontId="20" fillId="17" borderId="167" xfId="3" applyNumberFormat="1" applyFont="1" applyFill="1" applyBorder="1"/>
    <xf numFmtId="164" fontId="20" fillId="18" borderId="167" xfId="3" applyNumberFormat="1" applyFont="1" applyFill="1" applyBorder="1"/>
    <xf numFmtId="3" fontId="20" fillId="0" borderId="178" xfId="0" applyNumberFormat="1" applyFont="1" applyBorder="1" applyAlignment="1">
      <alignment horizontal="center"/>
    </xf>
    <xf numFmtId="0" fontId="19" fillId="0" borderId="176" xfId="0" applyFont="1" applyBorder="1" applyAlignment="1">
      <alignment horizontal="center"/>
    </xf>
    <xf numFmtId="164" fontId="20" fillId="19" borderId="176" xfId="3" applyNumberFormat="1" applyFont="1" applyFill="1" applyBorder="1"/>
    <xf numFmtId="0" fontId="20" fillId="0" borderId="176" xfId="0" applyFont="1" applyBorder="1" applyAlignment="1">
      <alignment horizontal="center"/>
    </xf>
    <xf numFmtId="0" fontId="18" fillId="7" borderId="178" xfId="0" applyFont="1" applyFill="1" applyBorder="1"/>
    <xf numFmtId="2" fontId="22" fillId="0" borderId="170" xfId="0" applyNumberFormat="1" applyFont="1" applyBorder="1"/>
    <xf numFmtId="166" fontId="18" fillId="20" borderId="176" xfId="2" applyNumberFormat="1" applyFont="1" applyFill="1" applyBorder="1"/>
    <xf numFmtId="0" fontId="19" fillId="0" borderId="180" xfId="0" applyFont="1" applyBorder="1"/>
    <xf numFmtId="164" fontId="20" fillId="20" borderId="180" xfId="0" applyNumberFormat="1" applyFont="1" applyFill="1" applyBorder="1"/>
    <xf numFmtId="0" fontId="11" fillId="6" borderId="198" xfId="0" applyFont="1" applyFill="1" applyBorder="1" applyAlignment="1">
      <alignment horizontal="center" vertical="center"/>
    </xf>
    <xf numFmtId="0" fontId="19" fillId="0" borderId="59" xfId="0" applyFont="1" applyBorder="1"/>
    <xf numFmtId="3" fontId="19" fillId="0" borderId="162" xfId="0" applyNumberFormat="1" applyFont="1" applyBorder="1"/>
    <xf numFmtId="0" fontId="19" fillId="0" borderId="78" xfId="0" applyFont="1" applyBorder="1"/>
    <xf numFmtId="3" fontId="19" fillId="0" borderId="155" xfId="0" applyNumberFormat="1" applyFont="1" applyBorder="1"/>
    <xf numFmtId="43" fontId="23" fillId="7" borderId="50" xfId="2" applyFont="1" applyFill="1" applyBorder="1"/>
    <xf numFmtId="43" fontId="23" fillId="7" borderId="49" xfId="2" applyFont="1" applyFill="1" applyBorder="1"/>
    <xf numFmtId="164" fontId="20" fillId="20" borderId="49" xfId="0" applyNumberFormat="1" applyFont="1" applyFill="1" applyBorder="1"/>
    <xf numFmtId="0" fontId="11" fillId="6" borderId="199" xfId="0" applyFont="1" applyFill="1" applyBorder="1" applyAlignment="1">
      <alignment horizontal="center" vertical="center"/>
    </xf>
    <xf numFmtId="0" fontId="11" fillId="6" borderId="200" xfId="0" applyFont="1" applyFill="1" applyBorder="1" applyAlignment="1">
      <alignment horizontal="center" vertical="center"/>
    </xf>
    <xf numFmtId="0" fontId="19" fillId="0" borderId="173" xfId="0" applyFont="1" applyBorder="1"/>
    <xf numFmtId="0" fontId="18" fillId="7" borderId="173" xfId="0" applyFont="1" applyFill="1" applyBorder="1"/>
    <xf numFmtId="0" fontId="18" fillId="7" borderId="173" xfId="2" applyNumberFormat="1" applyFont="1" applyFill="1" applyBorder="1"/>
    <xf numFmtId="2" fontId="22" fillId="0" borderId="194" xfId="0" applyNumberFormat="1" applyFont="1" applyBorder="1"/>
    <xf numFmtId="0" fontId="19" fillId="0" borderId="180" xfId="0" applyFont="1" applyBorder="1" applyAlignment="1">
      <alignment horizontal="center"/>
    </xf>
    <xf numFmtId="164" fontId="20" fillId="19" borderId="180" xfId="3" applyNumberFormat="1" applyFont="1" applyFill="1" applyBorder="1"/>
    <xf numFmtId="0" fontId="20" fillId="0" borderId="180" xfId="0" applyFont="1" applyBorder="1" applyAlignment="1">
      <alignment horizontal="center"/>
    </xf>
    <xf numFmtId="0" fontId="20" fillId="0" borderId="173" xfId="0" applyFont="1" applyBorder="1" applyAlignment="1">
      <alignment horizontal="center"/>
    </xf>
    <xf numFmtId="3" fontId="20" fillId="0" borderId="173" xfId="0" applyNumberFormat="1" applyFont="1" applyBorder="1" applyAlignment="1">
      <alignment horizontal="right"/>
    </xf>
    <xf numFmtId="3" fontId="20" fillId="0" borderId="173" xfId="0" applyNumberFormat="1" applyFont="1" applyBorder="1" applyAlignment="1">
      <alignment horizontal="center"/>
    </xf>
    <xf numFmtId="3" fontId="20" fillId="0" borderId="194" xfId="0" applyNumberFormat="1" applyFont="1" applyBorder="1" applyAlignment="1">
      <alignment horizontal="right"/>
    </xf>
    <xf numFmtId="0" fontId="19" fillId="0" borderId="60" xfId="0" applyFont="1" applyBorder="1"/>
    <xf numFmtId="0" fontId="19" fillId="0" borderId="45" xfId="0" applyFont="1" applyBorder="1"/>
    <xf numFmtId="165" fontId="19" fillId="0" borderId="48" xfId="0" applyNumberFormat="1" applyFont="1" applyBorder="1"/>
    <xf numFmtId="165" fontId="19" fillId="0" borderId="20" xfId="0" applyNumberFormat="1" applyFont="1" applyBorder="1"/>
    <xf numFmtId="165" fontId="20" fillId="0" borderId="20" xfId="0" applyNumberFormat="1" applyFont="1" applyBorder="1"/>
    <xf numFmtId="165" fontId="19" fillId="0" borderId="78" xfId="0" applyNumberFormat="1" applyFont="1" applyBorder="1"/>
    <xf numFmtId="0" fontId="20" fillId="0" borderId="76" xfId="0" applyFont="1" applyBorder="1" applyAlignment="1">
      <alignment horizontal="center"/>
    </xf>
    <xf numFmtId="0" fontId="11" fillId="6" borderId="4" xfId="0" applyFont="1" applyFill="1" applyBorder="1" applyAlignment="1">
      <alignment horizontal="center"/>
    </xf>
    <xf numFmtId="0" fontId="19" fillId="0" borderId="0" xfId="0" applyFont="1" applyAlignment="1">
      <alignment horizontal="center"/>
    </xf>
    <xf numFmtId="0" fontId="11" fillId="6" borderId="127" xfId="0" applyFont="1" applyFill="1" applyBorder="1" applyAlignment="1">
      <alignment horizontal="center"/>
    </xf>
    <xf numFmtId="0" fontId="21" fillId="0" borderId="173" xfId="0" applyFont="1" applyBorder="1" applyAlignment="1">
      <alignment horizontal="left" vertical="center"/>
    </xf>
    <xf numFmtId="0" fontId="17" fillId="0" borderId="167" xfId="0" applyFont="1" applyBorder="1" applyAlignment="1">
      <alignment horizontal="left" vertical="center"/>
    </xf>
    <xf numFmtId="3" fontId="17" fillId="0" borderId="167" xfId="0" applyNumberFormat="1" applyFont="1" applyBorder="1" applyAlignment="1">
      <alignment horizontal="left" vertical="center"/>
    </xf>
    <xf numFmtId="0" fontId="18" fillId="7" borderId="178" xfId="1" applyFont="1" applyFill="1" applyBorder="1" applyAlignment="1">
      <alignment vertical="center" wrapText="1"/>
    </xf>
    <xf numFmtId="0" fontId="15" fillId="0" borderId="167" xfId="1" applyFont="1" applyBorder="1" applyAlignment="1">
      <alignment vertical="center" wrapText="1"/>
    </xf>
    <xf numFmtId="0" fontId="18" fillId="0" borderId="167" xfId="0" applyFont="1" applyBorder="1"/>
    <xf numFmtId="0" fontId="18" fillId="7" borderId="167" xfId="1" applyFont="1" applyFill="1" applyBorder="1" applyAlignment="1">
      <alignment vertical="center" wrapText="1"/>
    </xf>
    <xf numFmtId="0" fontId="18" fillId="0" borderId="180" xfId="0" applyFont="1" applyBorder="1"/>
    <xf numFmtId="0" fontId="11" fillId="6" borderId="201" xfId="0" applyFont="1" applyFill="1" applyBorder="1" applyAlignment="1">
      <alignment horizontal="center"/>
    </xf>
    <xf numFmtId="0" fontId="19" fillId="0" borderId="93" xfId="0" applyFont="1" applyBorder="1"/>
    <xf numFmtId="0" fontId="20" fillId="0" borderId="84" xfId="0" applyFont="1" applyBorder="1"/>
    <xf numFmtId="0" fontId="20" fillId="7" borderId="141" xfId="0" applyFont="1" applyFill="1" applyBorder="1"/>
    <xf numFmtId="3" fontId="20" fillId="0" borderId="26" xfId="0" applyNumberFormat="1" applyFont="1" applyBorder="1"/>
    <xf numFmtId="2" fontId="19" fillId="0" borderId="167" xfId="0" applyNumberFormat="1" applyFont="1" applyBorder="1" applyAlignment="1">
      <alignment horizontal="right"/>
    </xf>
    <xf numFmtId="3" fontId="20" fillId="0" borderId="167" xfId="0" applyNumberFormat="1" applyFont="1" applyBorder="1"/>
    <xf numFmtId="164" fontId="20" fillId="0" borderId="167" xfId="0" applyNumberFormat="1" applyFont="1" applyBorder="1"/>
    <xf numFmtId="2" fontId="20" fillId="0" borderId="178" xfId="0" applyNumberFormat="1" applyFont="1" applyBorder="1" applyAlignment="1">
      <alignment horizontal="right"/>
    </xf>
    <xf numFmtId="3" fontId="20" fillId="0" borderId="171" xfId="0" applyNumberFormat="1" applyFont="1" applyBorder="1"/>
    <xf numFmtId="164" fontId="20" fillId="0" borderId="176" xfId="0" applyNumberFormat="1" applyFont="1" applyBorder="1"/>
    <xf numFmtId="164" fontId="20" fillId="0" borderId="172" xfId="0" applyNumberFormat="1" applyFont="1" applyBorder="1"/>
    <xf numFmtId="0" fontId="18" fillId="0" borderId="167" xfId="1" applyFont="1" applyBorder="1" applyAlignment="1">
      <alignment horizontal="center" vertical="top" wrapText="1"/>
    </xf>
    <xf numFmtId="0" fontId="15" fillId="0" borderId="167" xfId="1" applyFont="1" applyBorder="1" applyAlignment="1">
      <alignment horizontal="center" vertical="top" wrapText="1"/>
    </xf>
    <xf numFmtId="164" fontId="20" fillId="0" borderId="180" xfId="0" applyNumberFormat="1" applyFont="1" applyBorder="1"/>
    <xf numFmtId="164" fontId="20" fillId="0" borderId="181" xfId="0" applyNumberFormat="1" applyFont="1" applyBorder="1"/>
    <xf numFmtId="0" fontId="18" fillId="0" borderId="173" xfId="1" applyFont="1" applyBorder="1" applyAlignment="1">
      <alignment horizontal="center" vertical="top" wrapText="1"/>
    </xf>
    <xf numFmtId="0" fontId="18" fillId="0" borderId="178" xfId="1" applyFont="1" applyBorder="1" applyAlignment="1">
      <alignment horizontal="center" vertical="top" wrapText="1"/>
    </xf>
    <xf numFmtId="0" fontId="15" fillId="0" borderId="176" xfId="1" applyFont="1" applyBorder="1" applyAlignment="1">
      <alignment horizontal="center" vertical="top" wrapText="1"/>
    </xf>
    <xf numFmtId="0" fontId="18" fillId="0" borderId="176" xfId="1" applyFont="1" applyBorder="1" applyAlignment="1">
      <alignment horizontal="center" vertical="top" wrapText="1"/>
    </xf>
    <xf numFmtId="0" fontId="19" fillId="0" borderId="19" xfId="0" applyFont="1" applyBorder="1" applyAlignment="1">
      <alignment horizontal="right"/>
    </xf>
    <xf numFmtId="0" fontId="19" fillId="0" borderId="210" xfId="0" applyFont="1" applyBorder="1" applyAlignment="1">
      <alignment horizontal="right"/>
    </xf>
    <xf numFmtId="3" fontId="20" fillId="0" borderId="210" xfId="0" applyNumberFormat="1" applyFont="1" applyBorder="1"/>
    <xf numFmtId="164" fontId="20" fillId="0" borderId="206" xfId="0" applyNumberFormat="1" applyFont="1" applyBorder="1"/>
    <xf numFmtId="3" fontId="20" fillId="0" borderId="63" xfId="0" applyNumberFormat="1" applyFont="1" applyBorder="1"/>
    <xf numFmtId="3" fontId="19" fillId="0" borderId="210" xfId="0" applyNumberFormat="1" applyFont="1" applyBorder="1"/>
    <xf numFmtId="0" fontId="19" fillId="0" borderId="96" xfId="0" applyFont="1" applyBorder="1"/>
    <xf numFmtId="0" fontId="19" fillId="0" borderId="17" xfId="0" applyFont="1" applyBorder="1" applyAlignment="1">
      <alignment horizontal="right"/>
    </xf>
    <xf numFmtId="0" fontId="19" fillId="0" borderId="131" xfId="0" applyFont="1" applyBorder="1" applyAlignment="1">
      <alignment horizontal="right"/>
    </xf>
    <xf numFmtId="0" fontId="19" fillId="0" borderId="46" xfId="0" applyFont="1" applyBorder="1" applyAlignment="1">
      <alignment horizontal="right"/>
    </xf>
    <xf numFmtId="0" fontId="19" fillId="0" borderId="167" xfId="0" applyFont="1" applyBorder="1" applyAlignment="1">
      <alignment horizontal="right"/>
    </xf>
    <xf numFmtId="0" fontId="18" fillId="0" borderId="211" xfId="1" applyFont="1" applyBorder="1" applyAlignment="1">
      <alignment horizontal="center" vertical="top" wrapText="1"/>
    </xf>
    <xf numFmtId="0" fontId="15" fillId="0" borderId="212" xfId="1" applyFont="1" applyBorder="1" applyAlignment="1">
      <alignment horizontal="center" vertical="top" wrapText="1"/>
    </xf>
    <xf numFmtId="0" fontId="15" fillId="0" borderId="213" xfId="1" applyFont="1" applyBorder="1" applyAlignment="1">
      <alignment horizontal="center" vertical="top" wrapText="1"/>
    </xf>
    <xf numFmtId="0" fontId="18" fillId="0" borderId="212" xfId="1" applyFont="1" applyBorder="1" applyAlignment="1">
      <alignment horizontal="center" vertical="top" wrapText="1"/>
    </xf>
    <xf numFmtId="0" fontId="18" fillId="0" borderId="213" xfId="1" applyFont="1" applyBorder="1" applyAlignment="1">
      <alignment horizontal="center" vertical="top" wrapText="1"/>
    </xf>
    <xf numFmtId="164" fontId="19" fillId="0" borderId="167" xfId="0" applyNumberFormat="1" applyFont="1" applyBorder="1"/>
    <xf numFmtId="0" fontId="18" fillId="0" borderId="214" xfId="1" applyFont="1" applyBorder="1" applyAlignment="1">
      <alignment horizontal="center" vertical="top" wrapText="1"/>
    </xf>
    <xf numFmtId="1" fontId="19" fillId="0" borderId="171" xfId="0" applyNumberFormat="1" applyFont="1" applyBorder="1" applyAlignment="1">
      <alignment horizontal="right"/>
    </xf>
    <xf numFmtId="3" fontId="19" fillId="0" borderId="176" xfId="0" applyNumberFormat="1" applyFont="1" applyBorder="1"/>
    <xf numFmtId="1" fontId="19" fillId="0" borderId="172" xfId="0" applyNumberFormat="1" applyFont="1" applyBorder="1" applyAlignment="1">
      <alignment horizontal="right"/>
    </xf>
    <xf numFmtId="3" fontId="20" fillId="0" borderId="173" xfId="0" applyNumberFormat="1" applyFont="1" applyBorder="1"/>
    <xf numFmtId="1" fontId="20" fillId="0" borderId="170" xfId="0" applyNumberFormat="1" applyFont="1" applyBorder="1" applyAlignment="1">
      <alignment horizontal="right"/>
    </xf>
    <xf numFmtId="164" fontId="20" fillId="0" borderId="173" xfId="0" applyNumberFormat="1" applyFont="1" applyBorder="1"/>
    <xf numFmtId="3" fontId="20" fillId="0" borderId="178" xfId="0" applyNumberFormat="1" applyFont="1" applyBorder="1"/>
    <xf numFmtId="3" fontId="20" fillId="0" borderId="170" xfId="0" applyNumberFormat="1" applyFont="1" applyBorder="1"/>
    <xf numFmtId="3" fontId="20" fillId="0" borderId="176" xfId="0" applyNumberFormat="1" applyFont="1" applyBorder="1"/>
    <xf numFmtId="3" fontId="20" fillId="0" borderId="172" xfId="0" applyNumberFormat="1" applyFont="1" applyBorder="1"/>
    <xf numFmtId="0" fontId="19" fillId="0" borderId="171" xfId="0" applyFont="1" applyBorder="1" applyAlignment="1">
      <alignment horizontal="right"/>
    </xf>
    <xf numFmtId="3" fontId="19" fillId="0" borderId="171" xfId="0" applyNumberFormat="1" applyFont="1" applyBorder="1"/>
    <xf numFmtId="3" fontId="20" fillId="0" borderId="65" xfId="0" applyNumberFormat="1" applyFont="1" applyBorder="1"/>
    <xf numFmtId="0" fontId="20" fillId="0" borderId="173" xfId="0" applyFont="1" applyBorder="1"/>
    <xf numFmtId="0" fontId="20" fillId="0" borderId="176" xfId="0" applyFont="1" applyBorder="1"/>
    <xf numFmtId="0" fontId="20" fillId="0" borderId="172" xfId="0" applyFont="1" applyBorder="1"/>
    <xf numFmtId="0" fontId="19" fillId="0" borderId="0" xfId="0" applyFont="1" applyAlignment="1">
      <alignment wrapText="1"/>
    </xf>
    <xf numFmtId="165" fontId="19" fillId="0" borderId="167" xfId="0" applyNumberFormat="1" applyFont="1" applyBorder="1" applyAlignment="1">
      <alignment horizontal="right"/>
    </xf>
    <xf numFmtId="0" fontId="21" fillId="0" borderId="178" xfId="0" applyFont="1" applyBorder="1" applyAlignment="1">
      <alignment horizontal="left" vertical="center"/>
    </xf>
    <xf numFmtId="165" fontId="20" fillId="0" borderId="78" xfId="0" applyNumberFormat="1" applyFont="1" applyBorder="1"/>
    <xf numFmtId="165" fontId="21" fillId="0" borderId="170" xfId="0" applyNumberFormat="1" applyFont="1" applyBorder="1" applyAlignment="1">
      <alignment horizontal="right" vertical="center"/>
    </xf>
    <xf numFmtId="165" fontId="20" fillId="0" borderId="33" xfId="0" applyNumberFormat="1" applyFont="1" applyBorder="1"/>
    <xf numFmtId="165" fontId="20" fillId="0" borderId="34" xfId="0" applyNumberFormat="1" applyFont="1" applyBorder="1"/>
    <xf numFmtId="165" fontId="20" fillId="0" borderId="181" xfId="0" applyNumberFormat="1" applyFont="1" applyBorder="1"/>
    <xf numFmtId="165" fontId="20" fillId="0" borderId="173" xfId="0" applyNumberFormat="1" applyFont="1" applyBorder="1"/>
    <xf numFmtId="0" fontId="18" fillId="7" borderId="173" xfId="1" applyFont="1" applyFill="1" applyBorder="1" applyAlignment="1">
      <alignment vertical="center" wrapText="1"/>
    </xf>
    <xf numFmtId="164" fontId="19" fillId="0" borderId="170" xfId="0" applyNumberFormat="1" applyFont="1" applyBorder="1"/>
    <xf numFmtId="165" fontId="17" fillId="23" borderId="171" xfId="0" applyNumberFormat="1" applyFont="1" applyFill="1" applyBorder="1"/>
    <xf numFmtId="0" fontId="18" fillId="0" borderId="176" xfId="0" applyFont="1" applyBorder="1"/>
    <xf numFmtId="43" fontId="15" fillId="7" borderId="167" xfId="2" applyFont="1" applyFill="1" applyBorder="1"/>
    <xf numFmtId="3" fontId="15" fillId="7" borderId="167" xfId="2" applyNumberFormat="1" applyFont="1" applyFill="1" applyBorder="1"/>
    <xf numFmtId="3" fontId="19" fillId="0" borderId="173" xfId="0" applyNumberFormat="1" applyFont="1" applyBorder="1"/>
    <xf numFmtId="166" fontId="23" fillId="7" borderId="176" xfId="2" applyNumberFormat="1" applyFont="1" applyFill="1" applyBorder="1"/>
    <xf numFmtId="0" fontId="15" fillId="7" borderId="178" xfId="0" applyFont="1" applyFill="1" applyBorder="1"/>
    <xf numFmtId="43" fontId="15" fillId="7" borderId="178" xfId="2" applyFont="1" applyFill="1" applyBorder="1"/>
    <xf numFmtId="3" fontId="18" fillId="7" borderId="178" xfId="2" applyNumberFormat="1" applyFont="1" applyFill="1" applyBorder="1"/>
    <xf numFmtId="3" fontId="19" fillId="0" borderId="178" xfId="0" applyNumberFormat="1" applyFont="1" applyBorder="1"/>
    <xf numFmtId="0" fontId="20" fillId="0" borderId="167" xfId="0" applyFont="1" applyBorder="1" applyAlignment="1">
      <alignment horizontal="left"/>
    </xf>
    <xf numFmtId="0" fontId="19" fillId="0" borderId="167" xfId="0" applyFont="1" applyBorder="1" applyAlignment="1">
      <alignment horizontal="left"/>
    </xf>
    <xf numFmtId="164" fontId="20" fillId="0" borderId="167" xfId="0" applyNumberFormat="1" applyFont="1" applyBorder="1" applyAlignment="1">
      <alignment horizontal="right"/>
    </xf>
    <xf numFmtId="0" fontId="20" fillId="0" borderId="178" xfId="0" applyFont="1" applyBorder="1" applyAlignment="1">
      <alignment horizontal="left"/>
    </xf>
    <xf numFmtId="164" fontId="20" fillId="0" borderId="176" xfId="0" applyNumberFormat="1" applyFont="1" applyBorder="1" applyAlignment="1">
      <alignment horizontal="right"/>
    </xf>
    <xf numFmtId="164" fontId="24" fillId="16" borderId="176" xfId="5" applyNumberFormat="1" applyFont="1" applyBorder="1" applyAlignment="1">
      <alignment horizontal="right" vertical="center"/>
    </xf>
    <xf numFmtId="0" fontId="20" fillId="7" borderId="167" xfId="0" applyFont="1" applyFill="1" applyBorder="1"/>
    <xf numFmtId="164" fontId="20" fillId="17" borderId="167" xfId="0" applyNumberFormat="1" applyFont="1" applyFill="1" applyBorder="1" applyAlignment="1">
      <alignment horizontal="right" vertical="center"/>
    </xf>
    <xf numFmtId="164" fontId="20" fillId="18" borderId="167" xfId="3" applyNumberFormat="1" applyFont="1" applyFill="1" applyBorder="1" applyAlignment="1">
      <alignment horizontal="right" vertical="center"/>
    </xf>
    <xf numFmtId="164" fontId="20" fillId="18" borderId="167" xfId="0" applyNumberFormat="1" applyFont="1" applyFill="1" applyBorder="1" applyAlignment="1">
      <alignment horizontal="right" vertical="center"/>
    </xf>
    <xf numFmtId="0" fontId="25" fillId="0" borderId="167" xfId="0" applyFont="1" applyBorder="1" applyAlignment="1">
      <alignment horizontal="right" vertical="center"/>
    </xf>
    <xf numFmtId="165" fontId="20" fillId="18" borderId="167" xfId="0" applyNumberFormat="1" applyFont="1" applyFill="1" applyBorder="1"/>
    <xf numFmtId="0" fontId="20" fillId="0" borderId="173" xfId="0" applyFont="1" applyBorder="1" applyAlignment="1">
      <alignment horizontal="left"/>
    </xf>
    <xf numFmtId="0" fontId="19" fillId="0" borderId="176" xfId="0" applyFont="1" applyBorder="1" applyAlignment="1">
      <alignment horizontal="left"/>
    </xf>
    <xf numFmtId="165" fontId="19" fillId="0" borderId="173" xfId="0" applyNumberFormat="1" applyFont="1" applyBorder="1"/>
    <xf numFmtId="0" fontId="17" fillId="0" borderId="173" xfId="0" applyFont="1" applyBorder="1" applyAlignment="1">
      <alignment horizontal="left" vertical="center"/>
    </xf>
    <xf numFmtId="0" fontId="19" fillId="0" borderId="173" xfId="0" applyFont="1" applyBorder="1" applyAlignment="1">
      <alignment horizontal="center"/>
    </xf>
    <xf numFmtId="3" fontId="19" fillId="0" borderId="173" xfId="0" applyNumberFormat="1" applyFont="1" applyBorder="1" applyAlignment="1">
      <alignment horizontal="right"/>
    </xf>
    <xf numFmtId="0" fontId="11" fillId="6" borderId="218" xfId="0" applyFont="1" applyFill="1" applyBorder="1" applyAlignment="1">
      <alignment horizontal="center" vertical="center"/>
    </xf>
    <xf numFmtId="0" fontId="11" fillId="6" borderId="219" xfId="0" applyFont="1" applyFill="1" applyBorder="1" applyAlignment="1">
      <alignment horizontal="center" vertical="center"/>
    </xf>
    <xf numFmtId="3" fontId="18" fillId="0" borderId="176" xfId="0" applyNumberFormat="1" applyFont="1" applyBorder="1"/>
    <xf numFmtId="165" fontId="18" fillId="22" borderId="176" xfId="0" applyNumberFormat="1" applyFont="1" applyFill="1" applyBorder="1"/>
    <xf numFmtId="0" fontId="17" fillId="0" borderId="178" xfId="0" applyFont="1" applyBorder="1" applyAlignment="1">
      <alignment horizontal="left" vertical="center"/>
    </xf>
    <xf numFmtId="0" fontId="19" fillId="0" borderId="178" xfId="0" applyFont="1" applyBorder="1" applyAlignment="1">
      <alignment horizontal="center"/>
    </xf>
    <xf numFmtId="3" fontId="19" fillId="0" borderId="178" xfId="0" applyNumberFormat="1" applyFont="1" applyBorder="1" applyAlignment="1">
      <alignment horizontal="right"/>
    </xf>
    <xf numFmtId="165" fontId="20" fillId="18" borderId="176" xfId="0" applyNumberFormat="1" applyFont="1" applyFill="1" applyBorder="1" applyAlignment="1">
      <alignment horizontal="right"/>
    </xf>
    <xf numFmtId="165" fontId="20" fillId="19" borderId="176" xfId="0" applyNumberFormat="1" applyFont="1" applyFill="1" applyBorder="1" applyAlignment="1">
      <alignment horizontal="right"/>
    </xf>
    <xf numFmtId="165" fontId="20" fillId="17" borderId="176" xfId="0" applyNumberFormat="1" applyFont="1" applyFill="1" applyBorder="1" applyAlignment="1">
      <alignment horizontal="right"/>
    </xf>
    <xf numFmtId="0" fontId="20" fillId="7" borderId="173" xfId="0" applyFont="1" applyFill="1" applyBorder="1"/>
    <xf numFmtId="164" fontId="20" fillId="17" borderId="173" xfId="0" applyNumberFormat="1" applyFont="1" applyFill="1" applyBorder="1" applyAlignment="1">
      <alignment horizontal="right" vertical="center"/>
    </xf>
    <xf numFmtId="165" fontId="20" fillId="19" borderId="176" xfId="0" applyNumberFormat="1" applyFont="1" applyFill="1" applyBorder="1"/>
    <xf numFmtId="165" fontId="20" fillId="18" borderId="176" xfId="0" applyNumberFormat="1" applyFont="1" applyFill="1" applyBorder="1"/>
    <xf numFmtId="165" fontId="20" fillId="17" borderId="176" xfId="0" applyNumberFormat="1" applyFont="1" applyFill="1" applyBorder="1"/>
    <xf numFmtId="164" fontId="19" fillId="0" borderId="178" xfId="0" applyNumberFormat="1" applyFont="1" applyBorder="1"/>
    <xf numFmtId="164" fontId="20" fillId="0" borderId="178" xfId="0" applyNumberFormat="1" applyFont="1" applyBorder="1"/>
    <xf numFmtId="164" fontId="20" fillId="17" borderId="178" xfId="0" applyNumberFormat="1" applyFont="1" applyFill="1" applyBorder="1" applyAlignment="1">
      <alignment horizontal="right" vertical="center"/>
    </xf>
    <xf numFmtId="0" fontId="20" fillId="21" borderId="167" xfId="0" applyFont="1" applyFill="1" applyBorder="1"/>
    <xf numFmtId="164" fontId="18" fillId="19" borderId="167" xfId="0" applyNumberFormat="1" applyFont="1" applyFill="1" applyBorder="1" applyAlignment="1">
      <alignment horizontal="right"/>
    </xf>
    <xf numFmtId="3" fontId="20" fillId="0" borderId="176" xfId="0" applyNumberFormat="1" applyFont="1" applyBorder="1" applyAlignment="1">
      <alignment horizontal="right"/>
    </xf>
    <xf numFmtId="164" fontId="18" fillId="19" borderId="178" xfId="0" applyNumberFormat="1" applyFont="1" applyFill="1" applyBorder="1" applyAlignment="1">
      <alignment horizontal="right"/>
    </xf>
    <xf numFmtId="164" fontId="20" fillId="20" borderId="181" xfId="0" applyNumberFormat="1" applyFont="1" applyFill="1" applyBorder="1"/>
    <xf numFmtId="3" fontId="19" fillId="0" borderId="176" xfId="0" applyNumberFormat="1" applyFont="1" applyBorder="1" applyAlignment="1">
      <alignment horizontal="right"/>
    </xf>
    <xf numFmtId="3" fontId="19" fillId="0" borderId="172" xfId="0" applyNumberFormat="1" applyFont="1" applyBorder="1" applyAlignment="1">
      <alignment horizontal="right"/>
    </xf>
    <xf numFmtId="164" fontId="20" fillId="20" borderId="173" xfId="0" applyNumberFormat="1" applyFont="1" applyFill="1" applyBorder="1"/>
    <xf numFmtId="3" fontId="20" fillId="20" borderId="178" xfId="0" applyNumberFormat="1" applyFont="1" applyFill="1" applyBorder="1"/>
    <xf numFmtId="3" fontId="20" fillId="20" borderId="176" xfId="0" applyNumberFormat="1" applyFont="1" applyFill="1" applyBorder="1"/>
    <xf numFmtId="3" fontId="20" fillId="20" borderId="172" xfId="0" applyNumberFormat="1" applyFont="1" applyFill="1" applyBorder="1"/>
    <xf numFmtId="3" fontId="19" fillId="0" borderId="170" xfId="0" applyNumberFormat="1" applyFont="1" applyBorder="1"/>
    <xf numFmtId="0" fontId="11" fillId="6" borderId="151" xfId="0" applyFont="1" applyFill="1" applyBorder="1" applyAlignment="1">
      <alignment horizontal="center" vertical="center"/>
    </xf>
    <xf numFmtId="0" fontId="19" fillId="7" borderId="170" xfId="0" applyFont="1" applyFill="1" applyBorder="1"/>
    <xf numFmtId="0" fontId="19" fillId="7" borderId="171" xfId="0" applyFont="1" applyFill="1" applyBorder="1"/>
    <xf numFmtId="0" fontId="19" fillId="7" borderId="181" xfId="0" applyFont="1" applyFill="1" applyBorder="1"/>
    <xf numFmtId="0" fontId="19" fillId="7" borderId="194" xfId="0" applyFont="1" applyFill="1" applyBorder="1"/>
    <xf numFmtId="0" fontId="19" fillId="7" borderId="172" xfId="0" applyFont="1" applyFill="1" applyBorder="1"/>
    <xf numFmtId="0" fontId="19" fillId="7" borderId="167" xfId="0" applyFont="1" applyFill="1" applyBorder="1"/>
    <xf numFmtId="2" fontId="22" fillId="7" borderId="170" xfId="0" applyNumberFormat="1" applyFont="1" applyFill="1" applyBorder="1"/>
    <xf numFmtId="2" fontId="22" fillId="7" borderId="171" xfId="0" applyNumberFormat="1" applyFont="1" applyFill="1" applyBorder="1"/>
    <xf numFmtId="165" fontId="19" fillId="0" borderId="178" xfId="0" applyNumberFormat="1" applyFont="1" applyBorder="1"/>
    <xf numFmtId="0" fontId="11" fillId="6" borderId="223" xfId="0" applyFont="1" applyFill="1" applyBorder="1" applyAlignment="1">
      <alignment horizontal="center" vertical="center"/>
    </xf>
    <xf numFmtId="165" fontId="18" fillId="19" borderId="176" xfId="0" applyNumberFormat="1" applyFont="1" applyFill="1" applyBorder="1"/>
    <xf numFmtId="2" fontId="22" fillId="7" borderId="172" xfId="0" applyNumberFormat="1" applyFont="1" applyFill="1" applyBorder="1"/>
    <xf numFmtId="0" fontId="17" fillId="0" borderId="126" xfId="0" applyFont="1" applyBorder="1" applyAlignment="1">
      <alignment horizontal="left" vertical="center"/>
    </xf>
    <xf numFmtId="0" fontId="19" fillId="0" borderId="58" xfId="0" applyFont="1" applyBorder="1" applyAlignment="1">
      <alignment horizontal="center"/>
    </xf>
    <xf numFmtId="0" fontId="20" fillId="0" borderId="227" xfId="0" applyFont="1" applyBorder="1"/>
    <xf numFmtId="0" fontId="20" fillId="0" borderId="59" xfId="0" applyFont="1" applyBorder="1" applyAlignment="1">
      <alignment horizontal="center"/>
    </xf>
    <xf numFmtId="165" fontId="20" fillId="17" borderId="33" xfId="0" applyNumberFormat="1" applyFont="1" applyFill="1" applyBorder="1" applyAlignment="1">
      <alignment horizontal="right"/>
    </xf>
    <xf numFmtId="165" fontId="20" fillId="17" borderId="34" xfId="0" applyNumberFormat="1" applyFont="1" applyFill="1" applyBorder="1" applyAlignment="1">
      <alignment horizontal="right"/>
    </xf>
    <xf numFmtId="3" fontId="19" fillId="0" borderId="32" xfId="0" applyNumberFormat="1" applyFont="1" applyBorder="1" applyAlignment="1">
      <alignment horizontal="right"/>
    </xf>
    <xf numFmtId="0" fontId="19" fillId="0" borderId="162" xfId="0" applyFont="1" applyBorder="1"/>
    <xf numFmtId="165" fontId="20" fillId="19" borderId="33" xfId="0" applyNumberFormat="1" applyFont="1" applyFill="1" applyBorder="1" applyAlignment="1">
      <alignment horizontal="right"/>
    </xf>
    <xf numFmtId="165" fontId="20" fillId="18" borderId="33" xfId="0" applyNumberFormat="1" applyFont="1" applyFill="1" applyBorder="1" applyAlignment="1">
      <alignment horizontal="right"/>
    </xf>
    <xf numFmtId="165" fontId="20" fillId="18" borderId="34" xfId="0" applyNumberFormat="1" applyFont="1" applyFill="1" applyBorder="1" applyAlignment="1">
      <alignment horizontal="right"/>
    </xf>
    <xf numFmtId="0" fontId="19" fillId="0" borderId="58" xfId="0" applyFont="1" applyBorder="1" applyAlignment="1">
      <alignment horizontal="right"/>
    </xf>
    <xf numFmtId="165" fontId="20" fillId="19" borderId="34" xfId="0" applyNumberFormat="1" applyFont="1" applyFill="1" applyBorder="1" applyAlignment="1">
      <alignment horizontal="right"/>
    </xf>
    <xf numFmtId="0" fontId="20" fillId="0" borderId="54" xfId="0" applyFont="1" applyBorder="1" applyAlignment="1">
      <alignment horizontal="center"/>
    </xf>
    <xf numFmtId="3" fontId="19" fillId="0" borderId="27" xfId="0" applyNumberFormat="1" applyFont="1" applyBorder="1"/>
    <xf numFmtId="3" fontId="20" fillId="0" borderId="229" xfId="0" applyNumberFormat="1" applyFont="1" applyBorder="1"/>
    <xf numFmtId="165" fontId="20" fillId="0" borderId="230" xfId="0" applyNumberFormat="1" applyFont="1" applyBorder="1"/>
    <xf numFmtId="165" fontId="20" fillId="18" borderId="230" xfId="0" applyNumberFormat="1" applyFont="1" applyFill="1" applyBorder="1"/>
    <xf numFmtId="165" fontId="20" fillId="18" borderId="231" xfId="0" applyNumberFormat="1" applyFont="1" applyFill="1" applyBorder="1"/>
    <xf numFmtId="165" fontId="20" fillId="18" borderId="142" xfId="0" applyNumberFormat="1" applyFont="1" applyFill="1" applyBorder="1" applyAlignment="1">
      <alignment horizontal="right"/>
    </xf>
    <xf numFmtId="165" fontId="20" fillId="18" borderId="143" xfId="0" applyNumberFormat="1" applyFont="1" applyFill="1" applyBorder="1" applyAlignment="1">
      <alignment horizontal="right"/>
    </xf>
    <xf numFmtId="0" fontId="20" fillId="7" borderId="178" xfId="0" applyFont="1" applyFill="1" applyBorder="1"/>
    <xf numFmtId="164" fontId="20" fillId="18" borderId="178" xfId="3" applyNumberFormat="1" applyFont="1" applyFill="1" applyBorder="1" applyAlignment="1">
      <alignment horizontal="right" vertical="center"/>
    </xf>
    <xf numFmtId="164" fontId="20" fillId="17" borderId="178" xfId="3" applyNumberFormat="1" applyFont="1" applyFill="1" applyBorder="1" applyAlignment="1">
      <alignment horizontal="right" vertical="center"/>
    </xf>
    <xf numFmtId="0" fontId="20" fillId="7" borderId="176" xfId="0" applyFont="1" applyFill="1" applyBorder="1"/>
    <xf numFmtId="164" fontId="20" fillId="19" borderId="176" xfId="3" applyNumberFormat="1" applyFont="1" applyFill="1" applyBorder="1" applyAlignment="1">
      <alignment horizontal="right" vertical="center"/>
    </xf>
    <xf numFmtId="165" fontId="18" fillId="20" borderId="176" xfId="0" applyNumberFormat="1" applyFont="1" applyFill="1" applyBorder="1"/>
    <xf numFmtId="165" fontId="20" fillId="20" borderId="176" xfId="0" applyNumberFormat="1" applyFont="1" applyFill="1" applyBorder="1"/>
    <xf numFmtId="165" fontId="20" fillId="17" borderId="178" xfId="0" applyNumberFormat="1" applyFont="1" applyFill="1" applyBorder="1"/>
    <xf numFmtId="0" fontId="19" fillId="0" borderId="183" xfId="0" applyFont="1" applyBorder="1"/>
    <xf numFmtId="0" fontId="20" fillId="0" borderId="171" xfId="0" applyFont="1" applyBorder="1"/>
    <xf numFmtId="3" fontId="19" fillId="0" borderId="183" xfId="0" applyNumberFormat="1" applyFont="1" applyBorder="1"/>
    <xf numFmtId="3" fontId="20" fillId="0" borderId="183" xfId="0" applyNumberFormat="1" applyFont="1" applyBorder="1"/>
    <xf numFmtId="3" fontId="19" fillId="0" borderId="190" xfId="0" applyNumberFormat="1" applyFont="1" applyBorder="1"/>
    <xf numFmtId="3" fontId="19" fillId="0" borderId="189" xfId="0" applyNumberFormat="1" applyFont="1" applyBorder="1"/>
    <xf numFmtId="3" fontId="20" fillId="0" borderId="190" xfId="0" applyNumberFormat="1" applyFont="1" applyBorder="1"/>
    <xf numFmtId="0" fontId="20" fillId="0" borderId="194" xfId="0" applyFont="1" applyBorder="1"/>
    <xf numFmtId="0" fontId="19" fillId="0" borderId="190" xfId="0" applyFont="1" applyBorder="1"/>
    <xf numFmtId="0" fontId="20" fillId="0" borderId="170" xfId="0" applyFont="1" applyBorder="1"/>
    <xf numFmtId="2" fontId="22" fillId="0" borderId="0" xfId="0" applyNumberFormat="1" applyFont="1"/>
    <xf numFmtId="3" fontId="20" fillId="20" borderId="170" xfId="0" applyNumberFormat="1" applyFont="1" applyFill="1" applyBorder="1"/>
    <xf numFmtId="164" fontId="20" fillId="20" borderId="178" xfId="0" applyNumberFormat="1" applyFont="1" applyFill="1" applyBorder="1"/>
    <xf numFmtId="164" fontId="20" fillId="20" borderId="170" xfId="0" applyNumberFormat="1" applyFont="1" applyFill="1" applyBorder="1"/>
    <xf numFmtId="164" fontId="20" fillId="0" borderId="171" xfId="0" applyNumberFormat="1" applyFont="1" applyBorder="1"/>
    <xf numFmtId="164" fontId="20" fillId="20" borderId="171" xfId="0" applyNumberFormat="1" applyFont="1" applyFill="1" applyBorder="1"/>
    <xf numFmtId="0" fontId="11" fillId="6" borderId="56" xfId="0" applyFont="1" applyFill="1" applyBorder="1" applyAlignment="1">
      <alignment horizontal="center"/>
    </xf>
    <xf numFmtId="3" fontId="20" fillId="19" borderId="167" xfId="0" applyNumberFormat="1" applyFont="1" applyFill="1" applyBorder="1"/>
    <xf numFmtId="165" fontId="20" fillId="0" borderId="170" xfId="0" applyNumberFormat="1" applyFont="1" applyBorder="1"/>
    <xf numFmtId="164" fontId="20" fillId="19" borderId="176" xfId="0" applyNumberFormat="1" applyFont="1" applyFill="1" applyBorder="1"/>
    <xf numFmtId="0" fontId="20" fillId="0" borderId="180" xfId="0" applyFont="1" applyBorder="1"/>
    <xf numFmtId="2" fontId="15" fillId="7" borderId="167" xfId="2" applyNumberFormat="1" applyFont="1" applyFill="1" applyBorder="1"/>
    <xf numFmtId="0" fontId="11" fillId="6" borderId="180" xfId="0" applyFont="1" applyFill="1" applyBorder="1" applyAlignment="1">
      <alignment horizontal="center"/>
    </xf>
    <xf numFmtId="166" fontId="18" fillId="19" borderId="176" xfId="2" applyNumberFormat="1" applyFont="1" applyFill="1" applyBorder="1"/>
    <xf numFmtId="164" fontId="19" fillId="0" borderId="167" xfId="0" applyNumberFormat="1" applyFont="1" applyBorder="1" applyAlignment="1">
      <alignment horizontal="right" vertical="center"/>
    </xf>
    <xf numFmtId="43" fontId="18" fillId="7" borderId="178" xfId="2" applyFont="1" applyFill="1" applyBorder="1"/>
    <xf numFmtId="3" fontId="18" fillId="0" borderId="178" xfId="0" applyNumberFormat="1" applyFont="1" applyBorder="1" applyAlignment="1">
      <alignment horizontal="right" vertical="center"/>
    </xf>
    <xf numFmtId="3" fontId="20" fillId="0" borderId="178" xfId="0" applyNumberFormat="1" applyFont="1" applyBorder="1" applyAlignment="1">
      <alignment horizontal="right" vertical="center"/>
    </xf>
    <xf numFmtId="0" fontId="19" fillId="0" borderId="178" xfId="0" applyFont="1" applyBorder="1" applyAlignment="1">
      <alignment horizontal="right"/>
    </xf>
    <xf numFmtId="0" fontId="20" fillId="7" borderId="177" xfId="0" applyFont="1" applyFill="1" applyBorder="1"/>
    <xf numFmtId="0" fontId="20" fillId="7" borderId="174" xfId="0" applyFont="1" applyFill="1" applyBorder="1"/>
    <xf numFmtId="0" fontId="20" fillId="7" borderId="175" xfId="0" applyFont="1" applyFill="1" applyBorder="1"/>
    <xf numFmtId="164" fontId="20" fillId="0" borderId="180" xfId="0" applyNumberFormat="1" applyFont="1" applyBorder="1" applyAlignment="1">
      <alignment horizontal="right"/>
    </xf>
    <xf numFmtId="164" fontId="24" fillId="16" borderId="180" xfId="5" applyNumberFormat="1" applyFont="1" applyBorder="1" applyAlignment="1">
      <alignment horizontal="right" vertical="center"/>
    </xf>
    <xf numFmtId="43" fontId="23" fillId="7" borderId="180" xfId="2" applyFont="1" applyFill="1" applyBorder="1"/>
    <xf numFmtId="164" fontId="20" fillId="19" borderId="180" xfId="0" applyNumberFormat="1" applyFont="1" applyFill="1" applyBorder="1"/>
    <xf numFmtId="0" fontId="20" fillId="0" borderId="181" xfId="0" applyFont="1" applyBorder="1"/>
    <xf numFmtId="2" fontId="18" fillId="7" borderId="173" xfId="2" applyNumberFormat="1" applyFont="1" applyFill="1" applyBorder="1"/>
    <xf numFmtId="0" fontId="25" fillId="0" borderId="167" xfId="0" applyFont="1" applyBorder="1" applyAlignment="1">
      <alignment vertical="center"/>
    </xf>
    <xf numFmtId="164" fontId="20" fillId="19" borderId="180" xfId="3" applyNumberFormat="1" applyFont="1" applyFill="1" applyBorder="1" applyAlignment="1">
      <alignment horizontal="right" vertical="center"/>
    </xf>
    <xf numFmtId="164" fontId="20" fillId="19" borderId="180" xfId="0" applyNumberFormat="1" applyFont="1" applyFill="1" applyBorder="1" applyAlignment="1">
      <alignment horizontal="right" vertical="center"/>
    </xf>
    <xf numFmtId="0" fontId="20" fillId="7" borderId="180" xfId="0" applyFont="1" applyFill="1" applyBorder="1"/>
    <xf numFmtId="1" fontId="19" fillId="0" borderId="167" xfId="0" applyNumberFormat="1" applyFont="1" applyBorder="1"/>
    <xf numFmtId="1" fontId="20" fillId="0" borderId="178" xfId="0" applyNumberFormat="1" applyFont="1" applyBorder="1"/>
    <xf numFmtId="3" fontId="19" fillId="0" borderId="180" xfId="0" applyNumberFormat="1" applyFont="1" applyBorder="1"/>
    <xf numFmtId="165" fontId="20" fillId="19" borderId="180" xfId="0" applyNumberFormat="1" applyFont="1" applyFill="1" applyBorder="1"/>
    <xf numFmtId="0" fontId="11" fillId="6" borderId="221" xfId="0" applyFont="1" applyFill="1" applyBorder="1" applyAlignment="1">
      <alignment horizontal="center"/>
    </xf>
    <xf numFmtId="3" fontId="18" fillId="19" borderId="167" xfId="0" applyNumberFormat="1" applyFont="1" applyFill="1" applyBorder="1"/>
    <xf numFmtId="164" fontId="18" fillId="19" borderId="167" xfId="0" applyNumberFormat="1" applyFont="1" applyFill="1" applyBorder="1"/>
    <xf numFmtId="3" fontId="18" fillId="19" borderId="171" xfId="0" applyNumberFormat="1" applyFont="1" applyFill="1" applyBorder="1"/>
    <xf numFmtId="164" fontId="18" fillId="19" borderId="176" xfId="0" applyNumberFormat="1" applyFont="1" applyFill="1" applyBorder="1"/>
    <xf numFmtId="164" fontId="18" fillId="19" borderId="172" xfId="0" applyNumberFormat="1" applyFont="1" applyFill="1" applyBorder="1"/>
    <xf numFmtId="3" fontId="20" fillId="0" borderId="189" xfId="0" applyNumberFormat="1" applyFont="1" applyBorder="1" applyAlignment="1">
      <alignment horizontal="right"/>
    </xf>
    <xf numFmtId="3" fontId="19" fillId="0" borderId="183" xfId="0" applyNumberFormat="1" applyFont="1" applyBorder="1" applyAlignment="1">
      <alignment horizontal="right"/>
    </xf>
    <xf numFmtId="3" fontId="18" fillId="19" borderId="183" xfId="0" applyNumberFormat="1" applyFont="1" applyFill="1" applyBorder="1"/>
    <xf numFmtId="164" fontId="18" fillId="19" borderId="190" xfId="0" applyNumberFormat="1" applyFont="1" applyFill="1" applyBorder="1"/>
    <xf numFmtId="3" fontId="19" fillId="0" borderId="180" xfId="0" applyNumberFormat="1" applyFont="1" applyBorder="1" applyAlignment="1">
      <alignment horizontal="right"/>
    </xf>
    <xf numFmtId="3" fontId="19" fillId="0" borderId="181" xfId="0" applyNumberFormat="1" applyFont="1" applyBorder="1" applyAlignment="1">
      <alignment horizontal="right"/>
    </xf>
    <xf numFmtId="3" fontId="18" fillId="19" borderId="189" xfId="0" applyNumberFormat="1" applyFont="1" applyFill="1" applyBorder="1"/>
    <xf numFmtId="3" fontId="18" fillId="19" borderId="178" xfId="0" applyNumberFormat="1" applyFont="1" applyFill="1" applyBorder="1"/>
    <xf numFmtId="3" fontId="18" fillId="19" borderId="170" xfId="0" applyNumberFormat="1" applyFont="1" applyFill="1" applyBorder="1"/>
    <xf numFmtId="164" fontId="18" fillId="19" borderId="196" xfId="0" applyNumberFormat="1" applyFont="1" applyFill="1" applyBorder="1"/>
    <xf numFmtId="164" fontId="18" fillId="19" borderId="180" xfId="0" applyNumberFormat="1" applyFont="1" applyFill="1" applyBorder="1"/>
    <xf numFmtId="164" fontId="18" fillId="19" borderId="181" xfId="0" applyNumberFormat="1" applyFont="1" applyFill="1" applyBorder="1"/>
    <xf numFmtId="0" fontId="11" fillId="6" borderId="169" xfId="0" applyFont="1" applyFill="1" applyBorder="1" applyAlignment="1">
      <alignment horizontal="center"/>
    </xf>
    <xf numFmtId="0" fontId="19" fillId="0" borderId="176" xfId="0" applyFont="1" applyBorder="1" applyAlignment="1">
      <alignment horizontal="right"/>
    </xf>
    <xf numFmtId="3" fontId="18" fillId="19" borderId="176" xfId="0" applyNumberFormat="1" applyFont="1" applyFill="1" applyBorder="1"/>
    <xf numFmtId="3" fontId="18" fillId="19" borderId="172" xfId="0" applyNumberFormat="1" applyFont="1" applyFill="1" applyBorder="1"/>
    <xf numFmtId="164" fontId="18" fillId="19" borderId="178" xfId="0" applyNumberFormat="1" applyFont="1" applyFill="1" applyBorder="1"/>
    <xf numFmtId="164" fontId="18" fillId="19" borderId="170" xfId="0" applyNumberFormat="1" applyFont="1" applyFill="1" applyBorder="1"/>
    <xf numFmtId="164" fontId="18" fillId="19" borderId="171" xfId="0" applyNumberFormat="1" applyFont="1" applyFill="1" applyBorder="1"/>
    <xf numFmtId="0" fontId="19" fillId="0" borderId="190" xfId="0" applyFont="1" applyBorder="1" applyAlignment="1">
      <alignment horizontal="right"/>
    </xf>
    <xf numFmtId="0" fontId="18" fillId="0" borderId="170" xfId="1" applyFont="1" applyBorder="1" applyAlignment="1">
      <alignment horizontal="center" vertical="top" wrapText="1"/>
    </xf>
    <xf numFmtId="0" fontId="15" fillId="0" borderId="171" xfId="1" applyFont="1" applyBorder="1" applyAlignment="1">
      <alignment horizontal="center" vertical="top" wrapText="1"/>
    </xf>
    <xf numFmtId="0" fontId="15" fillId="0" borderId="172" xfId="1" applyFont="1" applyBorder="1" applyAlignment="1">
      <alignment horizontal="center" vertical="top" wrapText="1"/>
    </xf>
    <xf numFmtId="3" fontId="18" fillId="19" borderId="190" xfId="0" applyNumberFormat="1" applyFont="1" applyFill="1" applyBorder="1"/>
    <xf numFmtId="0" fontId="18" fillId="0" borderId="171" xfId="1" applyFont="1" applyBorder="1" applyAlignment="1">
      <alignment horizontal="center" vertical="top" wrapText="1"/>
    </xf>
    <xf numFmtId="0" fontId="18" fillId="0" borderId="172" xfId="1" applyFont="1" applyBorder="1" applyAlignment="1">
      <alignment horizontal="center" vertical="top" wrapText="1"/>
    </xf>
    <xf numFmtId="164" fontId="18" fillId="19" borderId="189" xfId="0" applyNumberFormat="1" applyFont="1" applyFill="1" applyBorder="1"/>
    <xf numFmtId="164" fontId="20" fillId="0" borderId="183" xfId="0" applyNumberFormat="1" applyFont="1" applyBorder="1"/>
    <xf numFmtId="164" fontId="18" fillId="19" borderId="183" xfId="0" applyNumberFormat="1" applyFont="1" applyFill="1" applyBorder="1"/>
    <xf numFmtId="3" fontId="20" fillId="0" borderId="177" xfId="0" applyNumberFormat="1" applyFont="1" applyBorder="1"/>
    <xf numFmtId="3" fontId="19" fillId="0" borderId="174" xfId="0" applyNumberFormat="1" applyFont="1" applyBorder="1" applyAlignment="1">
      <alignment horizontal="right"/>
    </xf>
    <xf numFmtId="3" fontId="20" fillId="0" borderId="174" xfId="0" applyNumberFormat="1" applyFont="1" applyBorder="1"/>
    <xf numFmtId="164" fontId="20" fillId="0" borderId="175" xfId="0" applyNumberFormat="1" applyFont="1" applyBorder="1"/>
    <xf numFmtId="164" fontId="31" fillId="0" borderId="176" xfId="0" applyNumberFormat="1" applyFont="1" applyBorder="1"/>
    <xf numFmtId="164" fontId="31" fillId="0" borderId="172" xfId="0" applyNumberFormat="1" applyFont="1" applyBorder="1"/>
    <xf numFmtId="0" fontId="19" fillId="0" borderId="167" xfId="0" applyFont="1" applyBorder="1" applyAlignment="1">
      <alignment wrapText="1"/>
    </xf>
    <xf numFmtId="3" fontId="19" fillId="0" borderId="167" xfId="0" applyNumberFormat="1" applyFont="1" applyBorder="1" applyAlignment="1">
      <alignment wrapText="1"/>
    </xf>
    <xf numFmtId="3" fontId="19" fillId="0" borderId="183" xfId="0" applyNumberFormat="1" applyFont="1" applyBorder="1" applyAlignment="1">
      <alignment horizontal="center"/>
    </xf>
    <xf numFmtId="0" fontId="21" fillId="0" borderId="170" xfId="0" applyFont="1" applyBorder="1" applyAlignment="1">
      <alignment horizontal="left" vertical="center" wrapText="1"/>
    </xf>
    <xf numFmtId="0" fontId="19" fillId="0" borderId="171" xfId="0" applyFont="1" applyBorder="1" applyAlignment="1">
      <alignment wrapText="1"/>
    </xf>
    <xf numFmtId="0" fontId="17" fillId="0" borderId="171" xfId="0" applyFont="1" applyBorder="1" applyAlignment="1">
      <alignment horizontal="left" vertical="center" wrapText="1"/>
    </xf>
    <xf numFmtId="3" fontId="17" fillId="0" borderId="171" xfId="0" applyNumberFormat="1" applyFont="1" applyBorder="1" applyAlignment="1">
      <alignment horizontal="left" vertical="center" wrapText="1"/>
    </xf>
    <xf numFmtId="3" fontId="19" fillId="0" borderId="171" xfId="0" applyNumberFormat="1" applyFont="1" applyBorder="1" applyAlignment="1">
      <alignment wrapText="1"/>
    </xf>
    <xf numFmtId="0" fontId="11" fillId="6" borderId="52" xfId="0" applyFont="1" applyFill="1" applyBorder="1" applyAlignment="1">
      <alignment horizontal="center"/>
    </xf>
    <xf numFmtId="0" fontId="19" fillId="6" borderId="40" xfId="0" applyFont="1" applyFill="1" applyBorder="1"/>
    <xf numFmtId="0" fontId="11" fillId="6" borderId="238" xfId="0" applyFont="1" applyFill="1" applyBorder="1" applyAlignment="1">
      <alignment horizontal="center"/>
    </xf>
    <xf numFmtId="0" fontId="11" fillId="6" borderId="74" xfId="0" applyFont="1" applyFill="1" applyBorder="1"/>
    <xf numFmtId="0" fontId="19" fillId="6" borderId="28" xfId="0" applyFont="1" applyFill="1" applyBorder="1"/>
    <xf numFmtId="0" fontId="11" fillId="6" borderId="66" xfId="0" applyFont="1" applyFill="1" applyBorder="1"/>
    <xf numFmtId="0" fontId="18" fillId="0" borderId="167" xfId="0" applyFont="1" applyBorder="1" applyAlignment="1">
      <alignment wrapText="1"/>
    </xf>
    <xf numFmtId="165" fontId="17" fillId="23" borderId="170" xfId="0" applyNumberFormat="1" applyFont="1" applyFill="1" applyBorder="1"/>
    <xf numFmtId="165" fontId="19" fillId="7" borderId="171" xfId="0" applyNumberFormat="1" applyFont="1" applyFill="1" applyBorder="1"/>
    <xf numFmtId="0" fontId="18" fillId="0" borderId="176" xfId="0" applyFont="1" applyBorder="1" applyAlignment="1">
      <alignment wrapText="1"/>
    </xf>
    <xf numFmtId="0" fontId="19" fillId="0" borderId="196" xfId="0" applyFont="1" applyBorder="1" applyAlignment="1">
      <alignment horizontal="center"/>
    </xf>
    <xf numFmtId="165" fontId="21" fillId="0" borderId="194" xfId="0" applyNumberFormat="1" applyFont="1" applyBorder="1" applyAlignment="1">
      <alignment horizontal="right" vertical="center"/>
    </xf>
    <xf numFmtId="165" fontId="20" fillId="0" borderId="180" xfId="0" applyNumberFormat="1" applyFont="1" applyBorder="1"/>
    <xf numFmtId="0" fontId="11" fillId="6" borderId="240" xfId="0" applyFont="1" applyFill="1" applyBorder="1" applyAlignment="1">
      <alignment horizontal="center" vertical="center"/>
    </xf>
    <xf numFmtId="2" fontId="22" fillId="0" borderId="171" xfId="0" applyNumberFormat="1" applyFont="1" applyBorder="1"/>
    <xf numFmtId="164" fontId="18" fillId="19" borderId="176" xfId="2" applyNumberFormat="1" applyFont="1" applyFill="1" applyBorder="1"/>
    <xf numFmtId="0" fontId="20" fillId="0" borderId="167" xfId="0" applyFont="1" applyBorder="1" applyAlignment="1">
      <alignment horizontal="left" wrapText="1"/>
    </xf>
    <xf numFmtId="0" fontId="19" fillId="0" borderId="167" xfId="0" applyFont="1" applyBorder="1" applyAlignment="1">
      <alignment horizontal="left" wrapText="1"/>
    </xf>
    <xf numFmtId="0" fontId="20" fillId="0" borderId="173" xfId="0" applyFont="1" applyBorder="1" applyAlignment="1">
      <alignment horizontal="left" wrapText="1"/>
    </xf>
    <xf numFmtId="0" fontId="20" fillId="0" borderId="178" xfId="0" applyFont="1" applyBorder="1" applyAlignment="1">
      <alignment horizontal="left" wrapText="1"/>
    </xf>
    <xf numFmtId="0" fontId="19" fillId="0" borderId="176" xfId="0" applyFont="1" applyBorder="1" applyAlignment="1">
      <alignment horizontal="left" wrapText="1"/>
    </xf>
    <xf numFmtId="164" fontId="18" fillId="19" borderId="176" xfId="0" applyNumberFormat="1" applyFont="1" applyFill="1" applyBorder="1" applyAlignment="1">
      <alignment horizontal="right"/>
    </xf>
    <xf numFmtId="3" fontId="30" fillId="0" borderId="167" xfId="0" applyNumberFormat="1" applyFont="1" applyBorder="1"/>
    <xf numFmtId="0" fontId="19" fillId="0" borderId="180" xfId="0" applyFont="1" applyBorder="1" applyAlignment="1">
      <alignment horizontal="left" wrapText="1"/>
    </xf>
    <xf numFmtId="165" fontId="18" fillId="19" borderId="180" xfId="0" applyNumberFormat="1" applyFont="1" applyFill="1" applyBorder="1"/>
    <xf numFmtId="0" fontId="20" fillId="0" borderId="167" xfId="0" applyFont="1" applyBorder="1" applyAlignment="1">
      <alignment wrapText="1"/>
    </xf>
    <xf numFmtId="0" fontId="17" fillId="0" borderId="178" xfId="0" applyFont="1" applyBorder="1" applyAlignment="1">
      <alignment horizontal="left" vertical="center" wrapText="1"/>
    </xf>
    <xf numFmtId="0" fontId="20" fillId="0" borderId="176" xfId="0" applyFont="1" applyBorder="1" applyAlignment="1">
      <alignment wrapText="1"/>
    </xf>
    <xf numFmtId="0" fontId="20" fillId="0" borderId="180" xfId="0" applyFont="1" applyBorder="1" applyAlignment="1">
      <alignment wrapText="1"/>
    </xf>
    <xf numFmtId="165" fontId="20" fillId="18" borderId="180" xfId="0" applyNumberFormat="1" applyFont="1" applyFill="1" applyBorder="1"/>
    <xf numFmtId="3" fontId="20" fillId="0" borderId="180" xfId="0" applyNumberFormat="1" applyFont="1" applyBorder="1"/>
    <xf numFmtId="165" fontId="20" fillId="17" borderId="180" xfId="0" applyNumberFormat="1" applyFont="1" applyFill="1" applyBorder="1"/>
    <xf numFmtId="0" fontId="20" fillId="7" borderId="167" xfId="0" applyFont="1" applyFill="1" applyBorder="1" applyAlignment="1">
      <alignment wrapText="1"/>
    </xf>
    <xf numFmtId="0" fontId="20" fillId="7" borderId="178" xfId="0" applyFont="1" applyFill="1" applyBorder="1" applyAlignment="1">
      <alignment wrapText="1"/>
    </xf>
    <xf numFmtId="0" fontId="20" fillId="7" borderId="180" xfId="0" applyFont="1" applyFill="1" applyBorder="1" applyAlignment="1">
      <alignment wrapText="1"/>
    </xf>
    <xf numFmtId="0" fontId="20" fillId="21" borderId="173" xfId="0" applyFont="1" applyFill="1" applyBorder="1"/>
    <xf numFmtId="1" fontId="20" fillId="0" borderId="173" xfId="0" applyNumberFormat="1" applyFont="1" applyBorder="1"/>
    <xf numFmtId="0" fontId="19" fillId="0" borderId="173" xfId="0" applyFont="1" applyBorder="1" applyAlignment="1">
      <alignment wrapText="1"/>
    </xf>
    <xf numFmtId="0" fontId="19" fillId="0" borderId="199" xfId="0" applyFont="1" applyBorder="1"/>
    <xf numFmtId="3" fontId="19" fillId="0" borderId="199" xfId="0" applyNumberFormat="1" applyFont="1" applyBorder="1"/>
    <xf numFmtId="0" fontId="19" fillId="0" borderId="178" xfId="0" applyFont="1" applyBorder="1" applyAlignment="1">
      <alignment wrapText="1"/>
    </xf>
    <xf numFmtId="0" fontId="19" fillId="0" borderId="176" xfId="0" applyFont="1" applyBorder="1" applyAlignment="1">
      <alignment wrapText="1"/>
    </xf>
    <xf numFmtId="0" fontId="20" fillId="0" borderId="178" xfId="0" applyFont="1" applyBorder="1" applyAlignment="1">
      <alignment wrapText="1"/>
    </xf>
    <xf numFmtId="164" fontId="18" fillId="19" borderId="180" xfId="0" applyNumberFormat="1" applyFont="1" applyFill="1" applyBorder="1" applyAlignment="1">
      <alignment horizontal="right"/>
    </xf>
    <xf numFmtId="165" fontId="18" fillId="24" borderId="180" xfId="0" applyNumberFormat="1" applyFont="1" applyFill="1" applyBorder="1"/>
    <xf numFmtId="0" fontId="15" fillId="0" borderId="180" xfId="1" applyFont="1" applyBorder="1" applyAlignment="1">
      <alignment horizontal="center" vertical="top" wrapText="1"/>
    </xf>
    <xf numFmtId="0" fontId="19" fillId="0" borderId="180" xfId="0" applyFont="1" applyBorder="1" applyAlignment="1">
      <alignment horizontal="right"/>
    </xf>
    <xf numFmtId="0" fontId="18" fillId="0" borderId="180" xfId="1" applyFont="1" applyBorder="1" applyAlignment="1">
      <alignment horizontal="center" vertical="top" wrapText="1"/>
    </xf>
    <xf numFmtId="3" fontId="18" fillId="19" borderId="180" xfId="0" applyNumberFormat="1" applyFont="1" applyFill="1" applyBorder="1"/>
    <xf numFmtId="3" fontId="18" fillId="19" borderId="181" xfId="0" applyNumberFormat="1" applyFont="1" applyFill="1" applyBorder="1"/>
    <xf numFmtId="164" fontId="32" fillId="0" borderId="181" xfId="0" applyNumberFormat="1" applyFont="1" applyBorder="1"/>
    <xf numFmtId="0" fontId="11" fillId="6" borderId="167" xfId="0" applyFont="1" applyFill="1" applyBorder="1" applyAlignment="1">
      <alignment horizontal="center" wrapText="1"/>
    </xf>
    <xf numFmtId="0" fontId="11" fillId="6" borderId="180" xfId="0" applyFont="1" applyFill="1" applyBorder="1" applyAlignment="1">
      <alignment horizontal="center" wrapText="1"/>
    </xf>
    <xf numFmtId="0" fontId="11" fillId="6" borderId="5" xfId="0" applyFont="1" applyFill="1" applyBorder="1" applyAlignment="1">
      <alignment horizontal="center" wrapText="1"/>
    </xf>
    <xf numFmtId="0" fontId="19" fillId="6" borderId="180" xfId="0" applyFont="1" applyFill="1" applyBorder="1"/>
    <xf numFmtId="0" fontId="11" fillId="6" borderId="180" xfId="0" applyFont="1" applyFill="1" applyBorder="1"/>
    <xf numFmtId="3" fontId="19" fillId="0" borderId="173" xfId="0" applyNumberFormat="1" applyFont="1" applyBorder="1" applyAlignment="1">
      <alignment horizontal="center"/>
    </xf>
    <xf numFmtId="3" fontId="19" fillId="0" borderId="176" xfId="0" applyNumberFormat="1" applyFont="1" applyBorder="1" applyAlignment="1">
      <alignment horizontal="center"/>
    </xf>
    <xf numFmtId="165" fontId="19" fillId="17" borderId="180" xfId="0" applyNumberFormat="1" applyFont="1" applyFill="1" applyBorder="1" applyAlignment="1">
      <alignment horizontal="right"/>
    </xf>
    <xf numFmtId="164" fontId="20" fillId="17" borderId="178" xfId="0" applyNumberFormat="1" applyFont="1" applyFill="1" applyBorder="1"/>
    <xf numFmtId="164" fontId="20" fillId="17" borderId="178" xfId="3" applyNumberFormat="1" applyFont="1" applyFill="1" applyBorder="1"/>
    <xf numFmtId="0" fontId="11" fillId="6" borderId="177" xfId="0" applyFont="1" applyFill="1" applyBorder="1" applyAlignment="1">
      <alignment horizontal="center" wrapText="1"/>
    </xf>
    <xf numFmtId="0" fontId="11" fillId="6" borderId="170" xfId="0" applyFont="1" applyFill="1" applyBorder="1" applyAlignment="1">
      <alignment horizontal="center" vertical="center"/>
    </xf>
    <xf numFmtId="164" fontId="19" fillId="0" borderId="180" xfId="0" applyNumberFormat="1" applyFont="1" applyBorder="1"/>
    <xf numFmtId="0" fontId="11" fillId="6" borderId="191" xfId="0" applyFont="1" applyFill="1" applyBorder="1" applyAlignment="1">
      <alignment horizontal="center" wrapText="1"/>
    </xf>
    <xf numFmtId="166" fontId="18" fillId="19" borderId="180" xfId="2" applyNumberFormat="1" applyFont="1" applyFill="1" applyBorder="1"/>
    <xf numFmtId="164" fontId="18" fillId="19" borderId="180" xfId="2" applyNumberFormat="1" applyFont="1" applyFill="1" applyBorder="1"/>
    <xf numFmtId="43" fontId="26" fillId="7" borderId="180" xfId="2" applyFont="1" applyFill="1" applyBorder="1"/>
    <xf numFmtId="0" fontId="33" fillId="2" borderId="13" xfId="1" applyFont="1" applyFill="1" applyBorder="1" applyAlignment="1">
      <alignment horizontal="center" vertical="center"/>
    </xf>
    <xf numFmtId="0" fontId="19" fillId="0" borderId="12" xfId="0" applyFont="1" applyBorder="1"/>
    <xf numFmtId="0" fontId="34" fillId="5" borderId="14" xfId="1" applyFont="1" applyFill="1" applyBorder="1" applyAlignment="1">
      <alignment horizontal="center" vertical="center"/>
    </xf>
    <xf numFmtId="0" fontId="19" fillId="0" borderId="11" xfId="0" applyFont="1" applyBorder="1"/>
    <xf numFmtId="0" fontId="33" fillId="2" borderId="205" xfId="1" applyFont="1" applyFill="1" applyBorder="1" applyAlignment="1">
      <alignment horizontal="center" vertical="center"/>
    </xf>
    <xf numFmtId="3" fontId="35" fillId="0" borderId="0" xfId="0" applyNumberFormat="1" applyFont="1"/>
    <xf numFmtId="165" fontId="19" fillId="0" borderId="0" xfId="0" applyNumberFormat="1" applyFont="1"/>
    <xf numFmtId="165" fontId="18" fillId="25" borderId="180" xfId="0" applyNumberFormat="1" applyFont="1" applyFill="1" applyBorder="1"/>
    <xf numFmtId="0" fontId="17" fillId="7" borderId="178" xfId="0" applyFont="1" applyFill="1" applyBorder="1" applyAlignment="1">
      <alignment horizontal="left" vertical="center"/>
    </xf>
    <xf numFmtId="164" fontId="20" fillId="7" borderId="176" xfId="0" applyNumberFormat="1" applyFont="1" applyFill="1" applyBorder="1" applyAlignment="1">
      <alignment horizontal="center"/>
    </xf>
    <xf numFmtId="164" fontId="20" fillId="7" borderId="176" xfId="0" applyNumberFormat="1" applyFont="1" applyFill="1" applyBorder="1"/>
    <xf numFmtId="164" fontId="20" fillId="7" borderId="172" xfId="0" applyNumberFormat="1" applyFont="1" applyFill="1" applyBorder="1"/>
    <xf numFmtId="164" fontId="20" fillId="7" borderId="167" xfId="0" applyNumberFormat="1" applyFont="1" applyFill="1" applyBorder="1"/>
    <xf numFmtId="164" fontId="20" fillId="7" borderId="171" xfId="0" applyNumberFormat="1" applyFont="1" applyFill="1" applyBorder="1"/>
    <xf numFmtId="1" fontId="20" fillId="7" borderId="235" xfId="0" applyNumberFormat="1" applyFont="1" applyFill="1" applyBorder="1" applyAlignment="1">
      <alignment horizontal="center"/>
    </xf>
    <xf numFmtId="1" fontId="20" fillId="7" borderId="235" xfId="0" applyNumberFormat="1" applyFont="1" applyFill="1" applyBorder="1"/>
    <xf numFmtId="1" fontId="20" fillId="7" borderId="223" xfId="0" applyNumberFormat="1" applyFont="1" applyFill="1" applyBorder="1"/>
    <xf numFmtId="1" fontId="20" fillId="7" borderId="180" xfId="0" applyNumberFormat="1" applyFont="1" applyFill="1" applyBorder="1" applyAlignment="1">
      <alignment horizontal="center"/>
    </xf>
    <xf numFmtId="1" fontId="20" fillId="7" borderId="180" xfId="0" applyNumberFormat="1" applyFont="1" applyFill="1" applyBorder="1"/>
    <xf numFmtId="1" fontId="20" fillId="7" borderId="181" xfId="0" applyNumberFormat="1" applyFont="1" applyFill="1" applyBorder="1"/>
    <xf numFmtId="1" fontId="19" fillId="7" borderId="235" xfId="0" applyNumberFormat="1" applyFont="1" applyFill="1" applyBorder="1"/>
    <xf numFmtId="1" fontId="19" fillId="7" borderId="180" xfId="0" applyNumberFormat="1" applyFont="1" applyFill="1" applyBorder="1"/>
    <xf numFmtId="1" fontId="20" fillId="7" borderId="167" xfId="0" applyNumberFormat="1" applyFont="1" applyFill="1" applyBorder="1" applyAlignment="1">
      <alignment horizontal="center"/>
    </xf>
    <xf numFmtId="1" fontId="20" fillId="7" borderId="167" xfId="0" applyNumberFormat="1" applyFont="1" applyFill="1" applyBorder="1"/>
    <xf numFmtId="1" fontId="20" fillId="7" borderId="171" xfId="0" applyNumberFormat="1" applyFont="1" applyFill="1" applyBorder="1"/>
    <xf numFmtId="164" fontId="20" fillId="17" borderId="246" xfId="0" applyNumberFormat="1" applyFont="1" applyFill="1" applyBorder="1" applyAlignment="1">
      <alignment horizontal="right" vertical="center"/>
    </xf>
    <xf numFmtId="0" fontId="11" fillId="6" borderId="83" xfId="0" applyFont="1" applyFill="1" applyBorder="1" applyAlignment="1">
      <alignment horizontal="center"/>
    </xf>
    <xf numFmtId="3" fontId="18" fillId="7" borderId="178" xfId="0" applyNumberFormat="1" applyFont="1" applyFill="1" applyBorder="1"/>
    <xf numFmtId="3" fontId="18" fillId="7" borderId="170" xfId="0" applyNumberFormat="1" applyFont="1" applyFill="1" applyBorder="1"/>
    <xf numFmtId="3" fontId="19" fillId="18" borderId="167" xfId="0" applyNumberFormat="1" applyFont="1" applyFill="1" applyBorder="1" applyAlignment="1">
      <alignment horizontal="right"/>
    </xf>
    <xf numFmtId="3" fontId="15" fillId="0" borderId="176" xfId="0" applyNumberFormat="1" applyFont="1" applyBorder="1"/>
    <xf numFmtId="164" fontId="18" fillId="19" borderId="176" xfId="5" applyNumberFormat="1" applyFont="1" applyFill="1" applyBorder="1" applyAlignment="1">
      <alignment horizontal="right" vertical="center"/>
    </xf>
    <xf numFmtId="0" fontId="19" fillId="0" borderId="180" xfId="0" applyFont="1" applyBorder="1" applyAlignment="1">
      <alignment horizontal="left"/>
    </xf>
    <xf numFmtId="0" fontId="19" fillId="0" borderId="170" xfId="0" applyFont="1" applyBorder="1" applyAlignment="1">
      <alignment wrapText="1"/>
    </xf>
    <xf numFmtId="164" fontId="20" fillId="19" borderId="180" xfId="3" quotePrefix="1" applyNumberFormat="1" applyFont="1" applyFill="1" applyBorder="1" applyAlignment="1">
      <alignment horizontal="right" vertical="center"/>
    </xf>
    <xf numFmtId="165" fontId="19" fillId="0" borderId="180" xfId="0" applyNumberFormat="1" applyFont="1" applyBorder="1"/>
    <xf numFmtId="0" fontId="29" fillId="0" borderId="0" xfId="0" applyFont="1"/>
    <xf numFmtId="0" fontId="20" fillId="0" borderId="0" xfId="0" applyFont="1" applyAlignment="1">
      <alignment wrapText="1"/>
    </xf>
    <xf numFmtId="0" fontId="11" fillId="6" borderId="167" xfId="0" applyFont="1" applyFill="1" applyBorder="1" applyAlignment="1">
      <alignment horizontal="center" vertical="center" wrapText="1"/>
    </xf>
    <xf numFmtId="3" fontId="19" fillId="0" borderId="167" xfId="0" applyNumberFormat="1" applyFont="1" applyBorder="1" applyAlignment="1">
      <alignment horizontal="right" wrapText="1"/>
    </xf>
    <xf numFmtId="3" fontId="18" fillId="19" borderId="167" xfId="0" applyNumberFormat="1" applyFont="1" applyFill="1" applyBorder="1" applyAlignment="1">
      <alignment wrapText="1"/>
    </xf>
    <xf numFmtId="164" fontId="18" fillId="19" borderId="167" xfId="0" applyNumberFormat="1" applyFont="1" applyFill="1" applyBorder="1" applyAlignment="1">
      <alignment wrapText="1"/>
    </xf>
    <xf numFmtId="3" fontId="20" fillId="0" borderId="178" xfId="0" applyNumberFormat="1" applyFont="1" applyBorder="1" applyAlignment="1">
      <alignment horizontal="right" wrapText="1"/>
    </xf>
    <xf numFmtId="3" fontId="20" fillId="0" borderId="170" xfId="0" applyNumberFormat="1" applyFont="1" applyBorder="1" applyAlignment="1">
      <alignment horizontal="right" wrapText="1"/>
    </xf>
    <xf numFmtId="3" fontId="19" fillId="0" borderId="171" xfId="0" applyNumberFormat="1" applyFont="1" applyBorder="1" applyAlignment="1">
      <alignment horizontal="right" wrapText="1"/>
    </xf>
    <xf numFmtId="3" fontId="18" fillId="19" borderId="171" xfId="0" applyNumberFormat="1" applyFont="1" applyFill="1" applyBorder="1" applyAlignment="1">
      <alignment wrapText="1"/>
    </xf>
    <xf numFmtId="164" fontId="18" fillId="19" borderId="180" xfId="0" applyNumberFormat="1" applyFont="1" applyFill="1" applyBorder="1" applyAlignment="1">
      <alignment wrapText="1"/>
    </xf>
    <xf numFmtId="164" fontId="18" fillId="19" borderId="181" xfId="0" applyNumberFormat="1" applyFont="1" applyFill="1" applyBorder="1" applyAlignment="1">
      <alignment wrapText="1"/>
    </xf>
    <xf numFmtId="0" fontId="18" fillId="7" borderId="167" xfId="1" applyFont="1" applyFill="1" applyBorder="1" applyAlignment="1">
      <alignment horizontal="center" vertical="top" wrapText="1"/>
    </xf>
    <xf numFmtId="3" fontId="20" fillId="0" borderId="167" xfId="0" applyNumberFormat="1" applyFont="1" applyBorder="1" applyAlignment="1">
      <alignment wrapText="1"/>
    </xf>
    <xf numFmtId="164" fontId="20" fillId="0" borderId="167" xfId="0" applyNumberFormat="1" applyFont="1" applyBorder="1" applyAlignment="1">
      <alignment wrapText="1"/>
    </xf>
    <xf numFmtId="164" fontId="18" fillId="7" borderId="167" xfId="0" applyNumberFormat="1" applyFont="1" applyFill="1" applyBorder="1" applyAlignment="1">
      <alignment wrapText="1"/>
    </xf>
    <xf numFmtId="3" fontId="20" fillId="0" borderId="173" xfId="0" applyNumberFormat="1" applyFont="1" applyBorder="1" applyAlignment="1">
      <alignment horizontal="right" wrapText="1"/>
    </xf>
    <xf numFmtId="0" fontId="19" fillId="0" borderId="176" xfId="0" applyFont="1" applyBorder="1" applyAlignment="1">
      <alignment horizontal="right" wrapText="1"/>
    </xf>
    <xf numFmtId="3" fontId="19" fillId="0" borderId="176" xfId="0" applyNumberFormat="1" applyFont="1" applyBorder="1" applyAlignment="1">
      <alignment horizontal="right" wrapText="1"/>
    </xf>
    <xf numFmtId="3" fontId="19" fillId="0" borderId="172" xfId="0" applyNumberFormat="1" applyFont="1" applyBorder="1" applyAlignment="1">
      <alignment horizontal="right" wrapText="1"/>
    </xf>
    <xf numFmtId="0" fontId="18" fillId="7" borderId="178" xfId="1" applyFont="1" applyFill="1" applyBorder="1" applyAlignment="1">
      <alignment horizontal="center" vertical="top" wrapText="1"/>
    </xf>
    <xf numFmtId="3" fontId="18" fillId="19" borderId="178" xfId="0" applyNumberFormat="1" applyFont="1" applyFill="1" applyBorder="1" applyAlignment="1">
      <alignment wrapText="1"/>
    </xf>
    <xf numFmtId="3" fontId="18" fillId="19" borderId="170" xfId="0" applyNumberFormat="1" applyFont="1" applyFill="1" applyBorder="1" applyAlignment="1">
      <alignment wrapText="1"/>
    </xf>
    <xf numFmtId="0" fontId="18" fillId="7" borderId="176" xfId="1" applyFont="1" applyFill="1" applyBorder="1" applyAlignment="1">
      <alignment horizontal="center" vertical="top" wrapText="1"/>
    </xf>
    <xf numFmtId="3" fontId="18" fillId="19" borderId="176" xfId="0" applyNumberFormat="1" applyFont="1" applyFill="1" applyBorder="1" applyAlignment="1">
      <alignment wrapText="1"/>
    </xf>
    <xf numFmtId="3" fontId="18" fillId="19" borderId="172" xfId="0" applyNumberFormat="1" applyFont="1" applyFill="1" applyBorder="1" applyAlignment="1">
      <alignment wrapText="1"/>
    </xf>
    <xf numFmtId="164" fontId="18" fillId="19" borderId="178" xfId="0" applyNumberFormat="1" applyFont="1" applyFill="1" applyBorder="1" applyAlignment="1">
      <alignment wrapText="1"/>
    </xf>
    <xf numFmtId="164" fontId="18" fillId="19" borderId="170" xfId="0" applyNumberFormat="1" applyFont="1" applyFill="1" applyBorder="1" applyAlignment="1">
      <alignment wrapText="1"/>
    </xf>
    <xf numFmtId="164" fontId="18" fillId="7" borderId="171" xfId="0" applyNumberFormat="1" applyFont="1" applyFill="1" applyBorder="1" applyAlignment="1">
      <alignment wrapText="1"/>
    </xf>
    <xf numFmtId="164" fontId="18" fillId="19" borderId="171" xfId="0" applyNumberFormat="1" applyFont="1" applyFill="1" applyBorder="1" applyAlignment="1">
      <alignment wrapText="1"/>
    </xf>
    <xf numFmtId="0" fontId="18" fillId="7" borderId="180" xfId="1" applyFont="1" applyFill="1" applyBorder="1" applyAlignment="1">
      <alignment horizontal="center" vertical="top" wrapText="1"/>
    </xf>
    <xf numFmtId="3" fontId="20" fillId="0" borderId="194" xfId="0" applyNumberFormat="1" applyFont="1" applyBorder="1" applyAlignment="1">
      <alignment horizontal="right" wrapText="1"/>
    </xf>
    <xf numFmtId="3" fontId="20" fillId="0" borderId="178" xfId="0" applyNumberFormat="1" applyFont="1" applyBorder="1" applyAlignment="1">
      <alignment wrapText="1"/>
    </xf>
    <xf numFmtId="3" fontId="20" fillId="0" borderId="170" xfId="0" applyNumberFormat="1" applyFont="1" applyBorder="1" applyAlignment="1">
      <alignment wrapText="1"/>
    </xf>
    <xf numFmtId="3" fontId="20" fillId="0" borderId="171" xfId="0" applyNumberFormat="1" applyFont="1" applyBorder="1" applyAlignment="1">
      <alignment wrapText="1"/>
    </xf>
    <xf numFmtId="164" fontId="20" fillId="0" borderId="180" xfId="0" applyNumberFormat="1" applyFont="1" applyBorder="1" applyAlignment="1">
      <alignment wrapText="1"/>
    </xf>
    <xf numFmtId="164" fontId="20" fillId="0" borderId="181" xfId="0" applyNumberFormat="1" applyFont="1" applyBorder="1" applyAlignment="1">
      <alignment wrapText="1"/>
    </xf>
    <xf numFmtId="0" fontId="11" fillId="6" borderId="178" xfId="0" applyFont="1" applyFill="1" applyBorder="1" applyAlignment="1">
      <alignment horizontal="center" vertical="center" wrapText="1"/>
    </xf>
    <xf numFmtId="0" fontId="11" fillId="6" borderId="170" xfId="0" applyFont="1" applyFill="1" applyBorder="1" applyAlignment="1">
      <alignment horizontal="center" vertical="center" wrapText="1"/>
    </xf>
    <xf numFmtId="3" fontId="20" fillId="0" borderId="171" xfId="0" applyNumberFormat="1" applyFont="1" applyBorder="1" applyAlignment="1">
      <alignment horizontal="right"/>
    </xf>
    <xf numFmtId="165" fontId="19" fillId="0" borderId="181" xfId="0" applyNumberFormat="1" applyFont="1" applyBorder="1"/>
    <xf numFmtId="0" fontId="20" fillId="0" borderId="170" xfId="0" applyFont="1" applyBorder="1" applyAlignment="1">
      <alignment wrapText="1"/>
    </xf>
    <xf numFmtId="0" fontId="19" fillId="0" borderId="172" xfId="0" applyFont="1" applyBorder="1" applyAlignment="1">
      <alignment wrapText="1"/>
    </xf>
    <xf numFmtId="0" fontId="19" fillId="0" borderId="181" xfId="0" applyFont="1" applyBorder="1" applyAlignment="1">
      <alignment wrapText="1"/>
    </xf>
    <xf numFmtId="3" fontId="19" fillId="0" borderId="167" xfId="0" applyNumberFormat="1" applyFont="1" applyBorder="1" applyAlignment="1">
      <alignment horizontal="center" wrapText="1"/>
    </xf>
    <xf numFmtId="164" fontId="20" fillId="18" borderId="167" xfId="3" applyNumberFormat="1" applyFont="1" applyFill="1" applyBorder="1" applyAlignment="1">
      <alignment wrapText="1"/>
    </xf>
    <xf numFmtId="0" fontId="19" fillId="0" borderId="173" xfId="0" applyFont="1" applyBorder="1" applyAlignment="1">
      <alignment horizontal="center" wrapText="1"/>
    </xf>
    <xf numFmtId="3" fontId="20" fillId="0" borderId="178" xfId="0" applyNumberFormat="1" applyFont="1" applyBorder="1" applyAlignment="1">
      <alignment horizontal="center" wrapText="1"/>
    </xf>
    <xf numFmtId="3" fontId="19" fillId="0" borderId="176" xfId="0" applyNumberFormat="1" applyFont="1" applyBorder="1" applyAlignment="1">
      <alignment horizontal="center" wrapText="1"/>
    </xf>
    <xf numFmtId="0" fontId="19" fillId="0" borderId="180" xfId="0" applyFont="1" applyBorder="1" applyAlignment="1">
      <alignment horizontal="center" wrapText="1"/>
    </xf>
    <xf numFmtId="0" fontId="19" fillId="0" borderId="180" xfId="0" applyFont="1" applyBorder="1" applyAlignment="1">
      <alignment wrapText="1"/>
    </xf>
    <xf numFmtId="164" fontId="20" fillId="17" borderId="178" xfId="0" applyNumberFormat="1" applyFont="1" applyFill="1" applyBorder="1" applyAlignment="1">
      <alignment wrapText="1"/>
    </xf>
    <xf numFmtId="164" fontId="20" fillId="17" borderId="178" xfId="3" applyNumberFormat="1" applyFont="1" applyFill="1" applyBorder="1" applyAlignment="1">
      <alignment wrapText="1"/>
    </xf>
    <xf numFmtId="164" fontId="20" fillId="19" borderId="180" xfId="3" applyNumberFormat="1" applyFont="1" applyFill="1" applyBorder="1" applyAlignment="1">
      <alignment wrapText="1"/>
    </xf>
    <xf numFmtId="165" fontId="20" fillId="0" borderId="167" xfId="0" applyNumberFormat="1" applyFont="1" applyBorder="1" applyAlignment="1">
      <alignment wrapText="1"/>
    </xf>
    <xf numFmtId="165" fontId="19" fillId="0" borderId="167" xfId="0" applyNumberFormat="1" applyFont="1" applyBorder="1" applyAlignment="1">
      <alignment wrapText="1"/>
    </xf>
    <xf numFmtId="165" fontId="17" fillId="0" borderId="171" xfId="0" applyNumberFormat="1" applyFont="1" applyBorder="1" applyAlignment="1">
      <alignment horizontal="right" vertical="center" wrapText="1"/>
    </xf>
    <xf numFmtId="165" fontId="20" fillId="0" borderId="171" xfId="0" applyNumberFormat="1" applyFont="1" applyBorder="1" applyAlignment="1">
      <alignment wrapText="1"/>
    </xf>
    <xf numFmtId="165" fontId="20" fillId="0" borderId="180" xfId="0" applyNumberFormat="1" applyFont="1" applyBorder="1" applyAlignment="1">
      <alignment wrapText="1"/>
    </xf>
    <xf numFmtId="165" fontId="20" fillId="0" borderId="181" xfId="0" applyNumberFormat="1" applyFont="1" applyBorder="1" applyAlignment="1">
      <alignment wrapText="1"/>
    </xf>
    <xf numFmtId="165" fontId="20" fillId="0" borderId="178" xfId="0" applyNumberFormat="1" applyFont="1" applyBorder="1" applyAlignment="1">
      <alignment wrapText="1"/>
    </xf>
    <xf numFmtId="0" fontId="18" fillId="0" borderId="180" xfId="0" applyFont="1" applyBorder="1" applyAlignment="1">
      <alignment wrapText="1"/>
    </xf>
    <xf numFmtId="0" fontId="11" fillId="6" borderId="0" xfId="0" applyFont="1" applyFill="1" applyAlignment="1">
      <alignment horizontal="center" wrapText="1"/>
    </xf>
    <xf numFmtId="0" fontId="11" fillId="6" borderId="21" xfId="0" applyFont="1" applyFill="1" applyBorder="1" applyAlignment="1">
      <alignment horizontal="center" wrapText="1"/>
    </xf>
    <xf numFmtId="0" fontId="11" fillId="6" borderId="248" xfId="0" applyFont="1" applyFill="1" applyBorder="1" applyAlignment="1">
      <alignment horizontal="center" wrapText="1"/>
    </xf>
    <xf numFmtId="0" fontId="15" fillId="7" borderId="167" xfId="0" applyFont="1" applyFill="1" applyBorder="1" applyAlignment="1">
      <alignment wrapText="1"/>
    </xf>
    <xf numFmtId="0" fontId="15" fillId="7" borderId="167" xfId="2" applyNumberFormat="1" applyFont="1" applyFill="1" applyBorder="1" applyAlignment="1">
      <alignment wrapText="1"/>
    </xf>
    <xf numFmtId="164" fontId="15" fillId="7" borderId="167" xfId="2" applyNumberFormat="1" applyFont="1" applyFill="1" applyBorder="1" applyAlignment="1">
      <alignment wrapText="1"/>
    </xf>
    <xf numFmtId="43" fontId="15" fillId="7" borderId="167" xfId="2" applyFont="1" applyFill="1" applyBorder="1" applyAlignment="1">
      <alignment wrapText="1"/>
    </xf>
    <xf numFmtId="3" fontId="15" fillId="7" borderId="167" xfId="2" applyNumberFormat="1" applyFont="1" applyFill="1" applyBorder="1" applyAlignment="1">
      <alignment wrapText="1"/>
    </xf>
    <xf numFmtId="0" fontId="18" fillId="7" borderId="178" xfId="0" applyFont="1" applyFill="1" applyBorder="1" applyAlignment="1">
      <alignment wrapText="1"/>
    </xf>
    <xf numFmtId="0" fontId="18" fillId="7" borderId="178" xfId="2" applyNumberFormat="1" applyFont="1" applyFill="1" applyBorder="1" applyAlignment="1">
      <alignment wrapText="1"/>
    </xf>
    <xf numFmtId="164" fontId="18" fillId="7" borderId="178" xfId="2" applyNumberFormat="1" applyFont="1" applyFill="1" applyBorder="1" applyAlignment="1">
      <alignment wrapText="1"/>
    </xf>
    <xf numFmtId="166" fontId="18" fillId="19" borderId="176" xfId="2" applyNumberFormat="1" applyFont="1" applyFill="1" applyBorder="1" applyAlignment="1">
      <alignment wrapText="1"/>
    </xf>
    <xf numFmtId="164" fontId="18" fillId="19" borderId="176" xfId="2" applyNumberFormat="1" applyFont="1" applyFill="1" applyBorder="1" applyAlignment="1">
      <alignment wrapText="1"/>
    </xf>
    <xf numFmtId="43" fontId="18" fillId="7" borderId="178" xfId="2" applyFont="1" applyFill="1" applyBorder="1" applyAlignment="1">
      <alignment wrapText="1"/>
    </xf>
    <xf numFmtId="3" fontId="18" fillId="7" borderId="178" xfId="2" applyNumberFormat="1" applyFont="1" applyFill="1" applyBorder="1" applyAlignment="1">
      <alignment wrapText="1"/>
    </xf>
    <xf numFmtId="43" fontId="26" fillId="7" borderId="180" xfId="2" applyFont="1" applyFill="1" applyBorder="1" applyAlignment="1">
      <alignment wrapText="1"/>
    </xf>
    <xf numFmtId="164" fontId="18" fillId="19" borderId="180" xfId="5" applyNumberFormat="1" applyFont="1" applyFill="1" applyBorder="1" applyAlignment="1">
      <alignment horizontal="right" vertical="center"/>
    </xf>
    <xf numFmtId="165" fontId="20" fillId="18" borderId="180" xfId="0" applyNumberFormat="1" applyFont="1" applyFill="1" applyBorder="1" applyAlignment="1">
      <alignment horizontal="right"/>
    </xf>
    <xf numFmtId="165" fontId="20" fillId="19" borderId="180" xfId="0" applyNumberFormat="1" applyFont="1" applyFill="1" applyBorder="1" applyAlignment="1">
      <alignment horizontal="right"/>
    </xf>
    <xf numFmtId="165" fontId="20" fillId="17" borderId="180" xfId="0" applyNumberFormat="1" applyFont="1" applyFill="1" applyBorder="1" applyAlignment="1">
      <alignment horizontal="right"/>
    </xf>
    <xf numFmtId="165" fontId="18" fillId="20" borderId="180" xfId="0" applyNumberFormat="1" applyFont="1" applyFill="1" applyBorder="1"/>
    <xf numFmtId="164" fontId="18" fillId="7" borderId="214" xfId="2" applyNumberFormat="1" applyFont="1" applyFill="1" applyBorder="1"/>
    <xf numFmtId="164" fontId="15" fillId="7" borderId="212" xfId="2" applyNumberFormat="1" applyFont="1" applyFill="1" applyBorder="1"/>
    <xf numFmtId="2" fontId="22" fillId="0" borderId="252" xfId="0" applyNumberFormat="1" applyFont="1" applyBorder="1"/>
    <xf numFmtId="0" fontId="19" fillId="0" borderId="250" xfId="0" applyFont="1" applyBorder="1"/>
    <xf numFmtId="166" fontId="18" fillId="20" borderId="246" xfId="2" applyNumberFormat="1" applyFont="1" applyFill="1" applyBorder="1"/>
    <xf numFmtId="0" fontId="11" fillId="3" borderId="91" xfId="0" applyFont="1" applyFill="1" applyBorder="1" applyAlignment="1">
      <alignment horizontal="center" vertical="center" wrapText="1"/>
    </xf>
    <xf numFmtId="0" fontId="36" fillId="4" borderId="91" xfId="1" applyFont="1" applyFill="1" applyBorder="1" applyAlignment="1">
      <alignment horizontal="left" vertical="center" wrapText="1"/>
    </xf>
    <xf numFmtId="0" fontId="36" fillId="4" borderId="91" xfId="1" applyFont="1" applyFill="1" applyBorder="1" applyAlignment="1">
      <alignment horizontal="center" vertical="center" wrapText="1"/>
    </xf>
    <xf numFmtId="0" fontId="36" fillId="4" borderId="156" xfId="1" applyFont="1" applyFill="1" applyBorder="1" applyAlignment="1">
      <alignment horizontal="center" vertical="center" wrapText="1"/>
    </xf>
    <xf numFmtId="0" fontId="36" fillId="0" borderId="91" xfId="1" applyFont="1" applyBorder="1" applyAlignment="1">
      <alignment horizontal="left" vertical="center" wrapText="1"/>
    </xf>
    <xf numFmtId="0" fontId="36" fillId="0" borderId="91" xfId="1" applyFont="1" applyBorder="1" applyAlignment="1">
      <alignment horizontal="center" vertical="center" wrapText="1"/>
    </xf>
    <xf numFmtId="0" fontId="36" fillId="0" borderId="91" xfId="1" applyFont="1" applyFill="1" applyBorder="1" applyAlignment="1">
      <alignment horizontal="center" vertical="center" wrapText="1"/>
    </xf>
    <xf numFmtId="0" fontId="36" fillId="0" borderId="91" xfId="1" applyFont="1" applyFill="1" applyBorder="1" applyAlignment="1">
      <alignment horizontal="center" vertical="center"/>
    </xf>
    <xf numFmtId="0" fontId="36" fillId="0" borderId="91" xfId="1" applyFont="1" applyBorder="1" applyAlignment="1">
      <alignment horizontal="center" vertical="center"/>
    </xf>
    <xf numFmtId="0" fontId="20" fillId="0" borderId="178" xfId="0" applyFont="1" applyBorder="1" applyAlignment="1">
      <alignment horizontal="center"/>
    </xf>
    <xf numFmtId="0" fontId="11" fillId="6" borderId="72" xfId="0" applyFont="1" applyFill="1" applyBorder="1" applyAlignment="1">
      <alignment horizontal="center" vertical="center"/>
    </xf>
    <xf numFmtId="0" fontId="19" fillId="0" borderId="167" xfId="0" applyFont="1" applyBorder="1" applyAlignment="1">
      <alignment horizontal="center" wrapText="1"/>
    </xf>
    <xf numFmtId="0" fontId="11" fillId="6" borderId="0" xfId="0" applyFont="1" applyFill="1" applyAlignment="1">
      <alignment horizontal="center" vertical="center"/>
    </xf>
    <xf numFmtId="0" fontId="11" fillId="6" borderId="180" xfId="0" applyFont="1" applyFill="1" applyBorder="1" applyAlignment="1">
      <alignment horizontal="center" vertical="center"/>
    </xf>
    <xf numFmtId="0" fontId="8" fillId="6" borderId="180" xfId="0" applyFont="1" applyFill="1" applyBorder="1" applyAlignment="1">
      <alignment horizontal="center" vertical="center"/>
    </xf>
    <xf numFmtId="0" fontId="20" fillId="0" borderId="178" xfId="0" applyFont="1" applyBorder="1" applyAlignment="1">
      <alignment horizontal="center" wrapText="1"/>
    </xf>
    <xf numFmtId="0" fontId="19" fillId="0" borderId="176" xfId="0" applyFont="1" applyBorder="1" applyAlignment="1">
      <alignment horizontal="center" wrapText="1"/>
    </xf>
    <xf numFmtId="0" fontId="19" fillId="0" borderId="178" xfId="0" applyFont="1" applyBorder="1" applyAlignment="1">
      <alignment horizontal="center" wrapText="1"/>
    </xf>
    <xf numFmtId="0" fontId="11" fillId="6" borderId="167" xfId="0" applyFont="1" applyFill="1" applyBorder="1" applyAlignment="1">
      <alignment horizontal="center" vertical="center"/>
    </xf>
    <xf numFmtId="0" fontId="11" fillId="6" borderId="178" xfId="0" applyFont="1" applyFill="1" applyBorder="1" applyAlignment="1">
      <alignment horizontal="center" vertical="center"/>
    </xf>
    <xf numFmtId="0" fontId="20" fillId="0" borderId="183" xfId="0" applyFont="1" applyBorder="1" applyAlignment="1">
      <alignment horizontal="center"/>
    </xf>
    <xf numFmtId="0" fontId="19" fillId="0" borderId="183" xfId="0" applyFont="1" applyBorder="1" applyAlignment="1">
      <alignment horizontal="center"/>
    </xf>
    <xf numFmtId="0" fontId="11" fillId="6" borderId="235" xfId="0" applyFont="1" applyFill="1" applyBorder="1" applyAlignment="1">
      <alignment horizontal="center" vertical="center"/>
    </xf>
    <xf numFmtId="0" fontId="20" fillId="0" borderId="167" xfId="0" applyFont="1" applyBorder="1" applyAlignment="1">
      <alignment horizontal="center" wrapText="1"/>
    </xf>
    <xf numFmtId="0" fontId="20" fillId="0" borderId="180" xfId="0" applyFont="1" applyBorder="1" applyAlignment="1">
      <alignment horizontal="center" wrapText="1"/>
    </xf>
    <xf numFmtId="0" fontId="19" fillId="0" borderId="87" xfId="0" applyFont="1" applyBorder="1" applyAlignment="1">
      <alignment horizontal="left" vertical="center" wrapText="1"/>
    </xf>
    <xf numFmtId="0" fontId="19" fillId="0" borderId="88" xfId="0" applyFont="1" applyBorder="1" applyAlignment="1">
      <alignment horizontal="left" vertical="center" wrapText="1"/>
    </xf>
    <xf numFmtId="0" fontId="19" fillId="0" borderId="0" xfId="0" applyFont="1" applyAlignment="1">
      <alignment vertical="center" wrapText="1"/>
    </xf>
    <xf numFmtId="0" fontId="15" fillId="0" borderId="88" xfId="0" applyFont="1" applyBorder="1" applyAlignment="1">
      <alignment vertical="center" wrapText="1"/>
    </xf>
    <xf numFmtId="0" fontId="37" fillId="0" borderId="97" xfId="1" applyFont="1" applyBorder="1" applyAlignment="1">
      <alignment vertical="center" wrapText="1"/>
    </xf>
    <xf numFmtId="0" fontId="37" fillId="0" borderId="97" xfId="1" applyFont="1" applyFill="1" applyBorder="1" applyAlignment="1">
      <alignment vertical="center"/>
    </xf>
    <xf numFmtId="0" fontId="19" fillId="0" borderId="112" xfId="0" applyFont="1" applyBorder="1" applyAlignment="1">
      <alignment vertical="center" wrapText="1"/>
    </xf>
    <xf numFmtId="0" fontId="19" fillId="0" borderId="88" xfId="0" applyFont="1" applyBorder="1" applyAlignment="1">
      <alignment vertical="center" wrapText="1"/>
    </xf>
    <xf numFmtId="0" fontId="19" fillId="0" borderId="0" xfId="0" applyFont="1" applyAlignment="1">
      <alignment vertical="top" wrapText="1"/>
    </xf>
    <xf numFmtId="0" fontId="37" fillId="0" borderId="116" xfId="1" applyFont="1" applyBorder="1" applyAlignment="1">
      <alignment vertical="center" wrapText="1"/>
    </xf>
    <xf numFmtId="0" fontId="37" fillId="0" borderId="116" xfId="1" applyFont="1" applyFill="1" applyBorder="1" applyAlignment="1">
      <alignment vertical="center"/>
    </xf>
    <xf numFmtId="0" fontId="37" fillId="0" borderId="97" xfId="1" applyFont="1" applyFill="1" applyBorder="1" applyAlignment="1">
      <alignment vertical="center" wrapText="1"/>
    </xf>
    <xf numFmtId="0" fontId="19" fillId="0" borderId="117" xfId="0" applyFont="1" applyBorder="1" applyAlignment="1">
      <alignment horizontal="left" vertical="center" wrapText="1"/>
    </xf>
    <xf numFmtId="0" fontId="19" fillId="0" borderId="112" xfId="0" applyFont="1" applyBorder="1" applyAlignment="1">
      <alignment horizontal="left" vertical="center" wrapText="1"/>
    </xf>
    <xf numFmtId="0" fontId="36" fillId="0" borderId="88" xfId="1" applyFont="1" applyBorder="1" applyAlignment="1">
      <alignment vertical="center" wrapText="1"/>
    </xf>
    <xf numFmtId="0" fontId="19" fillId="0" borderId="118" xfId="0" applyFont="1" applyBorder="1" applyAlignment="1">
      <alignment horizontal="left" vertical="center" wrapText="1"/>
    </xf>
    <xf numFmtId="0" fontId="19" fillId="0" borderId="106" xfId="0" applyFont="1" applyBorder="1" applyAlignment="1">
      <alignment vertical="center" wrapText="1"/>
    </xf>
    <xf numFmtId="0" fontId="19" fillId="0" borderId="87" xfId="0" applyFont="1" applyBorder="1" applyAlignment="1">
      <alignment vertical="center"/>
    </xf>
    <xf numFmtId="0" fontId="19" fillId="0" borderId="88" xfId="0" applyFont="1" applyBorder="1" applyAlignment="1">
      <alignment vertical="center"/>
    </xf>
    <xf numFmtId="0" fontId="19" fillId="0" borderId="144" xfId="0" applyFont="1" applyBorder="1" applyAlignment="1">
      <alignment horizontal="left" vertical="center"/>
    </xf>
    <xf numFmtId="0" fontId="19" fillId="0" borderId="144" xfId="0" applyFont="1" applyBorder="1" applyAlignment="1">
      <alignment horizontal="left" vertical="top" wrapText="1"/>
    </xf>
    <xf numFmtId="0" fontId="36" fillId="0" borderId="145" xfId="1" applyFont="1" applyBorder="1"/>
    <xf numFmtId="0" fontId="38" fillId="0" borderId="144" xfId="1" applyFont="1" applyBorder="1" applyAlignment="1">
      <alignment vertical="top" wrapText="1"/>
    </xf>
    <xf numFmtId="0" fontId="19" fillId="0" borderId="87" xfId="0" applyFont="1" applyBorder="1" applyAlignment="1">
      <alignment horizontal="left" vertical="center"/>
    </xf>
    <xf numFmtId="0" fontId="19" fillId="6" borderId="88" xfId="0" applyFont="1" applyFill="1" applyBorder="1"/>
    <xf numFmtId="0" fontId="38" fillId="0" borderId="88" xfId="1" applyFont="1" applyBorder="1"/>
    <xf numFmtId="0" fontId="19" fillId="0" borderId="88" xfId="0" applyFont="1" applyBorder="1" applyAlignment="1">
      <alignment wrapText="1"/>
    </xf>
    <xf numFmtId="0" fontId="36" fillId="0" borderId="144" xfId="1" applyFont="1" applyBorder="1" applyAlignment="1">
      <alignment vertical="top" wrapText="1"/>
    </xf>
    <xf numFmtId="0" fontId="19" fillId="0" borderId="88" xfId="0" applyFont="1" applyBorder="1" applyAlignment="1">
      <alignment vertical="top" wrapText="1"/>
    </xf>
    <xf numFmtId="0" fontId="36" fillId="0" borderId="88" xfId="1" applyFont="1" applyFill="1" applyBorder="1" applyAlignment="1">
      <alignment vertical="top" wrapText="1"/>
    </xf>
    <xf numFmtId="0" fontId="36" fillId="0" borderId="88" xfId="1" applyFont="1" applyBorder="1"/>
    <xf numFmtId="0" fontId="15" fillId="0" borderId="87" xfId="0" applyFont="1" applyBorder="1" applyAlignment="1">
      <alignment horizontal="left" vertical="center"/>
    </xf>
    <xf numFmtId="0" fontId="15" fillId="0" borderId="88" xfId="1" applyFont="1" applyBorder="1"/>
    <xf numFmtId="0" fontId="19" fillId="0" borderId="118" xfId="0" applyFont="1" applyBorder="1" applyAlignment="1">
      <alignment horizontal="left" vertical="center"/>
    </xf>
    <xf numFmtId="0" fontId="19" fillId="0" borderId="107" xfId="0" applyFont="1" applyBorder="1" applyAlignment="1">
      <alignment wrapText="1"/>
    </xf>
    <xf numFmtId="0" fontId="19" fillId="0" borderId="87" xfId="0" applyFont="1" applyBorder="1" applyAlignment="1">
      <alignment vertical="center" wrapText="1"/>
    </xf>
    <xf numFmtId="0" fontId="36" fillId="0" borderId="88" xfId="1" applyFont="1" applyBorder="1" applyAlignment="1">
      <alignment vertical="top" wrapText="1"/>
    </xf>
    <xf numFmtId="0" fontId="36" fillId="0" borderId="88" xfId="1" applyFont="1" applyBorder="1" applyAlignment="1">
      <alignment wrapText="1"/>
    </xf>
    <xf numFmtId="0" fontId="38" fillId="0" borderId="88" xfId="1" applyFont="1" applyBorder="1" applyAlignment="1">
      <alignment wrapText="1"/>
    </xf>
    <xf numFmtId="0" fontId="38" fillId="0" borderId="89" xfId="1" applyFont="1" applyFill="1" applyBorder="1"/>
    <xf numFmtId="0" fontId="15" fillId="0" borderId="89" xfId="1" applyFont="1" applyFill="1" applyBorder="1"/>
    <xf numFmtId="0" fontId="19" fillId="0" borderId="110" xfId="0" applyFont="1" applyBorder="1" applyAlignment="1">
      <alignment vertical="center" wrapText="1"/>
    </xf>
    <xf numFmtId="0" fontId="38" fillId="0" borderId="122" xfId="1" applyFont="1" applyFill="1" applyBorder="1" applyAlignment="1">
      <alignment wrapText="1"/>
    </xf>
    <xf numFmtId="0" fontId="19" fillId="0" borderId="111" xfId="0" applyFont="1" applyBorder="1" applyAlignment="1">
      <alignment vertical="center" wrapText="1"/>
    </xf>
    <xf numFmtId="0" fontId="19" fillId="0" borderId="121" xfId="0" applyFont="1" applyBorder="1" applyAlignment="1">
      <alignment wrapText="1"/>
    </xf>
    <xf numFmtId="0" fontId="15" fillId="0" borderId="87" xfId="0" applyFont="1" applyBorder="1" applyAlignment="1">
      <alignment vertical="center" wrapText="1"/>
    </xf>
    <xf numFmtId="0" fontId="15" fillId="0" borderId="88" xfId="0" applyFont="1" applyBorder="1" applyAlignment="1">
      <alignment vertical="top" wrapText="1"/>
    </xf>
    <xf numFmtId="0" fontId="19" fillId="0" borderId="118" xfId="0" applyFont="1" applyBorder="1" applyAlignment="1">
      <alignment vertical="center" wrapText="1"/>
    </xf>
    <xf numFmtId="0" fontId="36" fillId="0" borderId="107" xfId="1" applyFont="1" applyBorder="1" applyAlignment="1">
      <alignment vertical="center" wrapText="1"/>
    </xf>
    <xf numFmtId="0" fontId="38" fillId="0" borderId="88" xfId="1" applyFont="1" applyBorder="1" applyAlignment="1">
      <alignment vertical="center" wrapText="1"/>
    </xf>
    <xf numFmtId="0" fontId="19" fillId="0" borderId="117" xfId="0" applyFont="1" applyBorder="1" applyAlignment="1">
      <alignment vertical="center" wrapText="1"/>
    </xf>
    <xf numFmtId="0" fontId="38" fillId="0" borderId="89" xfId="1" applyFont="1" applyFill="1" applyBorder="1" applyAlignment="1">
      <alignment vertical="center"/>
    </xf>
    <xf numFmtId="0" fontId="19" fillId="0" borderId="107" xfId="0" applyFont="1" applyBorder="1" applyAlignment="1">
      <alignment vertical="center" wrapText="1"/>
    </xf>
    <xf numFmtId="0" fontId="19" fillId="0" borderId="124" xfId="0" applyFont="1" applyBorder="1" applyAlignment="1">
      <alignment vertical="center" wrapText="1"/>
    </xf>
    <xf numFmtId="0" fontId="19" fillId="0" borderId="90" xfId="0" applyFont="1" applyBorder="1" applyAlignment="1">
      <alignment vertical="center" wrapText="1"/>
    </xf>
    <xf numFmtId="0" fontId="11" fillId="6" borderId="0" xfId="0" applyFont="1" applyFill="1" applyAlignment="1">
      <alignment horizontal="center"/>
    </xf>
    <xf numFmtId="0" fontId="18" fillId="0" borderId="47" xfId="1" applyFont="1" applyBorder="1" applyAlignment="1">
      <alignment horizontal="center" vertical="top" wrapText="1"/>
    </xf>
    <xf numFmtId="0" fontId="20" fillId="0" borderId="75" xfId="0" applyFont="1" applyBorder="1" applyAlignment="1">
      <alignment horizontal="right"/>
    </xf>
    <xf numFmtId="0" fontId="20" fillId="0" borderId="15" xfId="0" applyFont="1" applyBorder="1" applyAlignment="1">
      <alignment horizontal="right"/>
    </xf>
    <xf numFmtId="0" fontId="20" fillId="0" borderId="130" xfId="0" applyFont="1" applyBorder="1" applyAlignment="1">
      <alignment horizontal="right"/>
    </xf>
    <xf numFmtId="0" fontId="20" fillId="0" borderId="68" xfId="0" applyFont="1" applyBorder="1" applyAlignment="1">
      <alignment horizontal="right"/>
    </xf>
    <xf numFmtId="164" fontId="20" fillId="0" borderId="85" xfId="0" applyNumberFormat="1" applyFont="1" applyBorder="1"/>
    <xf numFmtId="3" fontId="20" fillId="0" borderId="194" xfId="0" applyNumberFormat="1" applyFont="1" applyBorder="1"/>
    <xf numFmtId="0" fontId="19" fillId="0" borderId="95" xfId="0" applyFont="1" applyBorder="1"/>
    <xf numFmtId="165" fontId="20" fillId="0" borderId="71" xfId="0" applyNumberFormat="1" applyFont="1" applyBorder="1"/>
    <xf numFmtId="165" fontId="20" fillId="0" borderId="182" xfId="0" applyNumberFormat="1" applyFont="1" applyBorder="1"/>
    <xf numFmtId="0" fontId="11" fillId="6" borderId="258" xfId="0" applyFont="1" applyFill="1" applyBorder="1" applyAlignment="1">
      <alignment horizontal="center" wrapText="1"/>
    </xf>
    <xf numFmtId="0" fontId="11" fillId="6" borderId="258" xfId="0" applyFont="1" applyFill="1" applyBorder="1" applyAlignment="1">
      <alignment horizontal="center" vertical="center"/>
    </xf>
    <xf numFmtId="0" fontId="11" fillId="6" borderId="259" xfId="0" applyFont="1" applyFill="1" applyBorder="1" applyAlignment="1">
      <alignment horizontal="center" vertical="center"/>
    </xf>
    <xf numFmtId="0" fontId="11" fillId="6" borderId="201" xfId="0" applyFont="1" applyFill="1" applyBorder="1" applyAlignment="1">
      <alignment horizontal="center" wrapText="1"/>
    </xf>
    <xf numFmtId="164" fontId="20" fillId="0" borderId="194" xfId="0" applyNumberFormat="1" applyFont="1" applyBorder="1"/>
    <xf numFmtId="164" fontId="19" fillId="0" borderId="171" xfId="0" applyNumberFormat="1" applyFont="1" applyBorder="1"/>
    <xf numFmtId="164" fontId="19" fillId="0" borderId="181" xfId="0" applyNumberFormat="1" applyFont="1" applyBorder="1"/>
    <xf numFmtId="164" fontId="18" fillId="7" borderId="173" xfId="2" applyNumberFormat="1" applyFont="1" applyFill="1" applyBorder="1"/>
    <xf numFmtId="3" fontId="20" fillId="7" borderId="173" xfId="0" applyNumberFormat="1" applyFont="1" applyFill="1" applyBorder="1"/>
    <xf numFmtId="0" fontId="11" fillId="6" borderId="262" xfId="0" applyFont="1" applyFill="1" applyBorder="1" applyAlignment="1">
      <alignment horizontal="center" vertical="center"/>
    </xf>
    <xf numFmtId="0" fontId="11" fillId="6" borderId="264" xfId="0" applyFont="1" applyFill="1" applyBorder="1" applyAlignment="1">
      <alignment horizontal="center" vertical="center"/>
    </xf>
    <xf numFmtId="0" fontId="11" fillId="6" borderId="265" xfId="0" applyFont="1" applyFill="1" applyBorder="1" applyAlignment="1">
      <alignment horizontal="center" vertical="center"/>
    </xf>
    <xf numFmtId="0" fontId="11" fillId="6" borderId="266" xfId="0" applyFont="1" applyFill="1" applyBorder="1" applyAlignment="1">
      <alignment horizontal="center" wrapText="1"/>
    </xf>
    <xf numFmtId="0" fontId="11" fillId="6" borderId="267" xfId="0" applyFont="1" applyFill="1" applyBorder="1" applyAlignment="1">
      <alignment horizontal="center" vertical="center"/>
    </xf>
    <xf numFmtId="0" fontId="11" fillId="6" borderId="183" xfId="0" applyFont="1" applyFill="1" applyBorder="1" applyAlignment="1">
      <alignment horizontal="center" vertical="center"/>
    </xf>
    <xf numFmtId="0" fontId="20" fillId="0" borderId="246" xfId="0" applyFont="1" applyBorder="1"/>
    <xf numFmtId="0" fontId="19" fillId="0" borderId="269" xfId="0" applyFont="1" applyBorder="1"/>
    <xf numFmtId="0" fontId="8" fillId="6" borderId="0" xfId="0" applyFont="1" applyFill="1" applyAlignment="1">
      <alignment horizontal="center" wrapText="1"/>
    </xf>
    <xf numFmtId="0" fontId="8" fillId="6" borderId="258" xfId="0" applyFont="1" applyFill="1" applyBorder="1" applyAlignment="1">
      <alignment horizontal="center" wrapText="1"/>
    </xf>
    <xf numFmtId="164" fontId="19" fillId="0" borderId="173" xfId="0" applyNumberFormat="1" applyFont="1" applyBorder="1"/>
    <xf numFmtId="4" fontId="19" fillId="0" borderId="181" xfId="0" applyNumberFormat="1" applyFont="1" applyBorder="1"/>
    <xf numFmtId="0" fontId="8" fillId="6" borderId="201" xfId="0" applyFont="1" applyFill="1" applyBorder="1" applyAlignment="1">
      <alignment horizontal="center"/>
    </xf>
    <xf numFmtId="2" fontId="22" fillId="7" borderId="194" xfId="0" applyNumberFormat="1" applyFont="1" applyFill="1" applyBorder="1"/>
    <xf numFmtId="164" fontId="20" fillId="20" borderId="180" xfId="0" applyNumberFormat="1" applyFont="1" applyFill="1" applyBorder="1" applyAlignment="1">
      <alignment horizontal="right"/>
    </xf>
    <xf numFmtId="164" fontId="18" fillId="20" borderId="180" xfId="5" applyNumberFormat="1" applyFont="1" applyFill="1" applyBorder="1" applyAlignment="1">
      <alignment horizontal="right" vertical="center"/>
    </xf>
    <xf numFmtId="0" fontId="20" fillId="0" borderId="188" xfId="0" applyFont="1" applyBorder="1"/>
    <xf numFmtId="3" fontId="19" fillId="0" borderId="196" xfId="0" applyNumberFormat="1" applyFont="1" applyBorder="1"/>
    <xf numFmtId="2" fontId="22" fillId="7" borderId="181" xfId="0" applyNumberFormat="1" applyFont="1" applyFill="1" applyBorder="1"/>
    <xf numFmtId="0" fontId="19" fillId="0" borderId="188" xfId="0" applyFont="1" applyBorder="1"/>
    <xf numFmtId="0" fontId="11" fillId="6" borderId="65" xfId="0" applyFont="1" applyFill="1" applyBorder="1" applyAlignment="1">
      <alignment horizontal="center" wrapText="1"/>
    </xf>
    <xf numFmtId="0" fontId="11" fillId="6" borderId="65" xfId="0" applyFont="1" applyFill="1" applyBorder="1" applyAlignment="1">
      <alignment horizontal="center" vertical="center"/>
    </xf>
    <xf numFmtId="0" fontId="11" fillId="6" borderId="258" xfId="0" applyFont="1" applyFill="1" applyBorder="1" applyAlignment="1">
      <alignment horizontal="center"/>
    </xf>
    <xf numFmtId="0" fontId="11" fillId="6" borderId="92" xfId="0" applyFont="1" applyFill="1" applyBorder="1" applyAlignment="1">
      <alignment horizontal="center"/>
    </xf>
    <xf numFmtId="0" fontId="11" fillId="6" borderId="255" xfId="0" applyFont="1" applyFill="1" applyBorder="1" applyAlignment="1">
      <alignment horizontal="center"/>
    </xf>
    <xf numFmtId="0" fontId="11" fillId="6" borderId="65" xfId="0" applyFont="1" applyFill="1" applyBorder="1" applyAlignment="1">
      <alignment horizontal="center"/>
    </xf>
    <xf numFmtId="0" fontId="11" fillId="6" borderId="66" xfId="0" applyFont="1" applyFill="1" applyBorder="1" applyAlignment="1">
      <alignment horizontal="center" vertical="center"/>
    </xf>
    <xf numFmtId="3" fontId="20" fillId="0" borderId="188" xfId="0" applyNumberFormat="1" applyFont="1" applyBorder="1" applyAlignment="1">
      <alignment horizontal="right"/>
    </xf>
    <xf numFmtId="0" fontId="11" fillId="6" borderId="120" xfId="0" applyFont="1" applyFill="1" applyBorder="1" applyAlignment="1">
      <alignment horizontal="center"/>
    </xf>
    <xf numFmtId="164" fontId="20" fillId="0" borderId="179" xfId="0" applyNumberFormat="1" applyFont="1" applyBorder="1"/>
    <xf numFmtId="0" fontId="11" fillId="6" borderId="259" xfId="0" applyFont="1" applyFill="1" applyBorder="1" applyAlignment="1">
      <alignment horizontal="center"/>
    </xf>
    <xf numFmtId="0" fontId="8" fillId="6" borderId="259" xfId="0" applyFont="1" applyFill="1" applyBorder="1" applyAlignment="1">
      <alignment horizontal="center"/>
    </xf>
    <xf numFmtId="0" fontId="11" fillId="6" borderId="183" xfId="0" applyFont="1" applyFill="1" applyBorder="1" applyAlignment="1">
      <alignment horizontal="center" wrapText="1"/>
    </xf>
    <xf numFmtId="0" fontId="11" fillId="6" borderId="120" xfId="0" applyFont="1" applyFill="1" applyBorder="1" applyAlignment="1">
      <alignment horizontal="center" wrapText="1"/>
    </xf>
    <xf numFmtId="3" fontId="19" fillId="0" borderId="194" xfId="0" applyNumberFormat="1" applyFont="1" applyBorder="1" applyAlignment="1">
      <alignment horizontal="right"/>
    </xf>
    <xf numFmtId="0" fontId="11" fillId="6" borderId="196" xfId="0" applyFont="1" applyFill="1" applyBorder="1" applyAlignment="1">
      <alignment horizontal="center" wrapText="1"/>
    </xf>
    <xf numFmtId="0" fontId="11" fillId="6" borderId="254" xfId="0" applyFont="1" applyFill="1" applyBorder="1" applyAlignment="1">
      <alignment horizontal="center"/>
    </xf>
    <xf numFmtId="0" fontId="11" fillId="6" borderId="255" xfId="0" applyFont="1" applyFill="1" applyBorder="1" applyAlignment="1">
      <alignment horizontal="center" wrapText="1"/>
    </xf>
    <xf numFmtId="0" fontId="11" fillId="6" borderId="279" xfId="0" applyFont="1" applyFill="1" applyBorder="1" applyAlignment="1">
      <alignment horizontal="center" wrapText="1"/>
    </xf>
    <xf numFmtId="165" fontId="20" fillId="0" borderId="173" xfId="0" applyNumberFormat="1" applyFont="1" applyBorder="1" applyAlignment="1">
      <alignment wrapText="1"/>
    </xf>
    <xf numFmtId="165" fontId="21" fillId="0" borderId="194" xfId="0" applyNumberFormat="1" applyFont="1" applyBorder="1" applyAlignment="1">
      <alignment horizontal="right" vertical="center" wrapText="1"/>
    </xf>
    <xf numFmtId="0" fontId="11" fillId="6" borderId="258" xfId="0" applyFont="1" applyFill="1" applyBorder="1" applyAlignment="1">
      <alignment horizontal="center" vertical="center" wrapText="1"/>
    </xf>
    <xf numFmtId="0" fontId="11" fillId="6" borderId="259" xfId="0" applyFont="1" applyFill="1" applyBorder="1" applyAlignment="1">
      <alignment horizontal="center" vertical="center" wrapText="1"/>
    </xf>
    <xf numFmtId="0" fontId="18" fillId="7" borderId="173" xfId="0" applyFont="1" applyFill="1" applyBorder="1" applyAlignment="1">
      <alignment wrapText="1"/>
    </xf>
    <xf numFmtId="0" fontId="18" fillId="7" borderId="173" xfId="2" applyNumberFormat="1" applyFont="1" applyFill="1" applyBorder="1" applyAlignment="1">
      <alignment wrapText="1"/>
    </xf>
    <xf numFmtId="164" fontId="18" fillId="7" borderId="173" xfId="2" applyNumberFormat="1" applyFont="1" applyFill="1" applyBorder="1" applyAlignment="1">
      <alignment wrapText="1"/>
    </xf>
    <xf numFmtId="0" fontId="20" fillId="0" borderId="173" xfId="0" applyFont="1" applyBorder="1" applyAlignment="1">
      <alignment wrapText="1"/>
    </xf>
    <xf numFmtId="0" fontId="19" fillId="0" borderId="194" xfId="0" applyFont="1" applyBorder="1" applyAlignment="1">
      <alignment wrapText="1"/>
    </xf>
    <xf numFmtId="0" fontId="19" fillId="0" borderId="66" xfId="0" applyFont="1" applyBorder="1" applyAlignment="1">
      <alignment wrapText="1"/>
    </xf>
    <xf numFmtId="0" fontId="11" fillId="6" borderId="53" xfId="0" applyFont="1" applyFill="1" applyBorder="1" applyAlignment="1">
      <alignment horizontal="center" wrapText="1"/>
    </xf>
    <xf numFmtId="0" fontId="8" fillId="6" borderId="258" xfId="0" applyFont="1" applyFill="1" applyBorder="1" applyAlignment="1">
      <alignment horizontal="center" vertical="center" wrapText="1"/>
    </xf>
    <xf numFmtId="0" fontId="11" fillId="6" borderId="176" xfId="0" applyFont="1" applyFill="1" applyBorder="1" applyAlignment="1">
      <alignment horizontal="center" vertical="center" wrapText="1"/>
    </xf>
    <xf numFmtId="0" fontId="11" fillId="6" borderId="172" xfId="0" applyFont="1" applyFill="1" applyBorder="1" applyAlignment="1">
      <alignment horizontal="center" vertical="center" wrapText="1"/>
    </xf>
    <xf numFmtId="0" fontId="19" fillId="0" borderId="172" xfId="0" applyFont="1" applyBorder="1" applyAlignment="1">
      <alignment horizontal="right"/>
    </xf>
    <xf numFmtId="0" fontId="18" fillId="7" borderId="173" xfId="1" applyFont="1" applyFill="1" applyBorder="1" applyAlignment="1">
      <alignment horizontal="center" vertical="top" wrapText="1"/>
    </xf>
    <xf numFmtId="164" fontId="18" fillId="19" borderId="173" xfId="0" applyNumberFormat="1" applyFont="1" applyFill="1" applyBorder="1"/>
    <xf numFmtId="0" fontId="19" fillId="0" borderId="148" xfId="0" applyFont="1" applyBorder="1"/>
    <xf numFmtId="164" fontId="20" fillId="19" borderId="33" xfId="0" applyNumberFormat="1" applyFont="1" applyFill="1" applyBorder="1" applyAlignment="1">
      <alignment horizontal="right" vertical="center"/>
    </xf>
    <xf numFmtId="0" fontId="11" fillId="6" borderId="167" xfId="0" applyFont="1" applyFill="1" applyBorder="1" applyAlignment="1">
      <alignment horizontal="center"/>
    </xf>
    <xf numFmtId="0" fontId="11" fillId="6" borderId="196" xfId="0" applyFont="1" applyFill="1" applyBorder="1" applyAlignment="1">
      <alignment horizontal="center"/>
    </xf>
    <xf numFmtId="164" fontId="18" fillId="19" borderId="167" xfId="5" applyNumberFormat="1" applyFont="1" applyFill="1" applyBorder="1" applyAlignment="1">
      <alignment horizontal="right" vertical="center"/>
    </xf>
    <xf numFmtId="164" fontId="24" fillId="16" borderId="167" xfId="5" applyNumberFormat="1" applyFont="1" applyBorder="1" applyAlignment="1">
      <alignment horizontal="right" vertical="center"/>
    </xf>
    <xf numFmtId="165" fontId="18" fillId="19" borderId="167" xfId="0" applyNumberFormat="1" applyFont="1" applyFill="1" applyBorder="1"/>
    <xf numFmtId="165" fontId="20" fillId="17" borderId="167" xfId="0" applyNumberFormat="1" applyFont="1" applyFill="1" applyBorder="1" applyAlignment="1">
      <alignment horizontal="right"/>
    </xf>
    <xf numFmtId="0" fontId="11" fillId="6" borderId="198" xfId="0" applyFont="1" applyFill="1" applyBorder="1" applyAlignment="1">
      <alignment horizontal="center"/>
    </xf>
    <xf numFmtId="0" fontId="11" fillId="6" borderId="200" xfId="0" applyFont="1" applyFill="1" applyBorder="1" applyAlignment="1">
      <alignment horizontal="center"/>
    </xf>
    <xf numFmtId="0" fontId="11" fillId="6" borderId="175" xfId="0" applyFont="1" applyFill="1" applyBorder="1" applyAlignment="1">
      <alignment horizontal="center"/>
    </xf>
    <xf numFmtId="0" fontId="11" fillId="6" borderId="176" xfId="0" applyFont="1" applyFill="1" applyBorder="1" applyAlignment="1">
      <alignment horizontal="center"/>
    </xf>
    <xf numFmtId="0" fontId="11" fillId="6" borderId="176" xfId="0" applyFont="1" applyFill="1" applyBorder="1" applyAlignment="1">
      <alignment horizontal="center" vertical="center"/>
    </xf>
    <xf numFmtId="0" fontId="11" fillId="6" borderId="172" xfId="0" applyFont="1" applyFill="1" applyBorder="1" applyAlignment="1">
      <alignment horizontal="center" vertical="center"/>
    </xf>
    <xf numFmtId="0" fontId="8" fillId="6" borderId="198" xfId="0" applyFont="1" applyFill="1" applyBorder="1" applyAlignment="1">
      <alignment horizontal="center"/>
    </xf>
    <xf numFmtId="0" fontId="8" fillId="6" borderId="198" xfId="0" applyFont="1" applyFill="1" applyBorder="1" applyAlignment="1">
      <alignment horizontal="center" vertical="center"/>
    </xf>
    <xf numFmtId="0" fontId="11" fillId="6" borderId="246" xfId="0" applyFont="1" applyFill="1" applyBorder="1" applyAlignment="1">
      <alignment horizontal="center" vertical="center" wrapText="1"/>
    </xf>
    <xf numFmtId="0" fontId="11" fillId="6" borderId="269" xfId="0" applyFont="1" applyFill="1" applyBorder="1" applyAlignment="1">
      <alignment horizontal="center" vertical="center" wrapText="1"/>
    </xf>
    <xf numFmtId="165" fontId="20" fillId="25" borderId="176" xfId="0" applyNumberFormat="1" applyFont="1" applyFill="1" applyBorder="1" applyAlignment="1">
      <alignment horizontal="right"/>
    </xf>
    <xf numFmtId="0" fontId="19" fillId="0" borderId="249" xfId="0" applyFont="1" applyBorder="1"/>
    <xf numFmtId="0" fontId="20" fillId="0" borderId="274" xfId="0" applyFont="1" applyBorder="1"/>
    <xf numFmtId="165" fontId="20" fillId="18" borderId="172" xfId="0" applyNumberFormat="1" applyFont="1" applyFill="1" applyBorder="1" applyAlignment="1">
      <alignment horizontal="right"/>
    </xf>
    <xf numFmtId="3" fontId="19" fillId="7" borderId="167" xfId="0" applyNumberFormat="1" applyFont="1" applyFill="1" applyBorder="1" applyAlignment="1">
      <alignment horizontal="right"/>
    </xf>
    <xf numFmtId="164" fontId="19" fillId="0" borderId="0" xfId="0" applyNumberFormat="1" applyFont="1"/>
    <xf numFmtId="164" fontId="18" fillId="19" borderId="35" xfId="0" applyNumberFormat="1" applyFont="1" applyFill="1" applyBorder="1"/>
    <xf numFmtId="164" fontId="18" fillId="19" borderId="36" xfId="0" applyNumberFormat="1" applyFont="1" applyFill="1" applyBorder="1"/>
    <xf numFmtId="0" fontId="11" fillId="6" borderId="235" xfId="0" applyFont="1" applyFill="1" applyBorder="1" applyAlignment="1">
      <alignment horizontal="center" wrapText="1"/>
    </xf>
    <xf numFmtId="0" fontId="15" fillId="7" borderId="173" xfId="1" applyFont="1" applyFill="1" applyBorder="1" applyAlignment="1">
      <alignment vertical="center" wrapText="1"/>
    </xf>
    <xf numFmtId="164" fontId="15" fillId="7" borderId="167" xfId="2" applyNumberFormat="1" applyFont="1" applyFill="1" applyBorder="1" applyAlignment="1">
      <alignment horizontal="right" wrapText="1"/>
    </xf>
    <xf numFmtId="164" fontId="18" fillId="7" borderId="178" xfId="2" applyNumberFormat="1" applyFont="1" applyFill="1" applyBorder="1" applyAlignment="1">
      <alignment horizontal="right" wrapText="1"/>
    </xf>
    <xf numFmtId="164" fontId="18" fillId="19" borderId="176" xfId="2" applyNumberFormat="1" applyFont="1" applyFill="1" applyBorder="1" applyAlignment="1">
      <alignment horizontal="right" wrapText="1"/>
    </xf>
    <xf numFmtId="0" fontId="15" fillId="7" borderId="178" xfId="0" applyFont="1" applyFill="1" applyBorder="1" applyAlignment="1">
      <alignment wrapText="1"/>
    </xf>
    <xf numFmtId="43" fontId="15" fillId="7" borderId="178" xfId="2" applyFont="1" applyFill="1" applyBorder="1" applyAlignment="1">
      <alignment wrapText="1"/>
    </xf>
    <xf numFmtId="0" fontId="11" fillId="6" borderId="221" xfId="0" applyFont="1" applyFill="1" applyBorder="1" applyAlignment="1">
      <alignment horizontal="center" wrapText="1"/>
    </xf>
    <xf numFmtId="3" fontId="30" fillId="0" borderId="178" xfId="0" applyNumberFormat="1" applyFont="1" applyBorder="1"/>
    <xf numFmtId="0" fontId="19" fillId="0" borderId="289" xfId="0" applyFont="1" applyBorder="1"/>
    <xf numFmtId="165" fontId="20" fillId="17" borderId="290" xfId="0" applyNumberFormat="1" applyFont="1" applyFill="1" applyBorder="1" applyAlignment="1">
      <alignment horizontal="right"/>
    </xf>
    <xf numFmtId="0" fontId="11" fillId="6" borderId="291" xfId="0" applyFont="1" applyFill="1" applyBorder="1" applyAlignment="1">
      <alignment horizontal="center" vertical="center"/>
    </xf>
    <xf numFmtId="0" fontId="17" fillId="7" borderId="173" xfId="0" applyFont="1" applyFill="1" applyBorder="1" applyAlignment="1">
      <alignment horizontal="left" vertical="center"/>
    </xf>
    <xf numFmtId="0" fontId="19" fillId="7" borderId="173" xfId="0" applyFont="1" applyFill="1" applyBorder="1" applyAlignment="1">
      <alignment horizontal="center"/>
    </xf>
    <xf numFmtId="0" fontId="19" fillId="7" borderId="167" xfId="0" applyFont="1" applyFill="1" applyBorder="1" applyAlignment="1">
      <alignment horizontal="center"/>
    </xf>
    <xf numFmtId="0" fontId="20" fillId="7" borderId="180" xfId="0" applyFont="1" applyFill="1" applyBorder="1" applyAlignment="1">
      <alignment horizontal="center"/>
    </xf>
    <xf numFmtId="0" fontId="19" fillId="0" borderId="161" xfId="0" applyFont="1" applyBorder="1"/>
    <xf numFmtId="0" fontId="20" fillId="0" borderId="246" xfId="0" applyFont="1" applyBorder="1" applyAlignment="1">
      <alignment horizontal="center"/>
    </xf>
    <xf numFmtId="165" fontId="20" fillId="17" borderId="246" xfId="0" applyNumberFormat="1" applyFont="1" applyFill="1" applyBorder="1" applyAlignment="1">
      <alignment horizontal="right"/>
    </xf>
    <xf numFmtId="165" fontId="20" fillId="17" borderId="287" xfId="0" applyNumberFormat="1" applyFont="1" applyFill="1" applyBorder="1" applyAlignment="1">
      <alignment horizontal="right"/>
    </xf>
    <xf numFmtId="0" fontId="19" fillId="7" borderId="167" xfId="0" applyFont="1" applyFill="1" applyBorder="1" applyAlignment="1">
      <alignment horizontal="right"/>
    </xf>
    <xf numFmtId="0" fontId="19" fillId="7" borderId="178" xfId="0" applyFont="1" applyFill="1" applyBorder="1" applyAlignment="1">
      <alignment horizontal="center"/>
    </xf>
    <xf numFmtId="0" fontId="19" fillId="7" borderId="178" xfId="0" applyFont="1" applyFill="1" applyBorder="1" applyAlignment="1">
      <alignment horizontal="right"/>
    </xf>
    <xf numFmtId="3" fontId="19" fillId="7" borderId="178" xfId="0" applyNumberFormat="1" applyFont="1" applyFill="1" applyBorder="1" applyAlignment="1">
      <alignment horizontal="right"/>
    </xf>
    <xf numFmtId="0" fontId="19" fillId="7" borderId="178" xfId="0" applyFont="1" applyFill="1" applyBorder="1"/>
    <xf numFmtId="0" fontId="19" fillId="0" borderId="241" xfId="0" applyFont="1" applyBorder="1" applyAlignment="1">
      <alignment horizontal="center" vertical="center" wrapText="1"/>
    </xf>
    <xf numFmtId="164" fontId="20" fillId="0" borderId="125" xfId="0" applyNumberFormat="1" applyFont="1" applyBorder="1"/>
    <xf numFmtId="164" fontId="20" fillId="0" borderId="142" xfId="0" applyNumberFormat="1" applyFont="1" applyBorder="1"/>
    <xf numFmtId="164" fontId="20" fillId="0" borderId="192" xfId="0" applyNumberFormat="1" applyFont="1" applyBorder="1"/>
    <xf numFmtId="0" fontId="21" fillId="0" borderId="167" xfId="0" applyFont="1" applyBorder="1" applyAlignment="1">
      <alignment horizontal="left" vertical="center"/>
    </xf>
    <xf numFmtId="165" fontId="20" fillId="0" borderId="196" xfId="0" applyNumberFormat="1" applyFont="1" applyBorder="1"/>
    <xf numFmtId="43" fontId="23" fillId="7" borderId="180" xfId="2" applyFont="1" applyFill="1" applyBorder="1" applyAlignment="1">
      <alignment wrapText="1"/>
    </xf>
    <xf numFmtId="1" fontId="20" fillId="0" borderId="167" xfId="0" applyNumberFormat="1" applyFont="1" applyBorder="1"/>
    <xf numFmtId="165" fontId="20" fillId="17" borderId="167" xfId="0" applyNumberFormat="1" applyFont="1" applyFill="1" applyBorder="1"/>
    <xf numFmtId="0" fontId="11" fillId="6" borderId="173" xfId="0" applyFont="1" applyFill="1" applyBorder="1" applyAlignment="1">
      <alignment horizontal="center" vertical="center"/>
    </xf>
    <xf numFmtId="0" fontId="8" fillId="6" borderId="180" xfId="0" applyFont="1" applyFill="1" applyBorder="1" applyAlignment="1">
      <alignment horizontal="center"/>
    </xf>
    <xf numFmtId="0" fontId="11" fillId="6" borderId="199" xfId="0" applyFont="1" applyFill="1" applyBorder="1" applyAlignment="1">
      <alignment horizontal="center" wrapText="1"/>
    </xf>
    <xf numFmtId="0" fontId="11" fillId="6" borderId="198" xfId="0" applyFont="1" applyFill="1" applyBorder="1" applyAlignment="1">
      <alignment horizontal="center" wrapText="1"/>
    </xf>
    <xf numFmtId="0" fontId="11" fillId="6" borderId="89" xfId="0" applyFont="1" applyFill="1" applyBorder="1" applyAlignment="1">
      <alignment horizontal="center" wrapText="1"/>
    </xf>
    <xf numFmtId="0" fontId="8" fillId="6" borderId="180" xfId="0" applyFont="1" applyFill="1" applyBorder="1" applyAlignment="1">
      <alignment horizontal="center" wrapText="1"/>
    </xf>
    <xf numFmtId="0" fontId="17" fillId="0" borderId="189" xfId="0" applyFont="1" applyBorder="1" applyAlignment="1">
      <alignment horizontal="left" vertical="center"/>
    </xf>
    <xf numFmtId="0" fontId="20" fillId="0" borderId="190" xfId="0" applyFont="1" applyBorder="1"/>
    <xf numFmtId="0" fontId="19" fillId="0" borderId="173" xfId="0" applyFont="1" applyBorder="1" applyAlignment="1">
      <alignment horizontal="right"/>
    </xf>
    <xf numFmtId="3" fontId="20" fillId="0" borderId="183" xfId="0" applyNumberFormat="1" applyFont="1" applyBorder="1" applyAlignment="1">
      <alignment horizontal="right"/>
    </xf>
    <xf numFmtId="3" fontId="19" fillId="0" borderId="188" xfId="0" applyNumberFormat="1" applyFont="1" applyBorder="1"/>
    <xf numFmtId="0" fontId="19" fillId="0" borderId="183" xfId="0" applyFont="1" applyBorder="1" applyAlignment="1">
      <alignment horizontal="right"/>
    </xf>
    <xf numFmtId="164" fontId="20" fillId="0" borderId="196" xfId="0" applyNumberFormat="1" applyFont="1" applyBorder="1"/>
    <xf numFmtId="0" fontId="11" fillId="6" borderId="177" xfId="0" applyFont="1" applyFill="1" applyBorder="1" applyAlignment="1">
      <alignment horizontal="center"/>
    </xf>
    <xf numFmtId="165" fontId="20" fillId="17" borderId="33" xfId="0" applyNumberFormat="1" applyFont="1" applyFill="1" applyBorder="1"/>
    <xf numFmtId="3" fontId="20" fillId="0" borderId="29" xfId="0" applyNumberFormat="1" applyFont="1" applyBorder="1"/>
    <xf numFmtId="165" fontId="20" fillId="18" borderId="33" xfId="0" applyNumberFormat="1" applyFont="1" applyFill="1" applyBorder="1"/>
    <xf numFmtId="1" fontId="8" fillId="6" borderId="180" xfId="0" applyNumberFormat="1" applyFont="1" applyFill="1" applyBorder="1" applyAlignment="1">
      <alignment horizontal="center" vertical="center"/>
    </xf>
    <xf numFmtId="0" fontId="25" fillId="0" borderId="212" xfId="0" applyFont="1" applyBorder="1" applyAlignment="1">
      <alignment vertical="center"/>
    </xf>
    <xf numFmtId="0" fontId="19" fillId="0" borderId="235" xfId="0" applyFont="1" applyBorder="1"/>
    <xf numFmtId="0" fontId="19" fillId="0" borderId="223" xfId="0" applyFont="1" applyBorder="1"/>
    <xf numFmtId="0" fontId="19" fillId="0" borderId="291" xfId="0" applyFont="1" applyBorder="1"/>
    <xf numFmtId="164" fontId="18" fillId="19" borderId="194" xfId="0" applyNumberFormat="1" applyFont="1" applyFill="1" applyBorder="1"/>
    <xf numFmtId="0" fontId="15" fillId="7" borderId="167" xfId="1" applyFont="1" applyFill="1" applyBorder="1" applyAlignment="1">
      <alignment vertical="center" wrapText="1"/>
    </xf>
    <xf numFmtId="43" fontId="23" fillId="7" borderId="176" xfId="2" applyFont="1" applyFill="1" applyBorder="1" applyAlignment="1">
      <alignment wrapText="1"/>
    </xf>
    <xf numFmtId="164" fontId="18" fillId="19" borderId="176" xfId="0" applyNumberFormat="1" applyFont="1" applyFill="1" applyBorder="1" applyAlignment="1">
      <alignment wrapText="1"/>
    </xf>
    <xf numFmtId="43" fontId="18" fillId="7" borderId="173" xfId="2" applyFont="1" applyFill="1" applyBorder="1" applyAlignment="1">
      <alignment wrapText="1"/>
    </xf>
    <xf numFmtId="3" fontId="18" fillId="7" borderId="173" xfId="2" applyNumberFormat="1" applyFont="1" applyFill="1" applyBorder="1" applyAlignment="1">
      <alignment wrapText="1"/>
    </xf>
    <xf numFmtId="3" fontId="20" fillId="0" borderId="173" xfId="0" applyNumberFormat="1" applyFont="1" applyBorder="1" applyAlignment="1">
      <alignment wrapText="1"/>
    </xf>
    <xf numFmtId="0" fontId="11" fillId="6" borderId="188" xfId="0" applyFont="1" applyFill="1" applyBorder="1" applyAlignment="1">
      <alignment horizontal="center" wrapText="1"/>
    </xf>
    <xf numFmtId="167" fontId="41" fillId="0" borderId="228" xfId="7" applyNumberFormat="1" applyFont="1" applyBorder="1" applyAlignment="1">
      <alignment vertical="top" wrapText="1" readingOrder="1"/>
    </xf>
    <xf numFmtId="0" fontId="11" fillId="6" borderId="294" xfId="0" applyFont="1" applyFill="1" applyBorder="1" applyAlignment="1">
      <alignment horizontal="center" wrapText="1"/>
    </xf>
    <xf numFmtId="165" fontId="20" fillId="17" borderId="173" xfId="0" applyNumberFormat="1" applyFont="1" applyFill="1" applyBorder="1"/>
    <xf numFmtId="0" fontId="8" fillId="6" borderId="198" xfId="0" applyFont="1" applyFill="1" applyBorder="1" applyAlignment="1">
      <alignment horizontal="center" wrapText="1"/>
    </xf>
    <xf numFmtId="3" fontId="20" fillId="0" borderId="148" xfId="0" applyNumberFormat="1" applyFont="1" applyBorder="1"/>
    <xf numFmtId="3" fontId="19" fillId="0" borderId="148" xfId="0" applyNumberFormat="1" applyFont="1" applyBorder="1" applyAlignment="1">
      <alignment horizontal="right"/>
    </xf>
    <xf numFmtId="3" fontId="18" fillId="19" borderId="148" xfId="0" applyNumberFormat="1" applyFont="1" applyFill="1" applyBorder="1"/>
    <xf numFmtId="164" fontId="18" fillId="19" borderId="148" xfId="0" applyNumberFormat="1" applyFont="1" applyFill="1" applyBorder="1"/>
    <xf numFmtId="0" fontId="15" fillId="0" borderId="148" xfId="1" applyFont="1" applyBorder="1" applyAlignment="1">
      <alignment horizontal="center" vertical="top" wrapText="1"/>
    </xf>
    <xf numFmtId="0" fontId="18" fillId="7" borderId="148" xfId="1" applyFont="1" applyFill="1" applyBorder="1" applyAlignment="1">
      <alignment horizontal="center" vertical="top" wrapText="1"/>
    </xf>
    <xf numFmtId="164" fontId="20" fillId="0" borderId="148" xfId="0" applyNumberFormat="1" applyFont="1" applyBorder="1"/>
    <xf numFmtId="0" fontId="11" fillId="6" borderId="297" xfId="0" applyFont="1" applyFill="1" applyBorder="1" applyAlignment="1">
      <alignment horizontal="center" wrapText="1"/>
    </xf>
    <xf numFmtId="0" fontId="11" fillId="6" borderId="301" xfId="0" applyFont="1" applyFill="1" applyBorder="1" applyAlignment="1">
      <alignment horizontal="center"/>
    </xf>
    <xf numFmtId="0" fontId="11" fillId="6" borderId="304" xfId="0" applyFont="1" applyFill="1" applyBorder="1" applyAlignment="1">
      <alignment horizontal="center" vertical="center"/>
    </xf>
    <xf numFmtId="0" fontId="11" fillId="6" borderId="297" xfId="0" applyFont="1" applyFill="1" applyBorder="1" applyAlignment="1">
      <alignment horizontal="center" vertical="center"/>
    </xf>
    <xf numFmtId="0" fontId="11" fillId="6" borderId="305" xfId="0" applyFont="1" applyFill="1" applyBorder="1" applyAlignment="1">
      <alignment horizontal="center" vertical="center"/>
    </xf>
    <xf numFmtId="0" fontId="11" fillId="6" borderId="296" xfId="0" applyFont="1" applyFill="1" applyBorder="1" applyAlignment="1">
      <alignment horizontal="center" vertical="center"/>
    </xf>
    <xf numFmtId="3" fontId="20" fillId="0" borderId="289" xfId="0" applyNumberFormat="1" applyFont="1" applyBorder="1" applyAlignment="1">
      <alignment horizontal="right"/>
    </xf>
    <xf numFmtId="3" fontId="20" fillId="0" borderId="309" xfId="0" applyNumberFormat="1" applyFont="1" applyBorder="1"/>
    <xf numFmtId="3" fontId="19" fillId="0" borderId="310" xfId="0" applyNumberFormat="1" applyFont="1" applyBorder="1" applyAlignment="1">
      <alignment horizontal="right"/>
    </xf>
    <xf numFmtId="3" fontId="18" fillId="19" borderId="310" xfId="0" applyNumberFormat="1" applyFont="1" applyFill="1" applyBorder="1"/>
    <xf numFmtId="164" fontId="18" fillId="19" borderId="290" xfId="0" applyNumberFormat="1" applyFont="1" applyFill="1" applyBorder="1"/>
    <xf numFmtId="164" fontId="18" fillId="19" borderId="312" xfId="0" applyNumberFormat="1" applyFont="1" applyFill="1" applyBorder="1"/>
    <xf numFmtId="0" fontId="18" fillId="0" borderId="289" xfId="1" applyFont="1" applyBorder="1" applyAlignment="1">
      <alignment horizontal="center" vertical="top" wrapText="1"/>
    </xf>
    <xf numFmtId="3" fontId="20" fillId="0" borderId="309" xfId="0" applyNumberFormat="1" applyFont="1" applyBorder="1" applyAlignment="1">
      <alignment horizontal="right"/>
    </xf>
    <xf numFmtId="3" fontId="20" fillId="0" borderId="310" xfId="0" applyNumberFormat="1" applyFont="1" applyBorder="1"/>
    <xf numFmtId="164" fontId="20" fillId="0" borderId="310" xfId="0" applyNumberFormat="1" applyFont="1" applyBorder="1"/>
    <xf numFmtId="164" fontId="18" fillId="19" borderId="310" xfId="0" applyNumberFormat="1" applyFont="1" applyFill="1" applyBorder="1"/>
    <xf numFmtId="0" fontId="15" fillId="0" borderId="290" xfId="1" applyFont="1" applyBorder="1" applyAlignment="1">
      <alignment horizontal="center" vertical="top" wrapText="1"/>
    </xf>
    <xf numFmtId="0" fontId="19" fillId="0" borderId="290" xfId="0" applyFont="1" applyBorder="1" applyAlignment="1">
      <alignment horizontal="right"/>
    </xf>
    <xf numFmtId="3" fontId="19" fillId="0" borderId="312" xfId="0" applyNumberFormat="1" applyFont="1" applyBorder="1" applyAlignment="1">
      <alignment horizontal="right"/>
    </xf>
    <xf numFmtId="0" fontId="18" fillId="7" borderId="289" xfId="1" applyFont="1" applyFill="1" applyBorder="1" applyAlignment="1">
      <alignment horizontal="center" vertical="top" wrapText="1"/>
    </xf>
    <xf numFmtId="3" fontId="18" fillId="19" borderId="289" xfId="0" applyNumberFormat="1" applyFont="1" applyFill="1" applyBorder="1"/>
    <xf numFmtId="3" fontId="18" fillId="19" borderId="309" xfId="0" applyNumberFormat="1" applyFont="1" applyFill="1" applyBorder="1"/>
    <xf numFmtId="0" fontId="18" fillId="7" borderId="161" xfId="1" applyFont="1" applyFill="1" applyBorder="1" applyAlignment="1">
      <alignment horizontal="center" vertical="top" wrapText="1"/>
    </xf>
    <xf numFmtId="3" fontId="18" fillId="19" borderId="161" xfId="0" applyNumberFormat="1" applyFont="1" applyFill="1" applyBorder="1"/>
    <xf numFmtId="3" fontId="18" fillId="19" borderId="317" xfId="0" applyNumberFormat="1" applyFont="1" applyFill="1" applyBorder="1"/>
    <xf numFmtId="164" fontId="18" fillId="19" borderId="289" xfId="0" applyNumberFormat="1" applyFont="1" applyFill="1" applyBorder="1"/>
    <xf numFmtId="164" fontId="18" fillId="19" borderId="309" xfId="0" applyNumberFormat="1" applyFont="1" applyFill="1" applyBorder="1"/>
    <xf numFmtId="164" fontId="18" fillId="19" borderId="161" xfId="0" applyNumberFormat="1" applyFont="1" applyFill="1" applyBorder="1"/>
    <xf numFmtId="164" fontId="18" fillId="19" borderId="317" xfId="0" applyNumberFormat="1" applyFont="1" applyFill="1" applyBorder="1"/>
    <xf numFmtId="165" fontId="19" fillId="0" borderId="176" xfId="0" applyNumberFormat="1" applyFont="1" applyBorder="1"/>
    <xf numFmtId="165" fontId="19" fillId="0" borderId="172" xfId="0" applyNumberFormat="1" applyFont="1" applyBorder="1"/>
    <xf numFmtId="0" fontId="18" fillId="7" borderId="167" xfId="0" applyFont="1" applyFill="1" applyBorder="1" applyAlignment="1">
      <alignment wrapText="1"/>
    </xf>
    <xf numFmtId="43" fontId="18" fillId="7" borderId="167" xfId="2" applyFont="1" applyFill="1" applyBorder="1" applyAlignment="1">
      <alignment wrapText="1"/>
    </xf>
    <xf numFmtId="166" fontId="18" fillId="19" borderId="180" xfId="2" applyNumberFormat="1" applyFont="1" applyFill="1" applyBorder="1" applyAlignment="1">
      <alignment wrapText="1"/>
    </xf>
    <xf numFmtId="164" fontId="18" fillId="19" borderId="180" xfId="2" applyNumberFormat="1" applyFont="1" applyFill="1" applyBorder="1" applyAlignment="1">
      <alignment wrapText="1"/>
    </xf>
    <xf numFmtId="0" fontId="11" fillId="6" borderId="89" xfId="0" applyFont="1" applyFill="1" applyBorder="1" applyAlignment="1">
      <alignment horizontal="center"/>
    </xf>
    <xf numFmtId="167" fontId="42" fillId="0" borderId="164" xfId="0" applyNumberFormat="1" applyFont="1" applyBorder="1" applyAlignment="1">
      <alignment vertical="top" wrapText="1" readingOrder="1"/>
    </xf>
    <xf numFmtId="164" fontId="19" fillId="0" borderId="176" xfId="0" applyNumberFormat="1" applyFont="1" applyBorder="1"/>
    <xf numFmtId="3" fontId="15" fillId="7" borderId="178" xfId="2" applyNumberFormat="1" applyFont="1" applyFill="1" applyBorder="1" applyAlignment="1">
      <alignment wrapText="1"/>
    </xf>
    <xf numFmtId="3" fontId="19" fillId="0" borderId="178" xfId="0" applyNumberFormat="1" applyFont="1" applyBorder="1" applyAlignment="1">
      <alignment wrapText="1"/>
    </xf>
    <xf numFmtId="164" fontId="20" fillId="20" borderId="180" xfId="0" applyNumberFormat="1" applyFont="1" applyFill="1" applyBorder="1" applyAlignment="1">
      <alignment wrapText="1"/>
    </xf>
    <xf numFmtId="3" fontId="19" fillId="0" borderId="170" xfId="0" applyNumberFormat="1" applyFont="1" applyBorder="1" applyAlignment="1">
      <alignment horizontal="right"/>
    </xf>
    <xf numFmtId="165" fontId="21" fillId="0" borderId="170" xfId="0" applyNumberFormat="1" applyFont="1" applyBorder="1" applyAlignment="1">
      <alignment vertical="center"/>
    </xf>
    <xf numFmtId="164" fontId="20" fillId="19" borderId="176" xfId="0" applyNumberFormat="1" applyFont="1" applyFill="1" applyBorder="1" applyAlignment="1">
      <alignment horizontal="right" vertical="center"/>
    </xf>
    <xf numFmtId="3" fontId="17" fillId="0" borderId="0" xfId="0" applyNumberFormat="1" applyFont="1" applyAlignment="1">
      <alignment vertical="center"/>
    </xf>
    <xf numFmtId="3" fontId="20" fillId="0" borderId="35" xfId="0" applyNumberFormat="1" applyFont="1" applyBorder="1"/>
    <xf numFmtId="0" fontId="19" fillId="6" borderId="198" xfId="0" applyFont="1" applyFill="1" applyBorder="1"/>
    <xf numFmtId="0" fontId="11" fillId="6" borderId="198" xfId="0" applyFont="1" applyFill="1" applyBorder="1"/>
    <xf numFmtId="164" fontId="18" fillId="19" borderId="180" xfId="3" applyNumberFormat="1" applyFont="1" applyFill="1" applyBorder="1"/>
    <xf numFmtId="0" fontId="18" fillId="7" borderId="178" xfId="2" applyNumberFormat="1" applyFont="1" applyFill="1" applyBorder="1"/>
    <xf numFmtId="164" fontId="18" fillId="7" borderId="178" xfId="2" applyNumberFormat="1" applyFont="1" applyFill="1" applyBorder="1"/>
    <xf numFmtId="43" fontId="23" fillId="7" borderId="176" xfId="2" applyFont="1" applyFill="1" applyBorder="1"/>
    <xf numFmtId="3" fontId="15" fillId="19" borderId="176" xfId="0" applyNumberFormat="1" applyFont="1" applyFill="1" applyBorder="1"/>
    <xf numFmtId="1" fontId="19" fillId="0" borderId="178" xfId="0" applyNumberFormat="1" applyFont="1" applyBorder="1"/>
    <xf numFmtId="3" fontId="18" fillId="0" borderId="180" xfId="0" applyNumberFormat="1" applyFont="1" applyBorder="1"/>
    <xf numFmtId="0" fontId="20" fillId="7" borderId="188" xfId="0" applyFont="1" applyFill="1" applyBorder="1"/>
    <xf numFmtId="0" fontId="20" fillId="7" borderId="183" xfId="0" applyFont="1" applyFill="1" applyBorder="1"/>
    <xf numFmtId="0" fontId="20" fillId="7" borderId="190" xfId="0" applyFont="1" applyFill="1" applyBorder="1"/>
    <xf numFmtId="0" fontId="20" fillId="0" borderId="178" xfId="0" applyFont="1" applyBorder="1" applyAlignment="1">
      <alignment horizontal="right"/>
    </xf>
    <xf numFmtId="0" fontId="20" fillId="0" borderId="170" xfId="0" applyFont="1" applyBorder="1" applyAlignment="1">
      <alignment horizontal="right"/>
    </xf>
    <xf numFmtId="0" fontId="20" fillId="0" borderId="249" xfId="0" applyFont="1" applyBorder="1" applyAlignment="1">
      <alignment horizontal="right"/>
    </xf>
    <xf numFmtId="0" fontId="19" fillId="0" borderId="250" xfId="0" applyFont="1" applyBorder="1" applyAlignment="1">
      <alignment horizontal="right"/>
    </xf>
    <xf numFmtId="0" fontId="19" fillId="0" borderId="274" xfId="0" applyFont="1" applyBorder="1" applyAlignment="1">
      <alignment horizontal="right"/>
    </xf>
    <xf numFmtId="164" fontId="18" fillId="19" borderId="188" xfId="0" applyNumberFormat="1" applyFont="1" applyFill="1" applyBorder="1"/>
    <xf numFmtId="3" fontId="18" fillId="19" borderId="249" xfId="0" applyNumberFormat="1" applyFont="1" applyFill="1" applyBorder="1"/>
    <xf numFmtId="3" fontId="20" fillId="0" borderId="250" xfId="0" applyNumberFormat="1" applyFont="1" applyBorder="1"/>
    <xf numFmtId="3" fontId="18" fillId="19" borderId="250" xfId="0" applyNumberFormat="1" applyFont="1" applyFill="1" applyBorder="1"/>
    <xf numFmtId="3" fontId="18" fillId="19" borderId="274" xfId="0" applyNumberFormat="1" applyFont="1" applyFill="1" applyBorder="1"/>
    <xf numFmtId="164" fontId="15" fillId="7" borderId="167" xfId="2" applyNumberFormat="1" applyFont="1" applyFill="1" applyBorder="1" applyAlignment="1">
      <alignment horizontal="right"/>
    </xf>
    <xf numFmtId="164" fontId="18" fillId="7" borderId="178" xfId="2" applyNumberFormat="1" applyFont="1" applyFill="1" applyBorder="1" applyAlignment="1">
      <alignment horizontal="right"/>
    </xf>
    <xf numFmtId="164" fontId="18" fillId="19" borderId="176" xfId="2" applyNumberFormat="1" applyFont="1" applyFill="1" applyBorder="1" applyAlignment="1">
      <alignment horizontal="right"/>
    </xf>
    <xf numFmtId="0" fontId="15" fillId="0" borderId="167" xfId="0" applyFont="1" applyBorder="1"/>
    <xf numFmtId="165" fontId="20" fillId="7" borderId="148" xfId="0" applyNumberFormat="1" applyFont="1" applyFill="1" applyBorder="1" applyAlignment="1">
      <alignment horizontal="right"/>
    </xf>
    <xf numFmtId="0" fontId="19" fillId="0" borderId="178" xfId="0" applyFont="1" applyBorder="1" applyAlignment="1">
      <alignment horizontal="left" wrapText="1"/>
    </xf>
    <xf numFmtId="164" fontId="19" fillId="19" borderId="176" xfId="3" applyNumberFormat="1" applyFont="1" applyFill="1" applyBorder="1" applyAlignment="1">
      <alignment horizontal="right" vertical="center"/>
    </xf>
    <xf numFmtId="0" fontId="19" fillId="0" borderId="211" xfId="0" applyFont="1" applyBorder="1" applyAlignment="1">
      <alignment horizontal="center"/>
    </xf>
    <xf numFmtId="0" fontId="19" fillId="0" borderId="212" xfId="0" applyFont="1" applyBorder="1" applyAlignment="1">
      <alignment horizontal="center"/>
    </xf>
    <xf numFmtId="0" fontId="19" fillId="7" borderId="148" xfId="0" applyFont="1" applyFill="1" applyBorder="1"/>
    <xf numFmtId="0" fontId="11" fillId="6" borderId="92" xfId="0" applyFont="1" applyFill="1" applyBorder="1" applyAlignment="1">
      <alignment horizontal="center" wrapText="1"/>
    </xf>
    <xf numFmtId="165" fontId="20" fillId="25" borderId="290" xfId="0" applyNumberFormat="1" applyFont="1" applyFill="1" applyBorder="1" applyAlignment="1">
      <alignment horizontal="right"/>
    </xf>
    <xf numFmtId="165" fontId="20" fillId="25" borderId="172" xfId="0" applyNumberFormat="1" applyFont="1" applyFill="1" applyBorder="1" applyAlignment="1">
      <alignment horizontal="right"/>
    </xf>
    <xf numFmtId="165" fontId="20" fillId="25" borderId="246" xfId="0" applyNumberFormat="1" applyFont="1" applyFill="1" applyBorder="1" applyAlignment="1">
      <alignment horizontal="right"/>
    </xf>
    <xf numFmtId="0" fontId="11" fillId="6" borderId="67" xfId="0" applyFont="1" applyFill="1" applyBorder="1" applyAlignment="1">
      <alignment horizontal="center" vertical="center"/>
    </xf>
    <xf numFmtId="0" fontId="11" fillId="6" borderId="320" xfId="0" applyFont="1" applyFill="1" applyBorder="1" applyAlignment="1">
      <alignment horizontal="center" vertical="center"/>
    </xf>
    <xf numFmtId="0" fontId="19" fillId="0" borderId="252" xfId="0" applyFont="1" applyBorder="1"/>
    <xf numFmtId="0" fontId="20" fillId="0" borderId="251" xfId="0" applyFont="1" applyBorder="1"/>
    <xf numFmtId="165" fontId="20" fillId="19" borderId="181" xfId="0" applyNumberFormat="1" applyFont="1" applyFill="1" applyBorder="1" applyAlignment="1">
      <alignment horizontal="right"/>
    </xf>
    <xf numFmtId="0" fontId="11" fillId="6" borderId="212" xfId="0" applyFont="1" applyFill="1" applyBorder="1" applyAlignment="1">
      <alignment horizontal="center"/>
    </xf>
    <xf numFmtId="165" fontId="20" fillId="18" borderId="181" xfId="0" applyNumberFormat="1" applyFont="1" applyFill="1" applyBorder="1" applyAlignment="1">
      <alignment horizontal="right"/>
    </xf>
    <xf numFmtId="165" fontId="20" fillId="17" borderId="172" xfId="0" applyNumberFormat="1" applyFont="1" applyFill="1" applyBorder="1" applyAlignment="1">
      <alignment horizontal="right"/>
    </xf>
    <xf numFmtId="0" fontId="11" fillId="6" borderId="67" xfId="0" applyFont="1" applyFill="1" applyBorder="1" applyAlignment="1">
      <alignment horizontal="center" wrapText="1"/>
    </xf>
    <xf numFmtId="0" fontId="11" fillId="6" borderId="67" xfId="0" applyFont="1" applyFill="1" applyBorder="1" applyAlignment="1">
      <alignment horizontal="center" vertical="center" wrapText="1"/>
    </xf>
    <xf numFmtId="0" fontId="11" fillId="6" borderId="320" xfId="0" applyFont="1" applyFill="1" applyBorder="1" applyAlignment="1">
      <alignment horizontal="center" vertical="center" wrapText="1"/>
    </xf>
    <xf numFmtId="0" fontId="20" fillId="0" borderId="213" xfId="0" applyFont="1" applyBorder="1" applyAlignment="1">
      <alignment horizontal="center"/>
    </xf>
    <xf numFmtId="167" fontId="43" fillId="27" borderId="164" xfId="7" applyNumberFormat="1" applyFont="1" applyFill="1" applyBorder="1" applyAlignment="1">
      <alignment vertical="top" wrapText="1" readingOrder="1"/>
    </xf>
    <xf numFmtId="167" fontId="25" fillId="0" borderId="164" xfId="7" applyNumberFormat="1" applyFont="1" applyBorder="1" applyAlignment="1">
      <alignment vertical="top" wrapText="1" readingOrder="1"/>
    </xf>
    <xf numFmtId="0" fontId="19" fillId="0" borderId="0" xfId="0" applyFont="1" applyAlignment="1">
      <alignment vertical="center"/>
    </xf>
    <xf numFmtId="0" fontId="19" fillId="4" borderId="1" xfId="0" applyFont="1" applyFill="1" applyBorder="1" applyAlignment="1">
      <alignment horizontal="center" vertical="center"/>
    </xf>
    <xf numFmtId="0" fontId="36" fillId="4" borderId="1" xfId="1" applyFont="1" applyFill="1" applyBorder="1" applyAlignment="1">
      <alignment horizontal="center" vertical="center"/>
    </xf>
    <xf numFmtId="0" fontId="19" fillId="0" borderId="1" xfId="0" applyFont="1" applyBorder="1" applyAlignment="1">
      <alignment horizontal="center" vertical="center"/>
    </xf>
    <xf numFmtId="0" fontId="36" fillId="0" borderId="1" xfId="1" applyFont="1" applyBorder="1" applyAlignment="1">
      <alignment horizontal="center" vertical="center"/>
    </xf>
    <xf numFmtId="3" fontId="21" fillId="0" borderId="173" xfId="0" applyNumberFormat="1" applyFont="1" applyBorder="1"/>
    <xf numFmtId="3" fontId="21" fillId="0" borderId="167" xfId="0" applyNumberFormat="1" applyFont="1" applyBorder="1"/>
    <xf numFmtId="3" fontId="21" fillId="0" borderId="176" xfId="0" applyNumberFormat="1" applyFont="1" applyBorder="1"/>
    <xf numFmtId="3" fontId="21" fillId="0" borderId="178" xfId="0" applyNumberFormat="1" applyFont="1" applyBorder="1"/>
    <xf numFmtId="167" fontId="43" fillId="0" borderId="228" xfId="7" applyNumberFormat="1" applyFont="1" applyBorder="1" applyAlignment="1">
      <alignment vertical="top" wrapText="1" readingOrder="1"/>
    </xf>
    <xf numFmtId="0" fontId="20" fillId="0" borderId="153" xfId="0" applyFont="1" applyBorder="1"/>
    <xf numFmtId="0" fontId="21" fillId="0" borderId="173" xfId="0" applyFont="1" applyBorder="1"/>
    <xf numFmtId="0" fontId="17" fillId="0" borderId="167" xfId="0" applyFont="1" applyBorder="1"/>
    <xf numFmtId="0" fontId="17" fillId="0" borderId="176" xfId="0" applyFont="1" applyBorder="1"/>
    <xf numFmtId="0" fontId="21" fillId="0" borderId="178" xfId="0" applyFont="1" applyBorder="1"/>
    <xf numFmtId="3" fontId="17" fillId="0" borderId="167" xfId="0" applyNumberFormat="1" applyFont="1" applyBorder="1"/>
    <xf numFmtId="3" fontId="17" fillId="0" borderId="180" xfId="0" applyNumberFormat="1" applyFont="1" applyBorder="1"/>
    <xf numFmtId="165" fontId="20" fillId="19" borderId="33" xfId="0" applyNumberFormat="1" applyFont="1" applyFill="1" applyBorder="1"/>
    <xf numFmtId="165" fontId="20" fillId="18" borderId="163" xfId="0" applyNumberFormat="1" applyFont="1" applyFill="1" applyBorder="1"/>
    <xf numFmtId="3" fontId="20" fillId="0" borderId="17" xfId="0" applyNumberFormat="1" applyFont="1" applyBorder="1"/>
    <xf numFmtId="165" fontId="20" fillId="19" borderId="49" xfId="0" applyNumberFormat="1" applyFont="1" applyFill="1" applyBorder="1"/>
    <xf numFmtId="0" fontId="20" fillId="7" borderId="321" xfId="0" applyFont="1" applyFill="1" applyBorder="1"/>
    <xf numFmtId="164" fontId="20" fillId="17" borderId="40" xfId="0" applyNumberFormat="1" applyFont="1" applyFill="1" applyBorder="1" applyAlignment="1">
      <alignment horizontal="right" vertical="center"/>
    </xf>
    <xf numFmtId="164" fontId="20" fillId="17" borderId="32" xfId="0" applyNumberFormat="1" applyFont="1" applyFill="1" applyBorder="1" applyAlignment="1">
      <alignment horizontal="right" vertical="center"/>
    </xf>
    <xf numFmtId="164" fontId="20" fillId="17" borderId="32" xfId="3" applyNumberFormat="1" applyFont="1" applyFill="1" applyBorder="1" applyAlignment="1">
      <alignment horizontal="right" vertical="center"/>
    </xf>
    <xf numFmtId="0" fontId="20" fillId="7" borderId="322" xfId="0" applyFont="1" applyFill="1" applyBorder="1"/>
    <xf numFmtId="0" fontId="19" fillId="0" borderId="59" xfId="0" applyFont="1" applyBorder="1" applyAlignment="1">
      <alignment horizontal="center"/>
    </xf>
    <xf numFmtId="164" fontId="20" fillId="19" borderId="33" xfId="3" applyNumberFormat="1" applyFont="1" applyFill="1" applyBorder="1" applyAlignment="1">
      <alignment horizontal="right" vertical="center"/>
    </xf>
    <xf numFmtId="0" fontId="11" fillId="6" borderId="51" xfId="0" applyFont="1" applyFill="1" applyBorder="1" applyAlignment="1">
      <alignment horizontal="center" wrapText="1"/>
    </xf>
    <xf numFmtId="0" fontId="8" fillId="6" borderId="65" xfId="0" applyFont="1" applyFill="1" applyBorder="1" applyAlignment="1">
      <alignment horizontal="center" vertical="center"/>
    </xf>
    <xf numFmtId="0" fontId="8" fillId="6" borderId="67" xfId="0" applyFont="1" applyFill="1" applyBorder="1" applyAlignment="1">
      <alignment horizontal="center" vertical="center"/>
    </xf>
    <xf numFmtId="0" fontId="8" fillId="6" borderId="320" xfId="0" applyFont="1" applyFill="1" applyBorder="1" applyAlignment="1">
      <alignment horizontal="center" vertical="center"/>
    </xf>
    <xf numFmtId="0" fontId="19" fillId="6" borderId="178" xfId="0" applyFont="1" applyFill="1" applyBorder="1"/>
    <xf numFmtId="0" fontId="11" fillId="6" borderId="178" xfId="0" applyFont="1" applyFill="1" applyBorder="1" applyAlignment="1">
      <alignment horizontal="center"/>
    </xf>
    <xf numFmtId="0" fontId="11" fillId="6" borderId="178" xfId="0" applyFont="1" applyFill="1" applyBorder="1"/>
    <xf numFmtId="0" fontId="11" fillId="6" borderId="234" xfId="0" applyFont="1" applyFill="1" applyBorder="1" applyAlignment="1">
      <alignment horizontal="center" wrapText="1"/>
    </xf>
    <xf numFmtId="0" fontId="11" fillId="6" borderId="323" xfId="0" applyFont="1" applyFill="1" applyBorder="1" applyAlignment="1">
      <alignment horizontal="center" wrapText="1"/>
    </xf>
    <xf numFmtId="0" fontId="11" fillId="6" borderId="324" xfId="0" applyFont="1" applyFill="1" applyBorder="1" applyAlignment="1">
      <alignment horizontal="center" vertical="center"/>
    </xf>
    <xf numFmtId="0" fontId="42" fillId="0" borderId="325" xfId="0" applyFont="1" applyBorder="1" applyAlignment="1">
      <alignment wrapText="1" readingOrder="1"/>
    </xf>
    <xf numFmtId="0" fontId="25" fillId="0" borderId="295" xfId="0" applyFont="1" applyBorder="1" applyAlignment="1">
      <alignment wrapText="1" readingOrder="1"/>
    </xf>
    <xf numFmtId="167" fontId="25" fillId="26" borderId="164" xfId="7" applyNumberFormat="1" applyFont="1" applyFill="1" applyBorder="1" applyAlignment="1">
      <alignment vertical="top" wrapText="1" readingOrder="1"/>
    </xf>
    <xf numFmtId="3" fontId="17" fillId="0" borderId="176" xfId="0" applyNumberFormat="1" applyFont="1" applyBorder="1"/>
    <xf numFmtId="167" fontId="25" fillId="0" borderId="167" xfId="0" applyNumberFormat="1" applyFont="1" applyBorder="1" applyAlignment="1">
      <alignment vertical="top" wrapText="1" readingOrder="1"/>
    </xf>
    <xf numFmtId="0" fontId="15" fillId="0" borderId="178" xfId="0" applyFont="1" applyBorder="1"/>
    <xf numFmtId="167" fontId="25" fillId="0" borderId="148" xfId="7" applyNumberFormat="1" applyFont="1" applyBorder="1" applyAlignment="1">
      <alignment vertical="top" wrapText="1" readingOrder="1"/>
    </xf>
    <xf numFmtId="3" fontId="17" fillId="0" borderId="178" xfId="0" applyNumberFormat="1" applyFont="1" applyBorder="1"/>
    <xf numFmtId="167" fontId="25" fillId="0" borderId="148" xfId="0" applyNumberFormat="1" applyFont="1" applyBorder="1" applyAlignment="1">
      <alignment vertical="top" wrapText="1" readingOrder="1"/>
    </xf>
    <xf numFmtId="3" fontId="25" fillId="27" borderId="164" xfId="7" applyNumberFormat="1" applyFont="1" applyFill="1" applyBorder="1" applyAlignment="1">
      <alignment vertical="top" wrapText="1" readingOrder="1"/>
    </xf>
    <xf numFmtId="167" fontId="25" fillId="0" borderId="164" xfId="0" applyNumberFormat="1" applyFont="1" applyBorder="1" applyAlignment="1">
      <alignment vertical="top" wrapText="1" readingOrder="1"/>
    </xf>
    <xf numFmtId="167" fontId="25" fillId="27" borderId="164" xfId="7" applyNumberFormat="1" applyFont="1" applyFill="1" applyBorder="1" applyAlignment="1">
      <alignment vertical="top" wrapText="1" readingOrder="1"/>
    </xf>
    <xf numFmtId="165" fontId="20" fillId="7" borderId="289" xfId="0" applyNumberFormat="1" applyFont="1" applyFill="1" applyBorder="1" applyAlignment="1">
      <alignment horizontal="right"/>
    </xf>
    <xf numFmtId="0" fontId="19" fillId="7" borderId="309" xfId="0" applyFont="1" applyFill="1" applyBorder="1"/>
    <xf numFmtId="0" fontId="19" fillId="7" borderId="310" xfId="0" applyFont="1" applyFill="1" applyBorder="1"/>
    <xf numFmtId="165" fontId="20" fillId="7" borderId="290" xfId="0" applyNumberFormat="1" applyFont="1" applyFill="1" applyBorder="1" applyAlignment="1">
      <alignment horizontal="right"/>
    </xf>
    <xf numFmtId="0" fontId="19" fillId="7" borderId="312" xfId="0" applyFont="1" applyFill="1" applyBorder="1"/>
    <xf numFmtId="0" fontId="19" fillId="7" borderId="289" xfId="0" applyFont="1" applyFill="1" applyBorder="1"/>
    <xf numFmtId="165" fontId="20" fillId="7" borderId="149" xfId="0" applyNumberFormat="1" applyFont="1" applyFill="1" applyBorder="1" applyAlignment="1">
      <alignment horizontal="right"/>
    </xf>
    <xf numFmtId="165" fontId="20" fillId="7" borderId="326" xfId="0" applyNumberFormat="1" applyFont="1" applyFill="1" applyBorder="1" applyAlignment="1">
      <alignment horizontal="right"/>
    </xf>
    <xf numFmtId="165" fontId="20" fillId="7" borderId="269" xfId="0" applyNumberFormat="1" applyFont="1" applyFill="1" applyBorder="1" applyAlignment="1">
      <alignment horizontal="right"/>
    </xf>
    <xf numFmtId="167" fontId="41" fillId="26" borderId="164" xfId="7" applyNumberFormat="1" applyFont="1" applyFill="1" applyBorder="1" applyAlignment="1">
      <alignment vertical="top" wrapText="1" readingOrder="1"/>
    </xf>
    <xf numFmtId="167" fontId="42" fillId="26" borderId="164" xfId="7" applyNumberFormat="1" applyFont="1" applyFill="1" applyBorder="1" applyAlignment="1">
      <alignment vertical="top" wrapText="1" readingOrder="1"/>
    </xf>
    <xf numFmtId="167" fontId="42" fillId="0" borderId="164" xfId="7" applyNumberFormat="1" applyFont="1" applyBorder="1" applyAlignment="1">
      <alignment vertical="top" wrapText="1" readingOrder="1"/>
    </xf>
    <xf numFmtId="165" fontId="20" fillId="7" borderId="180" xfId="0" applyNumberFormat="1" applyFont="1" applyFill="1" applyBorder="1" applyAlignment="1">
      <alignment horizontal="right"/>
    </xf>
    <xf numFmtId="0" fontId="3" fillId="0" borderId="0" xfId="0" applyFont="1" applyAlignment="1">
      <alignment horizontal="left" vertical="center"/>
    </xf>
    <xf numFmtId="0" fontId="3" fillId="0" borderId="6" xfId="0" applyFont="1" applyBorder="1" applyAlignment="1">
      <alignment horizontal="left" vertical="center"/>
    </xf>
    <xf numFmtId="0" fontId="44" fillId="19" borderId="91" xfId="0" applyFont="1" applyFill="1" applyBorder="1" applyAlignment="1">
      <alignment horizontal="center" vertical="center" wrapText="1"/>
    </xf>
    <xf numFmtId="0" fontId="44" fillId="28" borderId="160" xfId="0" applyFont="1" applyFill="1" applyBorder="1" applyAlignment="1">
      <alignment horizontal="center" vertical="center" wrapText="1"/>
    </xf>
    <xf numFmtId="0" fontId="40" fillId="29" borderId="51" xfId="0" applyFont="1" applyFill="1" applyBorder="1"/>
    <xf numFmtId="0" fontId="39" fillId="29" borderId="66" xfId="0" applyFont="1" applyFill="1" applyBorder="1"/>
    <xf numFmtId="0" fontId="40" fillId="29" borderId="119" xfId="0" applyFont="1" applyFill="1" applyBorder="1"/>
    <xf numFmtId="0" fontId="19" fillId="29" borderId="120" xfId="0" applyFont="1" applyFill="1" applyBorder="1"/>
    <xf numFmtId="0" fontId="40" fillId="29" borderId="120" xfId="0" applyFont="1" applyFill="1" applyBorder="1" applyAlignment="1">
      <alignment horizontal="left" wrapText="1"/>
    </xf>
    <xf numFmtId="0" fontId="40" fillId="29" borderId="119" xfId="0" applyFont="1" applyFill="1" applyBorder="1" applyAlignment="1">
      <alignment horizontal="left"/>
    </xf>
    <xf numFmtId="0" fontId="8" fillId="6" borderId="65" xfId="0" applyFont="1" applyFill="1" applyBorder="1" applyAlignment="1">
      <alignment horizontal="center" wrapText="1"/>
    </xf>
    <xf numFmtId="0" fontId="11" fillId="6" borderId="119" xfId="0" applyFont="1" applyFill="1" applyBorder="1" applyAlignment="1">
      <alignment horizontal="center" vertical="center"/>
    </xf>
    <xf numFmtId="0" fontId="33" fillId="2" borderId="327" xfId="1" applyFont="1" applyFill="1" applyBorder="1" applyAlignment="1">
      <alignment horizontal="center" vertical="center"/>
    </xf>
    <xf numFmtId="0" fontId="34" fillId="5" borderId="328" xfId="1" applyFont="1" applyFill="1" applyBorder="1" applyAlignment="1">
      <alignment horizontal="center" vertical="center"/>
    </xf>
    <xf numFmtId="0" fontId="19" fillId="0" borderId="329" xfId="0" applyFont="1" applyBorder="1"/>
    <xf numFmtId="0" fontId="19" fillId="0" borderId="330" xfId="0" applyFont="1" applyBorder="1"/>
    <xf numFmtId="0" fontId="19" fillId="0" borderId="331" xfId="0" applyFont="1" applyBorder="1"/>
    <xf numFmtId="0" fontId="19" fillId="0" borderId="332" xfId="0" applyFont="1" applyBorder="1"/>
    <xf numFmtId="0" fontId="19" fillId="0" borderId="333" xfId="0" applyFont="1" applyBorder="1"/>
    <xf numFmtId="0" fontId="19" fillId="0" borderId="334" xfId="0" applyFont="1" applyBorder="1"/>
    <xf numFmtId="0" fontId="19" fillId="0" borderId="335" xfId="0" applyFont="1" applyBorder="1"/>
    <xf numFmtId="0" fontId="19" fillId="0" borderId="336" xfId="0" applyFont="1" applyBorder="1"/>
    <xf numFmtId="0" fontId="19" fillId="0" borderId="337" xfId="0" applyFont="1" applyBorder="1"/>
    <xf numFmtId="0" fontId="19" fillId="0" borderId="10" xfId="0" applyFont="1" applyBorder="1"/>
    <xf numFmtId="0" fontId="3" fillId="0" borderId="51" xfId="0" applyFont="1" applyBorder="1" applyAlignment="1">
      <alignment horizontal="left" vertical="center"/>
    </xf>
    <xf numFmtId="0" fontId="3" fillId="0" borderId="65" xfId="0" applyFont="1" applyBorder="1" applyAlignment="1">
      <alignment horizontal="left" vertical="center"/>
    </xf>
    <xf numFmtId="165" fontId="18" fillId="18" borderId="176" xfId="0" applyNumberFormat="1" applyFont="1" applyFill="1" applyBorder="1" applyAlignment="1">
      <alignment horizontal="right"/>
    </xf>
    <xf numFmtId="165" fontId="19" fillId="18" borderId="176" xfId="0" applyNumberFormat="1" applyFont="1" applyFill="1" applyBorder="1" applyAlignment="1">
      <alignment horizontal="right"/>
    </xf>
    <xf numFmtId="3" fontId="20" fillId="7" borderId="176" xfId="0" applyNumberFormat="1" applyFont="1" applyFill="1" applyBorder="1"/>
    <xf numFmtId="0" fontId="19" fillId="7" borderId="176" xfId="0" applyFont="1" applyFill="1" applyBorder="1"/>
    <xf numFmtId="165" fontId="20" fillId="0" borderId="176" xfId="0" applyNumberFormat="1" applyFont="1" applyBorder="1" applyAlignment="1">
      <alignment horizontal="right"/>
    </xf>
    <xf numFmtId="0" fontId="19" fillId="0" borderId="170" xfId="0" applyFont="1" applyBorder="1" applyAlignment="1">
      <alignment horizontal="right"/>
    </xf>
    <xf numFmtId="0" fontId="20" fillId="0" borderId="172" xfId="0" applyFont="1" applyBorder="1" applyAlignment="1">
      <alignment horizontal="center"/>
    </xf>
    <xf numFmtId="165" fontId="19" fillId="0" borderId="176" xfId="0" applyNumberFormat="1" applyFont="1" applyBorder="1" applyAlignment="1">
      <alignment horizontal="right"/>
    </xf>
    <xf numFmtId="3" fontId="30" fillId="0" borderId="180" xfId="0" applyNumberFormat="1" applyFont="1" applyBorder="1"/>
    <xf numFmtId="0" fontId="11" fillId="6" borderId="99" xfId="0" applyFont="1" applyFill="1" applyBorder="1" applyAlignment="1">
      <alignment horizontal="center"/>
    </xf>
    <xf numFmtId="0" fontId="45" fillId="0" borderId="0" xfId="0" applyFont="1" applyAlignment="1">
      <alignment vertical="center"/>
    </xf>
    <xf numFmtId="49" fontId="45" fillId="0" borderId="0" xfId="0" applyNumberFormat="1" applyFont="1" applyAlignment="1">
      <alignment horizontal="right" vertical="center" wrapText="1"/>
    </xf>
    <xf numFmtId="0" fontId="46" fillId="0" borderId="0" xfId="0" applyFont="1"/>
    <xf numFmtId="1" fontId="47" fillId="0" borderId="340" xfId="0" applyNumberFormat="1" applyFont="1" applyBorder="1" applyAlignment="1">
      <alignment horizontal="right" vertical="top" shrinkToFit="1"/>
    </xf>
    <xf numFmtId="1" fontId="48" fillId="0" borderId="340" xfId="0" applyNumberFormat="1" applyFont="1" applyBorder="1" applyAlignment="1">
      <alignment horizontal="right" vertical="top" shrinkToFit="1"/>
    </xf>
    <xf numFmtId="1" fontId="30" fillId="0" borderId="340" xfId="0" applyNumberFormat="1" applyFont="1" applyBorder="1" applyAlignment="1">
      <alignment horizontal="right" vertical="top" shrinkToFit="1"/>
    </xf>
    <xf numFmtId="1" fontId="30" fillId="0" borderId="340" xfId="0" applyNumberFormat="1" applyFont="1" applyBorder="1" applyAlignment="1">
      <alignment horizontal="right" vertical="center" shrinkToFit="1"/>
    </xf>
    <xf numFmtId="0" fontId="44" fillId="19" borderId="91" xfId="0" applyFont="1" applyFill="1" applyBorder="1" applyAlignment="1">
      <alignment horizontal="left" vertical="center" wrapText="1"/>
    </xf>
    <xf numFmtId="0" fontId="11" fillId="3" borderId="91" xfId="0" applyFont="1" applyFill="1" applyBorder="1" applyAlignment="1">
      <alignment horizontal="left" vertical="center" wrapText="1"/>
    </xf>
    <xf numFmtId="1" fontId="19" fillId="0" borderId="171" xfId="0" applyNumberFormat="1" applyFont="1" applyBorder="1"/>
    <xf numFmtId="1" fontId="19" fillId="0" borderId="172" xfId="0" applyNumberFormat="1" applyFont="1" applyBorder="1"/>
    <xf numFmtId="0" fontId="20" fillId="7" borderId="170" xfId="0" applyFont="1" applyFill="1" applyBorder="1"/>
    <xf numFmtId="0" fontId="35" fillId="7" borderId="171" xfId="0" applyFont="1" applyFill="1" applyBorder="1"/>
    <xf numFmtId="164" fontId="20" fillId="7" borderId="181" xfId="0" applyNumberFormat="1" applyFont="1" applyFill="1" applyBorder="1"/>
    <xf numFmtId="0" fontId="6" fillId="0" borderId="148" xfId="0" applyFont="1" applyBorder="1"/>
    <xf numFmtId="164" fontId="6" fillId="0" borderId="148" xfId="0" applyNumberFormat="1" applyFont="1" applyBorder="1"/>
    <xf numFmtId="0" fontId="20" fillId="0" borderId="148" xfId="0" applyFont="1" applyBorder="1"/>
    <xf numFmtId="0" fontId="20" fillId="7" borderId="194" xfId="0" applyFont="1" applyFill="1" applyBorder="1"/>
    <xf numFmtId="0" fontId="20" fillId="7" borderId="171" xfId="0" applyFont="1" applyFill="1" applyBorder="1"/>
    <xf numFmtId="0" fontId="20" fillId="0" borderId="194" xfId="0" applyFont="1" applyBorder="1" applyAlignment="1">
      <alignment wrapText="1"/>
    </xf>
    <xf numFmtId="164" fontId="20" fillId="0" borderId="172" xfId="0" applyNumberFormat="1" applyFont="1" applyBorder="1" applyAlignment="1">
      <alignment horizontal="left" indent="6"/>
    </xf>
    <xf numFmtId="3" fontId="41" fillId="26" borderId="164" xfId="7" applyNumberFormat="1" applyFont="1" applyFill="1" applyBorder="1" applyAlignment="1">
      <alignment vertical="top" wrapText="1" readingOrder="1"/>
    </xf>
    <xf numFmtId="0" fontId="4" fillId="0" borderId="0" xfId="1" applyAlignment="1">
      <alignment wrapText="1"/>
    </xf>
    <xf numFmtId="0" fontId="44" fillId="28" borderId="341" xfId="0" applyFont="1" applyFill="1" applyBorder="1" applyAlignment="1">
      <alignment horizontal="center" vertical="center" wrapText="1"/>
    </xf>
    <xf numFmtId="0" fontId="36" fillId="0" borderId="0" xfId="1" applyFont="1" applyFill="1" applyBorder="1" applyAlignment="1">
      <alignment horizontal="center" vertical="center"/>
    </xf>
    <xf numFmtId="0" fontId="36" fillId="0" borderId="0" xfId="1" applyFont="1" applyAlignment="1">
      <alignment horizontal="center" vertical="center"/>
    </xf>
    <xf numFmtId="0" fontId="11" fillId="3" borderId="91" xfId="0" applyFont="1" applyFill="1" applyBorder="1" applyAlignment="1">
      <alignment horizontal="left" vertical="center" wrapText="1"/>
    </xf>
    <xf numFmtId="0" fontId="2" fillId="2" borderId="156" xfId="0" applyFont="1" applyFill="1" applyBorder="1" applyAlignment="1">
      <alignment horizontal="center" vertical="center" wrapText="1"/>
    </xf>
    <xf numFmtId="0" fontId="2" fillId="2" borderId="157" xfId="0" applyFont="1" applyFill="1" applyBorder="1" applyAlignment="1">
      <alignment horizontal="center" vertical="center" wrapText="1"/>
    </xf>
    <xf numFmtId="0" fontId="2" fillId="2" borderId="158" xfId="0" applyFont="1" applyFill="1" applyBorder="1" applyAlignment="1">
      <alignment horizontal="center" vertical="center" wrapText="1"/>
    </xf>
    <xf numFmtId="0" fontId="2" fillId="2" borderId="159" xfId="0" applyFont="1" applyFill="1" applyBorder="1" applyAlignment="1">
      <alignment horizontal="center" vertical="center" wrapText="1"/>
    </xf>
    <xf numFmtId="0" fontId="3" fillId="5" borderId="2" xfId="0" applyFont="1" applyFill="1" applyBorder="1" applyAlignment="1">
      <alignment horizontal="center" vertical="center"/>
    </xf>
    <xf numFmtId="0" fontId="3" fillId="5" borderId="3" xfId="0" applyFont="1" applyFill="1" applyBorder="1" applyAlignment="1">
      <alignment horizontal="center" vertical="center"/>
    </xf>
    <xf numFmtId="0" fontId="11" fillId="6" borderId="113" xfId="0" applyFont="1" applyFill="1" applyBorder="1" applyAlignment="1">
      <alignment horizontal="left" vertical="center" wrapText="1"/>
    </xf>
    <xf numFmtId="0" fontId="14" fillId="6" borderId="114" xfId="0" applyFont="1" applyFill="1" applyBorder="1" applyAlignment="1">
      <alignment horizontal="left" vertical="center" wrapText="1"/>
    </xf>
    <xf numFmtId="0" fontId="11" fillId="6" borderId="114" xfId="0" applyFont="1" applyFill="1" applyBorder="1" applyAlignment="1">
      <alignment horizontal="left" vertical="center" wrapText="1"/>
    </xf>
    <xf numFmtId="0" fontId="11" fillId="6" borderId="111" xfId="0" applyFont="1" applyFill="1" applyBorder="1" applyAlignment="1">
      <alignment horizontal="left" vertical="center" wrapText="1"/>
    </xf>
    <xf numFmtId="0" fontId="11" fillId="6" borderId="121" xfId="0" applyFont="1" applyFill="1" applyBorder="1" applyAlignment="1">
      <alignment horizontal="left" vertical="center" wrapText="1"/>
    </xf>
    <xf numFmtId="0" fontId="19" fillId="0" borderId="118" xfId="0" applyFont="1" applyBorder="1" applyAlignment="1">
      <alignment horizontal="left" vertical="center" wrapText="1"/>
    </xf>
    <xf numFmtId="0" fontId="19" fillId="0" borderId="117" xfId="0" applyFont="1" applyBorder="1" applyAlignment="1">
      <alignment horizontal="left" vertical="center" wrapText="1"/>
    </xf>
    <xf numFmtId="0" fontId="19" fillId="0" borderId="118" xfId="0" applyFont="1" applyBorder="1" applyAlignment="1">
      <alignment vertical="center" wrapText="1"/>
    </xf>
    <xf numFmtId="0" fontId="19" fillId="0" borderId="117" xfId="0" applyFont="1" applyBorder="1" applyAlignment="1">
      <alignment vertical="center" wrapText="1"/>
    </xf>
    <xf numFmtId="0" fontId="19" fillId="0" borderId="123" xfId="0" applyFont="1" applyBorder="1" applyAlignment="1">
      <alignment vertical="center" wrapText="1"/>
    </xf>
    <xf numFmtId="0" fontId="2" fillId="2" borderId="67" xfId="0" applyFont="1" applyFill="1" applyBorder="1" applyAlignment="1">
      <alignment horizontal="center" vertical="center"/>
    </xf>
    <xf numFmtId="0" fontId="19" fillId="0" borderId="110" xfId="0" applyFont="1" applyBorder="1" applyAlignment="1">
      <alignment horizontal="left" vertical="center" wrapText="1"/>
    </xf>
    <xf numFmtId="0" fontId="19" fillId="0" borderId="111" xfId="0" applyFont="1" applyBorder="1" applyAlignment="1">
      <alignment horizontal="left" vertical="center" wrapText="1"/>
    </xf>
    <xf numFmtId="0" fontId="19" fillId="0" borderId="115" xfId="0" applyFont="1" applyBorder="1" applyAlignment="1">
      <alignment horizontal="left" vertical="center" wrapText="1"/>
    </xf>
    <xf numFmtId="0" fontId="11" fillId="6" borderId="108" xfId="0" applyFont="1" applyFill="1" applyBorder="1" applyAlignment="1">
      <alignment horizontal="left" vertical="center" wrapText="1"/>
    </xf>
    <xf numFmtId="0" fontId="11" fillId="6" borderId="109" xfId="0" applyFont="1" applyFill="1" applyBorder="1" applyAlignment="1">
      <alignment horizontal="left" vertical="center" wrapText="1"/>
    </xf>
    <xf numFmtId="0" fontId="19" fillId="0" borderId="118" xfId="0" applyFont="1" applyBorder="1" applyAlignment="1">
      <alignment horizontal="left" vertical="center"/>
    </xf>
    <xf numFmtId="0" fontId="19" fillId="0" borderId="117" xfId="0" applyFont="1" applyBorder="1" applyAlignment="1">
      <alignment horizontal="left" vertical="center"/>
    </xf>
    <xf numFmtId="0" fontId="19" fillId="0" borderId="146" xfId="0" applyFont="1" applyBorder="1" applyAlignment="1">
      <alignment horizontal="left" vertical="center"/>
    </xf>
    <xf numFmtId="0" fontId="19" fillId="0" borderId="147" xfId="0" applyFont="1" applyBorder="1" applyAlignment="1">
      <alignment horizontal="left" vertical="center"/>
    </xf>
    <xf numFmtId="0" fontId="20" fillId="0" borderId="174" xfId="0" applyFont="1" applyBorder="1" applyAlignment="1">
      <alignment horizontal="center"/>
    </xf>
    <xf numFmtId="0" fontId="20" fillId="0" borderId="167" xfId="0" applyFont="1" applyBorder="1" applyAlignment="1">
      <alignment horizontal="center"/>
    </xf>
    <xf numFmtId="0" fontId="18" fillId="0" borderId="174" xfId="0" applyFont="1" applyBorder="1" applyAlignment="1">
      <alignment horizontal="center"/>
    </xf>
    <xf numFmtId="0" fontId="18" fillId="0" borderId="167" xfId="0" applyFont="1" applyBorder="1" applyAlignment="1">
      <alignment horizontal="center"/>
    </xf>
    <xf numFmtId="0" fontId="19" fillId="4" borderId="270" xfId="0" applyFont="1" applyFill="1" applyBorder="1" applyAlignment="1">
      <alignment horizontal="center" vertical="center" wrapText="1"/>
    </xf>
    <xf numFmtId="0" fontId="19" fillId="4" borderId="271" xfId="0" applyFont="1" applyFill="1" applyBorder="1" applyAlignment="1">
      <alignment horizontal="center" vertical="center" wrapText="1"/>
    </xf>
    <xf numFmtId="0" fontId="19" fillId="4" borderId="272" xfId="0" applyFont="1" applyFill="1" applyBorder="1" applyAlignment="1">
      <alignment horizontal="center" vertical="center" wrapText="1"/>
    </xf>
    <xf numFmtId="0" fontId="19" fillId="0" borderId="189" xfId="0" applyFont="1" applyBorder="1" applyAlignment="1">
      <alignment horizontal="center" vertical="center" wrapText="1"/>
    </xf>
    <xf numFmtId="0" fontId="19" fillId="0" borderId="183" xfId="0" applyFont="1" applyBorder="1" applyAlignment="1">
      <alignment horizontal="center" vertical="center" wrapText="1"/>
    </xf>
    <xf numFmtId="0" fontId="19" fillId="0" borderId="190" xfId="0" applyFont="1" applyBorder="1" applyAlignment="1">
      <alignment horizontal="center" vertical="center" wrapText="1"/>
    </xf>
    <xf numFmtId="0" fontId="19" fillId="14" borderId="52" xfId="0" applyFont="1" applyFill="1" applyBorder="1" applyAlignment="1">
      <alignment horizontal="center" vertical="center" wrapText="1"/>
    </xf>
    <xf numFmtId="0" fontId="19" fillId="14" borderId="220" xfId="0" applyFont="1" applyFill="1" applyBorder="1" applyAlignment="1">
      <alignment horizontal="center" vertical="center" wrapText="1"/>
    </xf>
    <xf numFmtId="0" fontId="20" fillId="0" borderId="204" xfId="0" applyFont="1" applyBorder="1" applyAlignment="1">
      <alignment horizontal="center"/>
    </xf>
    <xf numFmtId="0" fontId="20" fillId="0" borderId="173" xfId="0" applyFont="1" applyBorder="1" applyAlignment="1">
      <alignment horizontal="center"/>
    </xf>
    <xf numFmtId="0" fontId="19" fillId="0" borderId="174" xfId="0" applyFont="1" applyBorder="1" applyAlignment="1">
      <alignment horizontal="center"/>
    </xf>
    <xf numFmtId="0" fontId="19" fillId="0" borderId="167" xfId="0" applyFont="1" applyBorder="1" applyAlignment="1">
      <alignment horizontal="center"/>
    </xf>
    <xf numFmtId="0" fontId="18" fillId="7" borderId="175" xfId="1" applyFont="1" applyFill="1" applyBorder="1" applyAlignment="1">
      <alignment horizontal="center" vertical="center"/>
    </xf>
    <xf numFmtId="0" fontId="18" fillId="7" borderId="176" xfId="1" applyFont="1" applyFill="1" applyBorder="1" applyAlignment="1">
      <alignment horizontal="center" vertical="center"/>
    </xf>
    <xf numFmtId="0" fontId="18" fillId="7" borderId="174" xfId="1" applyFont="1" applyFill="1" applyBorder="1" applyAlignment="1">
      <alignment horizontal="center" vertical="center"/>
    </xf>
    <xf numFmtId="0" fontId="18" fillId="7" borderId="167" xfId="1" applyFont="1" applyFill="1" applyBorder="1" applyAlignment="1">
      <alignment horizontal="center" vertical="center"/>
    </xf>
    <xf numFmtId="0" fontId="8" fillId="6" borderId="258" xfId="0" applyFont="1" applyFill="1" applyBorder="1" applyAlignment="1">
      <alignment horizontal="center" vertical="center"/>
    </xf>
    <xf numFmtId="0" fontId="19" fillId="11" borderId="260" xfId="0" applyFont="1" applyFill="1" applyBorder="1" applyAlignment="1">
      <alignment horizontal="center" vertical="center" wrapText="1"/>
    </xf>
    <xf numFmtId="0" fontId="19" fillId="11" borderId="256" xfId="0" applyFont="1" applyFill="1" applyBorder="1" applyAlignment="1">
      <alignment horizontal="center" vertical="center" wrapText="1"/>
    </xf>
    <xf numFmtId="0" fontId="19" fillId="11" borderId="257" xfId="0" applyFont="1" applyFill="1" applyBorder="1" applyAlignment="1">
      <alignment horizontal="center" vertical="center" wrapText="1"/>
    </xf>
    <xf numFmtId="0" fontId="20" fillId="0" borderId="95" xfId="0" applyFont="1" applyBorder="1" applyAlignment="1">
      <alignment horizontal="center" wrapText="1"/>
    </xf>
    <xf numFmtId="0" fontId="20" fillId="0" borderId="103" xfId="0" applyFont="1" applyBorder="1" applyAlignment="1">
      <alignment horizontal="center" wrapText="1"/>
    </xf>
    <xf numFmtId="0" fontId="19" fillId="0" borderId="48" xfId="0" applyFont="1" applyBorder="1" applyAlignment="1">
      <alignment horizontal="center" wrapText="1"/>
    </xf>
    <xf numFmtId="0" fontId="19" fillId="0" borderId="25" xfId="0" applyFont="1" applyBorder="1" applyAlignment="1">
      <alignment horizontal="center" wrapText="1"/>
    </xf>
    <xf numFmtId="0" fontId="18" fillId="0" borderId="48" xfId="0" applyFont="1" applyBorder="1" applyAlignment="1">
      <alignment horizontal="center" wrapText="1"/>
    </xf>
    <xf numFmtId="0" fontId="18" fillId="0" borderId="25" xfId="0" applyFont="1" applyBorder="1" applyAlignment="1">
      <alignment horizontal="center" wrapText="1"/>
    </xf>
    <xf numFmtId="0" fontId="18" fillId="9" borderId="59" xfId="0" applyFont="1" applyFill="1" applyBorder="1" applyAlignment="1">
      <alignment horizontal="center" wrapText="1"/>
    </xf>
    <xf numFmtId="0" fontId="18" fillId="9" borderId="61" xfId="0" applyFont="1" applyFill="1" applyBorder="1" applyAlignment="1">
      <alignment horizontal="center" wrapText="1"/>
    </xf>
    <xf numFmtId="0" fontId="18" fillId="0" borderId="196" xfId="0" applyFont="1" applyBorder="1" applyAlignment="1">
      <alignment horizontal="center"/>
    </xf>
    <xf numFmtId="0" fontId="18" fillId="0" borderId="180" xfId="0" applyFont="1" applyBorder="1" applyAlignment="1">
      <alignment horizontal="center"/>
    </xf>
    <xf numFmtId="0" fontId="19" fillId="11" borderId="184" xfId="0" applyFont="1" applyFill="1" applyBorder="1" applyAlignment="1">
      <alignment horizontal="center" vertical="center" wrapText="1"/>
    </xf>
    <xf numFmtId="0" fontId="19" fillId="11" borderId="185" xfId="0" applyFont="1" applyFill="1" applyBorder="1" applyAlignment="1">
      <alignment horizontal="center" vertical="center" wrapText="1"/>
    </xf>
    <xf numFmtId="0" fontId="19" fillId="11" borderId="197" xfId="0" applyFont="1" applyFill="1" applyBorder="1" applyAlignment="1">
      <alignment horizontal="center" vertical="center" wrapText="1"/>
    </xf>
    <xf numFmtId="0" fontId="18" fillId="0" borderId="189" xfId="1" applyFont="1" applyBorder="1" applyAlignment="1">
      <alignment horizontal="center" vertical="center" wrapText="1"/>
    </xf>
    <xf numFmtId="0" fontId="18" fillId="0" borderId="178" xfId="1" applyFont="1" applyBorder="1" applyAlignment="1">
      <alignment horizontal="center" vertical="center" wrapText="1"/>
    </xf>
    <xf numFmtId="0" fontId="19" fillId="0" borderId="183" xfId="0" applyFont="1" applyBorder="1" applyAlignment="1">
      <alignment horizontal="center"/>
    </xf>
    <xf numFmtId="0" fontId="20" fillId="4" borderId="129" xfId="0" applyFont="1" applyFill="1" applyBorder="1" applyAlignment="1">
      <alignment horizontal="center" vertical="center" wrapText="1"/>
    </xf>
    <xf numFmtId="0" fontId="19" fillId="4" borderId="184" xfId="0" applyFont="1" applyFill="1" applyBorder="1" applyAlignment="1">
      <alignment horizontal="center" vertical="center" wrapText="1"/>
    </xf>
    <xf numFmtId="0" fontId="19" fillId="4" borderId="185" xfId="0" applyFont="1" applyFill="1" applyBorder="1" applyAlignment="1">
      <alignment horizontal="center" vertical="center" wrapText="1"/>
    </xf>
    <xf numFmtId="0" fontId="19" fillId="4" borderId="186" xfId="0" applyFont="1" applyFill="1" applyBorder="1" applyAlignment="1">
      <alignment horizontal="center" vertical="center" wrapText="1"/>
    </xf>
    <xf numFmtId="0" fontId="20" fillId="0" borderId="188" xfId="0" applyFont="1" applyBorder="1" applyAlignment="1">
      <alignment horizontal="center"/>
    </xf>
    <xf numFmtId="0" fontId="18" fillId="0" borderId="190" xfId="1" applyFont="1" applyFill="1" applyBorder="1" applyAlignment="1">
      <alignment horizontal="center" vertical="center"/>
    </xf>
    <xf numFmtId="0" fontId="18" fillId="0" borderId="176" xfId="1" applyFont="1" applyFill="1" applyBorder="1" applyAlignment="1">
      <alignment horizontal="center" vertical="center"/>
    </xf>
    <xf numFmtId="0" fontId="20" fillId="0" borderId="179" xfId="0" applyFont="1" applyBorder="1" applyAlignment="1">
      <alignment horizontal="center"/>
    </xf>
    <xf numFmtId="0" fontId="20" fillId="0" borderId="180" xfId="0" applyFont="1" applyBorder="1" applyAlignment="1">
      <alignment horizontal="center"/>
    </xf>
    <xf numFmtId="0" fontId="8" fillId="6" borderId="261" xfId="0" applyFont="1" applyFill="1" applyBorder="1" applyAlignment="1">
      <alignment horizontal="center" vertical="center"/>
    </xf>
    <xf numFmtId="0" fontId="19" fillId="0" borderId="177" xfId="0" applyFont="1" applyBorder="1" applyAlignment="1">
      <alignment horizontal="center" vertical="center" wrapText="1"/>
    </xf>
    <xf numFmtId="0" fontId="19" fillId="0" borderId="174" xfId="0" applyFont="1" applyBorder="1" applyAlignment="1">
      <alignment horizontal="center" vertical="center" wrapText="1"/>
    </xf>
    <xf numFmtId="0" fontId="19" fillId="0" borderId="175" xfId="0" applyFont="1" applyBorder="1" applyAlignment="1">
      <alignment horizontal="center" vertical="center" wrapText="1"/>
    </xf>
    <xf numFmtId="0" fontId="11" fillId="6" borderId="201" xfId="0" applyFont="1" applyFill="1" applyBorder="1" applyAlignment="1">
      <alignment horizontal="center" vertical="center"/>
    </xf>
    <xf numFmtId="0" fontId="11" fillId="6" borderId="261" xfId="0" applyFont="1" applyFill="1" applyBorder="1" applyAlignment="1">
      <alignment horizontal="center" vertical="center"/>
    </xf>
    <xf numFmtId="0" fontId="8" fillId="6" borderId="262" xfId="0" applyFont="1" applyFill="1" applyBorder="1" applyAlignment="1">
      <alignment horizontal="center" vertical="center"/>
    </xf>
    <xf numFmtId="0" fontId="8" fillId="6" borderId="263" xfId="0" applyFont="1" applyFill="1" applyBorder="1" applyAlignment="1">
      <alignment horizontal="center" vertical="center"/>
    </xf>
    <xf numFmtId="0" fontId="20" fillId="7" borderId="177" xfId="0" applyFont="1" applyFill="1" applyBorder="1" applyAlignment="1">
      <alignment horizontal="center" vertical="center" wrapText="1"/>
    </xf>
    <xf numFmtId="0" fontId="20" fillId="7" borderId="174" xfId="0" applyFont="1" applyFill="1" applyBorder="1" applyAlignment="1">
      <alignment horizontal="center" vertical="center" wrapText="1"/>
    </xf>
    <xf numFmtId="0" fontId="20" fillId="7" borderId="179" xfId="0" applyFont="1" applyFill="1" applyBorder="1" applyAlignment="1">
      <alignment horizontal="center" vertical="center" wrapText="1"/>
    </xf>
    <xf numFmtId="0" fontId="18" fillId="7" borderId="190" xfId="1" applyFont="1" applyFill="1" applyBorder="1" applyAlignment="1">
      <alignment horizontal="center" vertical="center"/>
    </xf>
    <xf numFmtId="0" fontId="18" fillId="0" borderId="175" xfId="1" applyFont="1" applyFill="1" applyBorder="1" applyAlignment="1">
      <alignment horizontal="center" vertical="center"/>
    </xf>
    <xf numFmtId="0" fontId="20" fillId="10" borderId="129" xfId="0" applyFont="1" applyFill="1" applyBorder="1" applyAlignment="1">
      <alignment horizontal="center" vertical="center" wrapText="1"/>
    </xf>
    <xf numFmtId="0" fontId="20" fillId="0" borderId="188" xfId="0" applyFont="1" applyBorder="1" applyAlignment="1">
      <alignment horizontal="center" vertical="center" wrapText="1"/>
    </xf>
    <xf numFmtId="0" fontId="20" fillId="0" borderId="183" xfId="0" applyFont="1" applyBorder="1" applyAlignment="1">
      <alignment horizontal="center" vertical="center" wrapText="1"/>
    </xf>
    <xf numFmtId="0" fontId="20" fillId="0" borderId="183" xfId="0" applyFont="1" applyBorder="1" applyAlignment="1">
      <alignment horizontal="center"/>
    </xf>
    <xf numFmtId="0" fontId="20" fillId="0" borderId="196" xfId="0" applyFont="1" applyBorder="1" applyAlignment="1">
      <alignment horizontal="center"/>
    </xf>
    <xf numFmtId="0" fontId="11" fillId="6" borderId="258" xfId="0" applyFont="1" applyFill="1" applyBorder="1" applyAlignment="1">
      <alignment horizontal="center" vertical="center"/>
    </xf>
    <xf numFmtId="0" fontId="18" fillId="7" borderId="196" xfId="1" applyFont="1" applyFill="1" applyBorder="1" applyAlignment="1">
      <alignment horizontal="center" vertical="center"/>
    </xf>
    <xf numFmtId="0" fontId="18" fillId="7" borderId="180" xfId="1" applyFont="1" applyFill="1" applyBorder="1" applyAlignment="1">
      <alignment horizontal="center" vertical="center"/>
    </xf>
    <xf numFmtId="0" fontId="15" fillId="0" borderId="37" xfId="1" applyFont="1" applyBorder="1" applyAlignment="1">
      <alignment horizontal="center" vertical="center" wrapText="1"/>
    </xf>
    <xf numFmtId="0" fontId="15" fillId="0" borderId="38" xfId="1" applyFont="1" applyBorder="1" applyAlignment="1">
      <alignment horizontal="center" vertical="center" wrapText="1"/>
    </xf>
    <xf numFmtId="0" fontId="15" fillId="0" borderId="39" xfId="1" applyFont="1" applyBorder="1" applyAlignment="1">
      <alignment horizontal="center" vertical="center" wrapText="1"/>
    </xf>
    <xf numFmtId="0" fontId="18" fillId="0" borderId="37" xfId="1" applyFont="1" applyBorder="1" applyAlignment="1">
      <alignment horizontal="center" vertical="center" wrapText="1"/>
    </xf>
    <xf numFmtId="0" fontId="18" fillId="0" borderId="38" xfId="1" applyFont="1" applyBorder="1" applyAlignment="1">
      <alignment horizontal="center" vertical="center" wrapText="1"/>
    </xf>
    <xf numFmtId="0" fontId="18" fillId="0" borderId="39" xfId="1" applyFont="1" applyBorder="1" applyAlignment="1">
      <alignment horizontal="center" vertical="center" wrapText="1"/>
    </xf>
    <xf numFmtId="0" fontId="19" fillId="0" borderId="188" xfId="0" applyFont="1" applyBorder="1" applyAlignment="1">
      <alignment horizontal="center"/>
    </xf>
    <xf numFmtId="0" fontId="19" fillId="0" borderId="173" xfId="0" applyFont="1" applyBorder="1" applyAlignment="1">
      <alignment horizontal="center"/>
    </xf>
    <xf numFmtId="0" fontId="20" fillId="0" borderId="189" xfId="0" applyFont="1" applyBorder="1" applyAlignment="1">
      <alignment horizontal="center" vertical="center" wrapText="1"/>
    </xf>
    <xf numFmtId="0" fontId="20" fillId="0" borderId="190" xfId="0" applyFont="1" applyBorder="1" applyAlignment="1">
      <alignment horizontal="center" vertical="center" wrapText="1"/>
    </xf>
    <xf numFmtId="0" fontId="18" fillId="0" borderId="173" xfId="1" applyFont="1" applyBorder="1" applyAlignment="1">
      <alignment horizontal="center" vertical="center" wrapText="1"/>
    </xf>
    <xf numFmtId="0" fontId="18" fillId="0" borderId="183" xfId="0" applyFont="1" applyBorder="1" applyAlignment="1">
      <alignment horizontal="center"/>
    </xf>
    <xf numFmtId="0" fontId="11" fillId="6" borderId="218" xfId="0" applyFont="1" applyFill="1" applyBorder="1" applyAlignment="1">
      <alignment horizontal="center" vertical="center"/>
    </xf>
    <xf numFmtId="0" fontId="20" fillId="8" borderId="51" xfId="0" applyFont="1" applyFill="1" applyBorder="1" applyAlignment="1">
      <alignment horizontal="center" vertical="center" wrapText="1"/>
    </xf>
    <xf numFmtId="0" fontId="20" fillId="8" borderId="52" xfId="0" applyFont="1" applyFill="1" applyBorder="1" applyAlignment="1">
      <alignment horizontal="center" vertical="center" wrapText="1"/>
    </xf>
    <xf numFmtId="0" fontId="28" fillId="8" borderId="184" xfId="0" applyFont="1" applyFill="1" applyBorder="1" applyAlignment="1">
      <alignment horizontal="center" vertical="center" wrapText="1"/>
    </xf>
    <xf numFmtId="0" fontId="28" fillId="8" borderId="185" xfId="0" applyFont="1" applyFill="1" applyBorder="1" applyAlignment="1">
      <alignment horizontal="center" vertical="center" wrapText="1"/>
    </xf>
    <xf numFmtId="0" fontId="13" fillId="8" borderId="185" xfId="0" applyFont="1" applyFill="1" applyBorder="1" applyAlignment="1">
      <alignment horizontal="center" vertical="center" wrapText="1"/>
    </xf>
    <xf numFmtId="0" fontId="13" fillId="8" borderId="186" xfId="0" applyFont="1" applyFill="1" applyBorder="1" applyAlignment="1">
      <alignment horizontal="center" vertical="center" wrapText="1"/>
    </xf>
    <xf numFmtId="0" fontId="28" fillId="8" borderId="30" xfId="0" applyFont="1" applyFill="1" applyBorder="1" applyAlignment="1">
      <alignment horizontal="center" vertical="center" wrapText="1"/>
    </xf>
    <xf numFmtId="0" fontId="28" fillId="8" borderId="31" xfId="0" applyFont="1" applyFill="1" applyBorder="1" applyAlignment="1">
      <alignment horizontal="center" vertical="center" wrapText="1"/>
    </xf>
    <xf numFmtId="0" fontId="28" fillId="8" borderId="253" xfId="0" applyFont="1" applyFill="1" applyBorder="1" applyAlignment="1">
      <alignment horizontal="center" vertical="center" wrapText="1"/>
    </xf>
    <xf numFmtId="0" fontId="28" fillId="8" borderId="208" xfId="0" applyFont="1" applyFill="1" applyBorder="1" applyAlignment="1">
      <alignment horizontal="center" vertical="center" wrapText="1"/>
    </xf>
    <xf numFmtId="0" fontId="28" fillId="8" borderId="98" xfId="0" applyFont="1" applyFill="1" applyBorder="1" applyAlignment="1">
      <alignment horizontal="center" vertical="center" wrapText="1"/>
    </xf>
    <xf numFmtId="0" fontId="28" fillId="8" borderId="99" xfId="0" applyFont="1" applyFill="1" applyBorder="1" applyAlignment="1">
      <alignment horizontal="center" vertical="center" wrapText="1"/>
    </xf>
    <xf numFmtId="0" fontId="28" fillId="8" borderId="100" xfId="0" applyFont="1" applyFill="1" applyBorder="1" applyAlignment="1">
      <alignment horizontal="center" vertical="center" wrapText="1"/>
    </xf>
    <xf numFmtId="0" fontId="20" fillId="0" borderId="189" xfId="0" applyFont="1" applyBorder="1" applyAlignment="1">
      <alignment horizontal="center"/>
    </xf>
    <xf numFmtId="0" fontId="20" fillId="0" borderId="178" xfId="0" applyFont="1" applyBorder="1" applyAlignment="1">
      <alignment horizontal="center"/>
    </xf>
    <xf numFmtId="0" fontId="18" fillId="7" borderId="209" xfId="1" applyFont="1" applyFill="1" applyBorder="1" applyAlignment="1">
      <alignment horizontal="center" vertical="center" wrapText="1"/>
    </xf>
    <xf numFmtId="0" fontId="18" fillId="7" borderId="38" xfId="1" applyFont="1" applyFill="1" applyBorder="1" applyAlignment="1">
      <alignment horizontal="center" vertical="center" wrapText="1"/>
    </xf>
    <xf numFmtId="0" fontId="18" fillId="7" borderId="44" xfId="1" applyFont="1" applyFill="1" applyBorder="1" applyAlignment="1">
      <alignment horizontal="center" vertical="center" wrapText="1"/>
    </xf>
    <xf numFmtId="0" fontId="18" fillId="0" borderId="189" xfId="1" applyFont="1" applyBorder="1" applyAlignment="1">
      <alignment horizontal="center" vertical="center"/>
    </xf>
    <xf numFmtId="0" fontId="18" fillId="0" borderId="178" xfId="1" applyFont="1" applyBorder="1" applyAlignment="1">
      <alignment horizontal="center" vertical="center"/>
    </xf>
    <xf numFmtId="0" fontId="15" fillId="0" borderId="183" xfId="1" applyFont="1" applyBorder="1" applyAlignment="1">
      <alignment horizontal="center" vertical="center"/>
    </xf>
    <xf numFmtId="0" fontId="15" fillId="0" borderId="167" xfId="1" applyFont="1" applyBorder="1" applyAlignment="1">
      <alignment horizontal="center" vertical="center"/>
    </xf>
    <xf numFmtId="0" fontId="18" fillId="0" borderId="183" xfId="1" applyFont="1" applyBorder="1" applyAlignment="1">
      <alignment horizontal="center" vertical="center"/>
    </xf>
    <xf numFmtId="0" fontId="18" fillId="0" borderId="167" xfId="1" applyFont="1" applyBorder="1" applyAlignment="1">
      <alignment horizontal="center" vertical="center"/>
    </xf>
    <xf numFmtId="0" fontId="18" fillId="0" borderId="188" xfId="1" applyFont="1" applyBorder="1" applyAlignment="1">
      <alignment horizontal="center" vertical="center"/>
    </xf>
    <xf numFmtId="0" fontId="15" fillId="0" borderId="173" xfId="1" applyFont="1" applyBorder="1" applyAlignment="1">
      <alignment horizontal="center" vertical="center"/>
    </xf>
    <xf numFmtId="3" fontId="19" fillId="0" borderId="183" xfId="0" applyNumberFormat="1" applyFont="1" applyBorder="1" applyAlignment="1">
      <alignment horizontal="center" vertical="center" wrapText="1"/>
    </xf>
    <xf numFmtId="0" fontId="19" fillId="10" borderId="184" xfId="0" applyFont="1" applyFill="1" applyBorder="1" applyAlignment="1">
      <alignment horizontal="center" vertical="center" wrapText="1"/>
    </xf>
    <xf numFmtId="0" fontId="19" fillId="10" borderId="185" xfId="0" applyFont="1" applyFill="1" applyBorder="1" applyAlignment="1">
      <alignment horizontal="center" vertical="center" wrapText="1"/>
    </xf>
    <xf numFmtId="0" fontId="19" fillId="10" borderId="186" xfId="0" applyFont="1" applyFill="1" applyBorder="1" applyAlignment="1">
      <alignment horizontal="center" vertical="center" wrapText="1"/>
    </xf>
    <xf numFmtId="0" fontId="15" fillId="0" borderId="183" xfId="0" applyFont="1" applyBorder="1" applyAlignment="1">
      <alignment horizontal="center"/>
    </xf>
    <xf numFmtId="0" fontId="15" fillId="0" borderId="167" xfId="0" applyFont="1" applyBorder="1" applyAlignment="1">
      <alignment horizontal="center"/>
    </xf>
    <xf numFmtId="0" fontId="18" fillId="0" borderId="190" xfId="0" applyFont="1" applyBorder="1" applyAlignment="1">
      <alignment horizontal="center"/>
    </xf>
    <xf numFmtId="0" fontId="18" fillId="0" borderId="176" xfId="0" applyFont="1" applyBorder="1" applyAlignment="1">
      <alignment horizontal="center"/>
    </xf>
    <xf numFmtId="0" fontId="11" fillId="6" borderId="67" xfId="0" applyFont="1" applyFill="1" applyBorder="1" applyAlignment="1">
      <alignment horizontal="center" vertical="center"/>
    </xf>
    <xf numFmtId="0" fontId="18" fillId="7" borderId="188" xfId="1" applyFont="1" applyFill="1" applyBorder="1" applyAlignment="1">
      <alignment horizontal="center" vertical="center" wrapText="1"/>
    </xf>
    <xf numFmtId="0" fontId="18" fillId="7" borderId="173" xfId="1" applyFont="1" applyFill="1" applyBorder="1" applyAlignment="1">
      <alignment horizontal="center" vertical="center" wrapText="1"/>
    </xf>
    <xf numFmtId="0" fontId="15" fillId="0" borderId="183" xfId="1" applyFont="1" applyBorder="1" applyAlignment="1">
      <alignment horizontal="center" vertical="center" wrapText="1"/>
    </xf>
    <xf numFmtId="0" fontId="15" fillId="0" borderId="167" xfId="1" applyFont="1" applyBorder="1" applyAlignment="1">
      <alignment horizontal="center" vertical="center" wrapText="1"/>
    </xf>
    <xf numFmtId="0" fontId="19" fillId="10" borderId="98" xfId="0" applyFont="1" applyFill="1" applyBorder="1" applyAlignment="1">
      <alignment horizontal="center" vertical="center" wrapText="1"/>
    </xf>
    <xf numFmtId="0" fontId="19" fillId="10" borderId="99" xfId="0" applyFont="1" applyFill="1" applyBorder="1" applyAlignment="1">
      <alignment horizontal="center" vertical="center" wrapText="1"/>
    </xf>
    <xf numFmtId="0" fontId="19" fillId="10" borderId="100" xfId="0" applyFont="1" applyFill="1" applyBorder="1" applyAlignment="1">
      <alignment horizontal="center" vertical="center" wrapText="1"/>
    </xf>
    <xf numFmtId="0" fontId="20" fillId="13" borderId="129" xfId="0" applyFont="1" applyFill="1" applyBorder="1" applyAlignment="1">
      <alignment horizontal="center" vertical="center" wrapText="1"/>
    </xf>
    <xf numFmtId="0" fontId="15" fillId="7" borderId="183" xfId="0" applyFont="1" applyFill="1" applyBorder="1" applyAlignment="1">
      <alignment horizontal="center"/>
    </xf>
    <xf numFmtId="0" fontId="15" fillId="7" borderId="167" xfId="0" applyFont="1" applyFill="1" applyBorder="1" applyAlignment="1">
      <alignment horizontal="center"/>
    </xf>
    <xf numFmtId="0" fontId="19" fillId="12" borderId="184" xfId="0" applyFont="1" applyFill="1" applyBorder="1" applyAlignment="1">
      <alignment horizontal="center" vertical="center" wrapText="1"/>
    </xf>
    <xf numFmtId="0" fontId="19" fillId="12" borderId="185" xfId="0" applyFont="1" applyFill="1" applyBorder="1" applyAlignment="1">
      <alignment horizontal="center" vertical="center" wrapText="1"/>
    </xf>
    <xf numFmtId="0" fontId="19" fillId="12" borderId="186" xfId="0" applyFont="1" applyFill="1" applyBorder="1" applyAlignment="1">
      <alignment horizontal="center" vertical="center" wrapText="1"/>
    </xf>
    <xf numFmtId="0" fontId="18" fillId="7" borderId="188" xfId="0" applyFont="1" applyFill="1" applyBorder="1" applyAlignment="1">
      <alignment horizontal="center"/>
    </xf>
    <xf numFmtId="0" fontId="18" fillId="7" borderId="173" xfId="0" applyFont="1" applyFill="1" applyBorder="1" applyAlignment="1">
      <alignment horizontal="center"/>
    </xf>
    <xf numFmtId="0" fontId="18" fillId="7" borderId="190" xfId="0" applyFont="1" applyFill="1" applyBorder="1" applyAlignment="1">
      <alignment horizontal="center"/>
    </xf>
    <xf numFmtId="0" fontId="18" fillId="7" borderId="176" xfId="0" applyFont="1" applyFill="1" applyBorder="1" applyAlignment="1">
      <alignment horizontal="center"/>
    </xf>
    <xf numFmtId="0" fontId="19" fillId="13" borderId="184" xfId="0" applyFont="1" applyFill="1" applyBorder="1" applyAlignment="1">
      <alignment horizontal="center" vertical="center" wrapText="1"/>
    </xf>
    <xf numFmtId="0" fontId="19" fillId="13" borderId="185" xfId="0" applyFont="1" applyFill="1" applyBorder="1" applyAlignment="1">
      <alignment horizontal="center" vertical="center" wrapText="1"/>
    </xf>
    <xf numFmtId="0" fontId="19" fillId="13" borderId="186" xfId="0" applyFont="1" applyFill="1" applyBorder="1" applyAlignment="1">
      <alignment horizontal="center" vertical="center" wrapText="1"/>
    </xf>
    <xf numFmtId="0" fontId="27" fillId="7" borderId="190" xfId="0" applyFont="1" applyFill="1" applyBorder="1" applyAlignment="1">
      <alignment horizontal="center"/>
    </xf>
    <xf numFmtId="0" fontId="27" fillId="7" borderId="176" xfId="0" applyFont="1" applyFill="1" applyBorder="1" applyAlignment="1">
      <alignment horizontal="center"/>
    </xf>
    <xf numFmtId="0" fontId="18" fillId="7" borderId="189" xfId="0" applyFont="1" applyFill="1" applyBorder="1" applyAlignment="1">
      <alignment horizontal="center"/>
    </xf>
    <xf numFmtId="0" fontId="18" fillId="7" borderId="178" xfId="0" applyFont="1" applyFill="1" applyBorder="1" applyAlignment="1">
      <alignment horizontal="center"/>
    </xf>
    <xf numFmtId="0" fontId="20" fillId="0" borderId="177" xfId="0" applyFont="1" applyBorder="1" applyAlignment="1">
      <alignment horizontal="center"/>
    </xf>
    <xf numFmtId="0" fontId="19" fillId="4" borderId="217" xfId="0" applyFont="1" applyFill="1" applyBorder="1" applyAlignment="1">
      <alignment horizontal="center" vertical="center" wrapText="1"/>
    </xf>
    <xf numFmtId="0" fontId="19" fillId="4" borderId="165" xfId="0" applyFont="1" applyFill="1" applyBorder="1" applyAlignment="1">
      <alignment horizontal="center" vertical="center" wrapText="1"/>
    </xf>
    <xf numFmtId="0" fontId="19" fillId="4" borderId="166" xfId="0" applyFont="1" applyFill="1" applyBorder="1" applyAlignment="1">
      <alignment horizontal="center" vertical="center" wrapText="1"/>
    </xf>
    <xf numFmtId="0" fontId="20" fillId="7" borderId="175" xfId="0" applyFont="1" applyFill="1" applyBorder="1" applyAlignment="1">
      <alignment horizontal="center" vertical="center" wrapText="1"/>
    </xf>
    <xf numFmtId="0" fontId="18" fillId="0" borderId="174" xfId="0" applyFont="1" applyBorder="1" applyAlignment="1">
      <alignment horizontal="center" vertical="center" wrapText="1"/>
    </xf>
    <xf numFmtId="0" fontId="18" fillId="0" borderId="175" xfId="0" applyFont="1" applyBorder="1" applyAlignment="1">
      <alignment horizontal="center" vertical="center" wrapText="1"/>
    </xf>
    <xf numFmtId="0" fontId="19" fillId="15" borderId="184" xfId="0" applyFont="1" applyFill="1" applyBorder="1" applyAlignment="1">
      <alignment horizontal="center" vertical="center" wrapText="1"/>
    </xf>
    <xf numFmtId="0" fontId="19" fillId="15" borderId="185" xfId="0" applyFont="1" applyFill="1" applyBorder="1" applyAlignment="1">
      <alignment horizontal="center" vertical="center" wrapText="1"/>
    </xf>
    <xf numFmtId="0" fontId="19" fillId="15" borderId="186" xfId="0" applyFont="1" applyFill="1" applyBorder="1" applyAlignment="1">
      <alignment horizontal="center" vertical="center" wrapText="1"/>
    </xf>
    <xf numFmtId="0" fontId="20" fillId="15" borderId="129" xfId="0" applyFont="1" applyFill="1" applyBorder="1" applyAlignment="1">
      <alignment horizontal="center" vertical="center" wrapText="1"/>
    </xf>
    <xf numFmtId="0" fontId="20" fillId="15" borderId="134" xfId="0" applyFont="1" applyFill="1" applyBorder="1" applyAlignment="1">
      <alignment horizontal="center" vertical="center" wrapText="1"/>
    </xf>
    <xf numFmtId="0" fontId="18" fillId="0" borderId="177" xfId="0" applyFont="1" applyBorder="1" applyAlignment="1">
      <alignment horizontal="center" vertical="center" wrapText="1"/>
    </xf>
    <xf numFmtId="0" fontId="19" fillId="11" borderId="186" xfId="0" applyFont="1" applyFill="1" applyBorder="1" applyAlignment="1">
      <alignment horizontal="center" vertical="center" wrapText="1"/>
    </xf>
    <xf numFmtId="0" fontId="18" fillId="7" borderId="177" xfId="1" applyFont="1" applyFill="1" applyBorder="1" applyAlignment="1">
      <alignment horizontal="center" vertical="center" wrapText="1"/>
    </xf>
    <xf numFmtId="0" fontId="15" fillId="7" borderId="174" xfId="1" applyFont="1" applyFill="1" applyBorder="1" applyAlignment="1">
      <alignment horizontal="center" vertical="center" wrapText="1"/>
    </xf>
    <xf numFmtId="0" fontId="15" fillId="7" borderId="175" xfId="1" applyFont="1" applyFill="1" applyBorder="1" applyAlignment="1">
      <alignment horizontal="center" vertical="center" wrapText="1"/>
    </xf>
    <xf numFmtId="0" fontId="18" fillId="7" borderId="183" xfId="1" applyFont="1" applyFill="1" applyBorder="1" applyAlignment="1">
      <alignment horizontal="center" vertical="center" wrapText="1"/>
    </xf>
    <xf numFmtId="0" fontId="18" fillId="7" borderId="190" xfId="1" applyFont="1" applyFill="1" applyBorder="1" applyAlignment="1">
      <alignment horizontal="center" vertical="center" wrapText="1"/>
    </xf>
    <xf numFmtId="0" fontId="19" fillId="11" borderId="129" xfId="0" applyFont="1" applyFill="1" applyBorder="1" applyAlignment="1">
      <alignment horizontal="center" vertical="center" wrapText="1"/>
    </xf>
    <xf numFmtId="0" fontId="19" fillId="11" borderId="204" xfId="0" applyFont="1" applyFill="1" applyBorder="1" applyAlignment="1">
      <alignment horizontal="center" vertical="center" wrapText="1"/>
    </xf>
    <xf numFmtId="0" fontId="19" fillId="11" borderId="174" xfId="0" applyFont="1" applyFill="1" applyBorder="1" applyAlignment="1">
      <alignment horizontal="center" vertical="center" wrapText="1"/>
    </xf>
    <xf numFmtId="0" fontId="19" fillId="11" borderId="179" xfId="0" applyFont="1" applyFill="1" applyBorder="1" applyAlignment="1">
      <alignment horizontal="center" vertical="center" wrapText="1"/>
    </xf>
    <xf numFmtId="0" fontId="19" fillId="0" borderId="196" xfId="0" applyFont="1" applyBorder="1" applyAlignment="1">
      <alignment horizontal="center" vertical="center" wrapText="1"/>
    </xf>
    <xf numFmtId="0" fontId="8" fillId="6" borderId="65" xfId="0" applyFont="1" applyFill="1" applyBorder="1" applyAlignment="1">
      <alignment horizontal="center" vertical="center"/>
    </xf>
    <xf numFmtId="0" fontId="19" fillId="14" borderId="51" xfId="0" applyFont="1" applyFill="1" applyBorder="1" applyAlignment="1">
      <alignment horizontal="center" vertical="center" wrapText="1"/>
    </xf>
    <xf numFmtId="0" fontId="18" fillId="0" borderId="179" xfId="0" applyFont="1" applyBorder="1" applyAlignment="1">
      <alignment horizontal="center"/>
    </xf>
    <xf numFmtId="0" fontId="20" fillId="14" borderId="133" xfId="0" applyFont="1" applyFill="1" applyBorder="1" applyAlignment="1">
      <alignment horizontal="center" vertical="center" wrapText="1"/>
    </xf>
    <xf numFmtId="0" fontId="20" fillId="12" borderId="129" xfId="0" applyFont="1" applyFill="1" applyBorder="1" applyAlignment="1">
      <alignment horizontal="center" vertical="center"/>
    </xf>
    <xf numFmtId="0" fontId="11" fillId="6" borderId="65" xfId="0" applyFont="1" applyFill="1" applyBorder="1" applyAlignment="1">
      <alignment horizontal="center" vertical="center"/>
    </xf>
    <xf numFmtId="0" fontId="19" fillId="0" borderId="224" xfId="0" applyFont="1" applyBorder="1" applyAlignment="1">
      <alignment horizontal="center" vertical="center" wrapText="1"/>
    </xf>
    <xf numFmtId="0" fontId="19" fillId="0" borderId="225" xfId="0" applyFont="1" applyBorder="1" applyAlignment="1">
      <alignment horizontal="center" vertical="center" wrapText="1"/>
    </xf>
    <xf numFmtId="0" fontId="19" fillId="0" borderId="226" xfId="0" applyFont="1" applyBorder="1" applyAlignment="1">
      <alignment horizontal="center" vertical="center" wrapText="1"/>
    </xf>
    <xf numFmtId="0" fontId="19" fillId="11" borderId="224" xfId="0" applyFont="1" applyFill="1" applyBorder="1" applyAlignment="1">
      <alignment horizontal="center" vertical="center" wrapText="1"/>
    </xf>
    <xf numFmtId="0" fontId="19" fillId="11" borderId="225" xfId="0" applyFont="1" applyFill="1" applyBorder="1" applyAlignment="1">
      <alignment horizontal="center" vertical="center" wrapText="1"/>
    </xf>
    <xf numFmtId="0" fontId="19" fillId="11" borderId="226" xfId="0" applyFont="1" applyFill="1" applyBorder="1" applyAlignment="1">
      <alignment horizontal="center" vertical="center" wrapText="1"/>
    </xf>
    <xf numFmtId="0" fontId="19" fillId="0" borderId="232" xfId="0" applyFont="1" applyBorder="1" applyAlignment="1">
      <alignment horizontal="center" vertical="center" wrapText="1"/>
    </xf>
    <xf numFmtId="0" fontId="29" fillId="0" borderId="176" xfId="1" applyFont="1" applyFill="1" applyBorder="1" applyAlignment="1">
      <alignment horizontal="center" vertical="center"/>
    </xf>
    <xf numFmtId="0" fontId="20" fillId="0" borderId="194" xfId="0" applyFont="1" applyBorder="1" applyAlignment="1">
      <alignment horizontal="center"/>
    </xf>
    <xf numFmtId="0" fontId="19" fillId="0" borderId="171" xfId="0" applyFont="1" applyBorder="1" applyAlignment="1">
      <alignment horizontal="center"/>
    </xf>
    <xf numFmtId="0" fontId="18" fillId="7" borderId="172" xfId="1" applyFont="1" applyFill="1" applyBorder="1" applyAlignment="1">
      <alignment horizontal="center" vertical="center"/>
    </xf>
    <xf numFmtId="0" fontId="20" fillId="0" borderId="170" xfId="0" applyFont="1" applyBorder="1" applyAlignment="1">
      <alignment horizontal="center"/>
    </xf>
    <xf numFmtId="0" fontId="20" fillId="0" borderId="171" xfId="0" applyFont="1" applyBorder="1" applyAlignment="1">
      <alignment horizontal="center"/>
    </xf>
    <xf numFmtId="0" fontId="20" fillId="0" borderId="181" xfId="0" applyFont="1" applyBorder="1" applyAlignment="1">
      <alignment horizontal="center"/>
    </xf>
    <xf numFmtId="0" fontId="19" fillId="7" borderId="224" xfId="0" applyFont="1" applyFill="1" applyBorder="1" applyAlignment="1">
      <alignment horizontal="center" vertical="center" wrapText="1"/>
    </xf>
    <xf numFmtId="0" fontId="19" fillId="7" borderId="225" xfId="0" applyFont="1" applyFill="1" applyBorder="1" applyAlignment="1">
      <alignment horizontal="center" vertical="center" wrapText="1"/>
    </xf>
    <xf numFmtId="0" fontId="19" fillId="7" borderId="226" xfId="0" applyFont="1" applyFill="1" applyBorder="1" applyAlignment="1">
      <alignment horizontal="center" vertical="center" wrapText="1"/>
    </xf>
    <xf numFmtId="0" fontId="18" fillId="0" borderId="171" xfId="0" applyFont="1" applyBorder="1" applyAlignment="1">
      <alignment horizontal="center"/>
    </xf>
    <xf numFmtId="0" fontId="18" fillId="0" borderId="173" xfId="1" applyFont="1" applyBorder="1" applyAlignment="1">
      <alignment horizontal="center" vertical="center"/>
    </xf>
    <xf numFmtId="0" fontId="15" fillId="0" borderId="177" xfId="1" applyFont="1" applyBorder="1" applyAlignment="1">
      <alignment horizontal="center" vertical="center" wrapText="1"/>
    </xf>
    <xf numFmtId="0" fontId="15" fillId="0" borderId="174" xfId="1" applyFont="1" applyBorder="1" applyAlignment="1">
      <alignment horizontal="center" vertical="center" wrapText="1"/>
    </xf>
    <xf numFmtId="0" fontId="15" fillId="0" borderId="175" xfId="1" applyFont="1" applyBorder="1" applyAlignment="1">
      <alignment horizontal="center" vertical="center" wrapText="1"/>
    </xf>
    <xf numFmtId="0" fontId="15" fillId="0" borderId="177" xfId="1" applyFont="1" applyBorder="1" applyAlignment="1">
      <alignment horizontal="center" vertical="center"/>
    </xf>
    <xf numFmtId="0" fontId="15" fillId="0" borderId="174" xfId="1" applyFont="1" applyBorder="1" applyAlignment="1">
      <alignment horizontal="center" vertical="center"/>
    </xf>
    <xf numFmtId="0" fontId="15" fillId="0" borderId="175" xfId="1" applyFont="1" applyBorder="1" applyAlignment="1">
      <alignment horizontal="center" vertical="center"/>
    </xf>
    <xf numFmtId="0" fontId="18" fillId="0" borderId="177" xfId="1" applyFont="1" applyBorder="1" applyAlignment="1">
      <alignment horizontal="center" vertical="center" wrapText="1"/>
    </xf>
    <xf numFmtId="0" fontId="18" fillId="0" borderId="174" xfId="1" applyFont="1" applyBorder="1" applyAlignment="1">
      <alignment horizontal="center" vertical="center" wrapText="1"/>
    </xf>
    <xf numFmtId="0" fontId="18" fillId="0" borderId="175" xfId="1" applyFont="1" applyBorder="1" applyAlignment="1">
      <alignment horizontal="center" vertical="center" wrapText="1"/>
    </xf>
    <xf numFmtId="0" fontId="18" fillId="7" borderId="167" xfId="1" applyFont="1" applyFill="1" applyBorder="1" applyAlignment="1">
      <alignment horizontal="center" vertical="center" wrapText="1"/>
    </xf>
    <xf numFmtId="0" fontId="18" fillId="7" borderId="180" xfId="1" applyFont="1" applyFill="1" applyBorder="1" applyAlignment="1">
      <alignment horizontal="center" vertical="center" wrapText="1"/>
    </xf>
    <xf numFmtId="0" fontId="20" fillId="8" borderId="69" xfId="0" applyFont="1" applyFill="1" applyBorder="1" applyAlignment="1">
      <alignment horizontal="center" vertical="center" wrapText="1"/>
    </xf>
    <xf numFmtId="0" fontId="20" fillId="8" borderId="0" xfId="0" applyFont="1" applyFill="1" applyAlignment="1">
      <alignment horizontal="center" vertical="center" wrapText="1"/>
    </xf>
    <xf numFmtId="0" fontId="19" fillId="10" borderId="52" xfId="0" applyFont="1" applyFill="1" applyBorder="1" applyAlignment="1">
      <alignment horizontal="center" vertical="center" wrapText="1"/>
    </xf>
    <xf numFmtId="0" fontId="15" fillId="0" borderId="188" xfId="1" applyFont="1" applyBorder="1" applyAlignment="1">
      <alignment horizontal="center" vertical="center" wrapText="1"/>
    </xf>
    <xf numFmtId="0" fontId="15" fillId="0" borderId="173" xfId="1" applyFont="1" applyBorder="1" applyAlignment="1">
      <alignment horizontal="center" vertical="center" wrapText="1"/>
    </xf>
    <xf numFmtId="0" fontId="18" fillId="7" borderId="189" xfId="1" applyFont="1" applyFill="1" applyBorder="1" applyAlignment="1">
      <alignment horizontal="center" vertical="center" wrapText="1"/>
    </xf>
    <xf numFmtId="0" fontId="18" fillId="7" borderId="178" xfId="1" applyFont="1" applyFill="1" applyBorder="1" applyAlignment="1">
      <alignment horizontal="center" vertical="center" wrapText="1"/>
    </xf>
    <xf numFmtId="0" fontId="28" fillId="8" borderId="273" xfId="0" applyFont="1" applyFill="1" applyBorder="1" applyAlignment="1">
      <alignment horizontal="center" vertical="center" wrapText="1"/>
    </xf>
    <xf numFmtId="0" fontId="18" fillId="0" borderId="204" xfId="1" applyFont="1" applyBorder="1" applyAlignment="1">
      <alignment horizontal="center" vertical="center"/>
    </xf>
    <xf numFmtId="0" fontId="19" fillId="0" borderId="174" xfId="0" applyFont="1" applyBorder="1" applyAlignment="1">
      <alignment horizontal="center" vertical="center"/>
    </xf>
    <xf numFmtId="0" fontId="19" fillId="0" borderId="175" xfId="0" applyFont="1" applyBorder="1" applyAlignment="1">
      <alignment horizontal="center" vertical="center"/>
    </xf>
    <xf numFmtId="0" fontId="18" fillId="0" borderId="188" xfId="0" applyFont="1" applyBorder="1" applyAlignment="1">
      <alignment horizontal="center" vertical="center"/>
    </xf>
    <xf numFmtId="0" fontId="18" fillId="0" borderId="183" xfId="0" applyFont="1" applyBorder="1" applyAlignment="1">
      <alignment horizontal="center" vertical="center"/>
    </xf>
    <xf numFmtId="0" fontId="18" fillId="7" borderId="171" xfId="1" applyFont="1" applyFill="1" applyBorder="1" applyAlignment="1">
      <alignment horizontal="center" vertical="center"/>
    </xf>
    <xf numFmtId="0" fontId="15" fillId="6" borderId="178" xfId="1" applyFont="1" applyFill="1" applyBorder="1" applyAlignment="1">
      <alignment horizontal="center" vertical="center" wrapText="1"/>
    </xf>
    <xf numFmtId="0" fontId="19" fillId="11" borderId="52" xfId="0" applyFont="1" applyFill="1" applyBorder="1" applyAlignment="1">
      <alignment horizontal="center" vertical="center" wrapText="1"/>
    </xf>
    <xf numFmtId="0" fontId="19" fillId="11" borderId="132" xfId="0" applyFont="1" applyFill="1" applyBorder="1" applyAlignment="1">
      <alignment horizontal="center" vertical="center" wrapText="1"/>
    </xf>
    <xf numFmtId="0" fontId="20" fillId="0" borderId="202" xfId="0" applyFont="1" applyBorder="1" applyAlignment="1">
      <alignment horizontal="center" wrapText="1"/>
    </xf>
    <xf numFmtId="0" fontId="20" fillId="0" borderId="203" xfId="0" applyFont="1" applyBorder="1" applyAlignment="1">
      <alignment horizontal="center" wrapText="1"/>
    </xf>
    <xf numFmtId="0" fontId="19" fillId="0" borderId="174" xfId="0" applyFont="1" applyBorder="1" applyAlignment="1">
      <alignment horizontal="center" wrapText="1"/>
    </xf>
    <xf numFmtId="0" fontId="19" fillId="0" borderId="167" xfId="0" applyFont="1" applyBorder="1" applyAlignment="1">
      <alignment horizontal="center" wrapText="1"/>
    </xf>
    <xf numFmtId="0" fontId="18" fillId="0" borderId="174" xfId="0" applyFont="1" applyBorder="1" applyAlignment="1">
      <alignment horizontal="center" wrapText="1"/>
    </xf>
    <xf numFmtId="0" fontId="18" fillId="0" borderId="167" xfId="0" applyFont="1" applyBorder="1" applyAlignment="1">
      <alignment horizontal="center" wrapText="1"/>
    </xf>
    <xf numFmtId="0" fontId="18" fillId="9" borderId="175" xfId="0" applyFont="1" applyFill="1" applyBorder="1" applyAlignment="1">
      <alignment horizontal="center" wrapText="1"/>
    </xf>
    <xf numFmtId="0" fontId="18" fillId="9" borderId="176" xfId="0" applyFont="1" applyFill="1" applyBorder="1" applyAlignment="1">
      <alignment horizontal="center" wrapText="1"/>
    </xf>
    <xf numFmtId="0" fontId="20" fillId="0" borderId="183" xfId="0" applyFont="1" applyBorder="1" applyAlignment="1">
      <alignment horizontal="center" vertical="center"/>
    </xf>
    <xf numFmtId="0" fontId="8" fillId="6" borderId="67" xfId="0" applyFont="1" applyFill="1" applyBorder="1" applyAlignment="1">
      <alignment horizontal="center" vertical="center"/>
    </xf>
    <xf numFmtId="0" fontId="20" fillId="14" borderId="62" xfId="0" applyFont="1" applyFill="1" applyBorder="1" applyAlignment="1">
      <alignment horizontal="center" vertical="center" wrapText="1"/>
    </xf>
    <xf numFmtId="0" fontId="19" fillId="14" borderId="129" xfId="0" applyFont="1" applyFill="1" applyBorder="1" applyAlignment="1">
      <alignment horizontal="center" vertical="center" wrapText="1"/>
    </xf>
    <xf numFmtId="0" fontId="19" fillId="14" borderId="132" xfId="0" applyFont="1" applyFill="1" applyBorder="1" applyAlignment="1">
      <alignment horizontal="center" vertical="center" wrapText="1"/>
    </xf>
    <xf numFmtId="0" fontId="19" fillId="14" borderId="98" xfId="0" applyFont="1" applyFill="1" applyBorder="1" applyAlignment="1">
      <alignment horizontal="center" vertical="center" wrapText="1"/>
    </xf>
    <xf numFmtId="0" fontId="19" fillId="14" borderId="99" xfId="0" applyFont="1" applyFill="1" applyBorder="1" applyAlignment="1">
      <alignment horizontal="center" vertical="center" wrapText="1"/>
    </xf>
    <xf numFmtId="0" fontId="20" fillId="0" borderId="204" xfId="0" applyFont="1" applyBorder="1" applyAlignment="1">
      <alignment horizontal="center" vertical="center"/>
    </xf>
    <xf numFmtId="0" fontId="20" fillId="0" borderId="174" xfId="0" applyFont="1" applyBorder="1" applyAlignment="1">
      <alignment horizontal="center" vertical="center"/>
    </xf>
    <xf numFmtId="0" fontId="20" fillId="0" borderId="175" xfId="0" applyFont="1" applyBorder="1" applyAlignment="1">
      <alignment horizontal="center" vertical="center"/>
    </xf>
    <xf numFmtId="0" fontId="19" fillId="13" borderId="129" xfId="0" applyFont="1" applyFill="1" applyBorder="1" applyAlignment="1">
      <alignment horizontal="center" vertical="center" wrapText="1"/>
    </xf>
    <xf numFmtId="0" fontId="20" fillId="0" borderId="177" xfId="0" applyFont="1" applyBorder="1" applyAlignment="1">
      <alignment horizontal="center" vertical="center" wrapText="1"/>
    </xf>
    <xf numFmtId="0" fontId="20" fillId="0" borderId="174" xfId="0" applyFont="1" applyBorder="1" applyAlignment="1">
      <alignment horizontal="center" vertical="center" wrapText="1"/>
    </xf>
    <xf numFmtId="0" fontId="20" fillId="0" borderId="175" xfId="0" applyFont="1" applyBorder="1" applyAlignment="1">
      <alignment horizontal="center" vertical="center" wrapText="1"/>
    </xf>
    <xf numFmtId="0" fontId="20" fillId="0" borderId="190" xfId="0" applyFont="1" applyBorder="1" applyAlignment="1">
      <alignment horizontal="center"/>
    </xf>
    <xf numFmtId="0" fontId="20" fillId="0" borderId="176" xfId="0" applyFont="1" applyBorder="1" applyAlignment="1">
      <alignment horizontal="center"/>
    </xf>
    <xf numFmtId="0" fontId="18" fillId="7" borderId="177" xfId="0" applyFont="1" applyFill="1" applyBorder="1" applyAlignment="1">
      <alignment horizontal="center"/>
    </xf>
    <xf numFmtId="0" fontId="18" fillId="7" borderId="179" xfId="1" applyFont="1" applyFill="1" applyBorder="1" applyAlignment="1">
      <alignment horizontal="center" vertical="center"/>
    </xf>
    <xf numFmtId="0" fontId="19" fillId="4" borderId="98" xfId="0" applyFont="1" applyFill="1" applyBorder="1" applyAlignment="1">
      <alignment horizontal="center" vertical="center" wrapText="1"/>
    </xf>
    <xf numFmtId="0" fontId="19" fillId="4" borderId="99" xfId="0" applyFont="1" applyFill="1" applyBorder="1" applyAlignment="1">
      <alignment horizontal="center" vertical="center" wrapText="1"/>
    </xf>
    <xf numFmtId="0" fontId="19" fillId="4" borderId="100" xfId="0" applyFont="1" applyFill="1" applyBorder="1" applyAlignment="1">
      <alignment horizontal="center" vertical="center" wrapText="1"/>
    </xf>
    <xf numFmtId="0" fontId="19" fillId="11" borderId="51" xfId="0" applyFont="1" applyFill="1" applyBorder="1" applyAlignment="1">
      <alignment horizontal="center" vertical="center" wrapText="1"/>
    </xf>
    <xf numFmtId="0" fontId="19" fillId="11" borderId="53" xfId="0" applyFont="1" applyFill="1" applyBorder="1" applyAlignment="1">
      <alignment horizontal="center" vertical="center" wrapText="1"/>
    </xf>
    <xf numFmtId="0" fontId="18" fillId="0" borderId="175" xfId="0" applyFont="1" applyBorder="1" applyAlignment="1">
      <alignment horizontal="center"/>
    </xf>
    <xf numFmtId="0" fontId="18" fillId="7" borderId="174" xfId="1" applyFont="1" applyFill="1" applyBorder="1" applyAlignment="1">
      <alignment horizontal="center" vertical="center" wrapText="1"/>
    </xf>
    <xf numFmtId="0" fontId="18" fillId="7" borderId="175" xfId="1" applyFont="1" applyFill="1" applyBorder="1" applyAlignment="1">
      <alignment horizontal="center" vertical="center" wrapText="1"/>
    </xf>
    <xf numFmtId="0" fontId="18" fillId="7" borderId="196" xfId="1" applyFont="1" applyFill="1" applyBorder="1" applyAlignment="1">
      <alignment horizontal="center" vertical="center" wrapText="1"/>
    </xf>
    <xf numFmtId="0" fontId="15" fillId="7" borderId="174" xfId="0" applyFont="1" applyFill="1" applyBorder="1" applyAlignment="1">
      <alignment horizontal="center"/>
    </xf>
    <xf numFmtId="0" fontId="19" fillId="12" borderId="136" xfId="0" applyFont="1" applyFill="1" applyBorder="1" applyAlignment="1">
      <alignment horizontal="center" vertical="center" wrapText="1"/>
    </xf>
    <xf numFmtId="0" fontId="19" fillId="12" borderId="137" xfId="0" applyFont="1" applyFill="1" applyBorder="1" applyAlignment="1">
      <alignment horizontal="center" vertical="center" wrapText="1"/>
    </xf>
    <xf numFmtId="0" fontId="18" fillId="7" borderId="0" xfId="0" applyFont="1" applyFill="1" applyAlignment="1">
      <alignment horizontal="center"/>
    </xf>
    <xf numFmtId="0" fontId="15" fillId="7" borderId="22" xfId="0" applyFont="1" applyFill="1" applyBorder="1" applyAlignment="1">
      <alignment horizontal="center"/>
    </xf>
    <xf numFmtId="0" fontId="15" fillId="7" borderId="0" xfId="0" applyFont="1" applyFill="1" applyAlignment="1">
      <alignment horizontal="center"/>
    </xf>
    <xf numFmtId="0" fontId="18" fillId="7" borderId="73" xfId="0" applyFont="1" applyFill="1" applyBorder="1" applyAlignment="1">
      <alignment horizontal="center"/>
    </xf>
    <xf numFmtId="0" fontId="19" fillId="12" borderId="135" xfId="0" applyFont="1" applyFill="1" applyBorder="1" applyAlignment="1">
      <alignment horizontal="center" vertical="center" wrapText="1"/>
    </xf>
    <xf numFmtId="0" fontId="18" fillId="7" borderId="69" xfId="1" applyFont="1" applyFill="1" applyBorder="1" applyAlignment="1">
      <alignment horizontal="center" vertical="center"/>
    </xf>
    <xf numFmtId="0" fontId="18" fillId="7" borderId="168" xfId="1" applyFont="1" applyFill="1" applyBorder="1" applyAlignment="1">
      <alignment horizontal="center" vertical="center"/>
    </xf>
    <xf numFmtId="0" fontId="18" fillId="0" borderId="190" xfId="0" applyFont="1" applyBorder="1" applyAlignment="1">
      <alignment horizontal="center" vertical="center"/>
    </xf>
    <xf numFmtId="0" fontId="19" fillId="15" borderId="51" xfId="0" applyFont="1" applyFill="1" applyBorder="1" applyAlignment="1">
      <alignment horizontal="center" vertical="center" wrapText="1"/>
    </xf>
    <xf numFmtId="0" fontId="19" fillId="15" borderId="52" xfId="0" applyFont="1" applyFill="1" applyBorder="1" applyAlignment="1">
      <alignment horizontal="center" vertical="center" wrapText="1"/>
    </xf>
    <xf numFmtId="0" fontId="19" fillId="15" borderId="99" xfId="0" applyFont="1" applyFill="1" applyBorder="1" applyAlignment="1">
      <alignment horizontal="center" vertical="center" wrapText="1"/>
    </xf>
    <xf numFmtId="0" fontId="19" fillId="15" borderId="100"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20" fillId="7" borderId="55" xfId="0" applyFont="1" applyFill="1" applyBorder="1" applyAlignment="1">
      <alignment horizontal="center" vertical="center"/>
    </xf>
    <xf numFmtId="0" fontId="20" fillId="7" borderId="56" xfId="0" applyFont="1" applyFill="1" applyBorder="1" applyAlignment="1">
      <alignment horizontal="center" vertical="center"/>
    </xf>
    <xf numFmtId="0" fontId="20" fillId="7" borderId="57" xfId="0" applyFont="1" applyFill="1" applyBorder="1" applyAlignment="1">
      <alignment horizontal="center" vertical="center"/>
    </xf>
    <xf numFmtId="0" fontId="20" fillId="4" borderId="0" xfId="0" applyFont="1" applyFill="1" applyAlignment="1">
      <alignment horizontal="center" vertical="center" wrapText="1"/>
    </xf>
    <xf numFmtId="0" fontId="27" fillId="7" borderId="179" xfId="0" applyFont="1" applyFill="1" applyBorder="1" applyAlignment="1">
      <alignment horizontal="center"/>
    </xf>
    <xf numFmtId="0" fontId="27" fillId="7" borderId="180" xfId="0" applyFont="1" applyFill="1" applyBorder="1" applyAlignment="1">
      <alignment horizontal="center"/>
    </xf>
    <xf numFmtId="0" fontId="20" fillId="12" borderId="62" xfId="0" applyFont="1" applyFill="1" applyBorder="1" applyAlignment="1">
      <alignment horizontal="center" vertical="center"/>
    </xf>
    <xf numFmtId="0" fontId="20" fillId="13" borderId="0" xfId="0" applyFont="1" applyFill="1" applyAlignment="1">
      <alignment horizontal="center" vertical="center" wrapText="1"/>
    </xf>
    <xf numFmtId="0" fontId="19" fillId="4" borderId="129" xfId="0" applyFont="1" applyFill="1" applyBorder="1" applyAlignment="1">
      <alignment horizontal="center" vertical="center" wrapText="1"/>
    </xf>
    <xf numFmtId="0" fontId="20" fillId="0" borderId="204" xfId="0" applyFont="1" applyBorder="1" applyAlignment="1">
      <alignment horizontal="center" vertical="center" wrapText="1"/>
    </xf>
    <xf numFmtId="0" fontId="19" fillId="0" borderId="177" xfId="0" applyFont="1" applyBorder="1" applyAlignment="1">
      <alignment horizontal="center"/>
    </xf>
    <xf numFmtId="0" fontId="19" fillId="0" borderId="178" xfId="0" applyFont="1" applyBorder="1" applyAlignment="1">
      <alignment horizontal="center"/>
    </xf>
    <xf numFmtId="0" fontId="20" fillId="12" borderId="138" xfId="0" applyFont="1" applyFill="1" applyBorder="1" applyAlignment="1">
      <alignment horizontal="center" vertical="center"/>
    </xf>
    <xf numFmtId="0" fontId="19" fillId="10" borderId="177" xfId="0" applyFont="1" applyFill="1" applyBorder="1" applyAlignment="1">
      <alignment horizontal="center" vertical="center"/>
    </xf>
    <xf numFmtId="0" fontId="19" fillId="10" borderId="174" xfId="0" applyFont="1" applyFill="1" applyBorder="1" applyAlignment="1">
      <alignment horizontal="center" vertical="center"/>
    </xf>
    <xf numFmtId="0" fontId="19" fillId="10" borderId="179" xfId="0" applyFont="1" applyFill="1" applyBorder="1" applyAlignment="1">
      <alignment horizontal="center" vertical="center"/>
    </xf>
    <xf numFmtId="0" fontId="19" fillId="12" borderId="184" xfId="0" applyFont="1" applyFill="1" applyBorder="1" applyAlignment="1">
      <alignment horizontal="center" vertical="center"/>
    </xf>
    <xf numFmtId="0" fontId="19" fillId="12" borderId="185" xfId="0" applyFont="1" applyFill="1" applyBorder="1" applyAlignment="1">
      <alignment horizontal="center" vertical="center"/>
    </xf>
    <xf numFmtId="0" fontId="19" fillId="12" borderId="197" xfId="0" applyFont="1" applyFill="1" applyBorder="1" applyAlignment="1">
      <alignment horizontal="center" vertical="center"/>
    </xf>
    <xf numFmtId="0" fontId="19" fillId="10" borderId="236" xfId="0" applyFont="1" applyFill="1" applyBorder="1" applyAlignment="1">
      <alignment horizontal="center" vertical="center" wrapText="1"/>
    </xf>
    <xf numFmtId="0" fontId="19" fillId="10" borderId="70" xfId="0" applyFont="1" applyFill="1" applyBorder="1" applyAlignment="1">
      <alignment horizontal="center" vertical="center" wrapText="1"/>
    </xf>
    <xf numFmtId="0" fontId="19" fillId="10" borderId="18" xfId="0" applyFont="1" applyFill="1" applyBorder="1" applyAlignment="1">
      <alignment horizontal="center" vertical="center" wrapText="1"/>
    </xf>
    <xf numFmtId="0" fontId="19" fillId="10" borderId="276" xfId="0" applyFont="1" applyFill="1" applyBorder="1" applyAlignment="1">
      <alignment horizontal="center" vertical="center" wrapText="1"/>
    </xf>
    <xf numFmtId="0" fontId="19" fillId="10" borderId="175" xfId="0" applyFont="1" applyFill="1" applyBorder="1" applyAlignment="1">
      <alignment horizontal="center" vertical="center"/>
    </xf>
    <xf numFmtId="0" fontId="19" fillId="0" borderId="167" xfId="0" applyFont="1" applyBorder="1" applyAlignment="1">
      <alignment horizontal="center" vertical="center" wrapText="1"/>
    </xf>
    <xf numFmtId="0" fontId="19" fillId="14" borderId="53" xfId="0" applyFont="1" applyFill="1" applyBorder="1" applyAlignment="1">
      <alignment horizontal="center" vertical="center" wrapText="1"/>
    </xf>
    <xf numFmtId="0" fontId="18" fillId="0" borderId="178" xfId="0" applyFont="1" applyBorder="1" applyAlignment="1">
      <alignment horizontal="center"/>
    </xf>
    <xf numFmtId="0" fontId="18" fillId="0" borderId="177" xfId="0" applyFont="1" applyBorder="1" applyAlignment="1">
      <alignment horizontal="center"/>
    </xf>
    <xf numFmtId="0" fontId="15" fillId="0" borderId="176" xfId="1" applyFont="1" applyFill="1" applyBorder="1" applyAlignment="1">
      <alignment horizontal="center" vertical="center"/>
    </xf>
    <xf numFmtId="0" fontId="19" fillId="11" borderId="177" xfId="0" applyFont="1" applyFill="1" applyBorder="1" applyAlignment="1">
      <alignment horizontal="center" vertical="center" wrapText="1"/>
    </xf>
    <xf numFmtId="0" fontId="19" fillId="11" borderId="175" xfId="0" applyFont="1" applyFill="1" applyBorder="1" applyAlignment="1">
      <alignment horizontal="center" vertical="center" wrapText="1"/>
    </xf>
    <xf numFmtId="0" fontId="16" fillId="0" borderId="180" xfId="0" applyFont="1" applyBorder="1" applyAlignment="1">
      <alignment horizontal="center"/>
    </xf>
    <xf numFmtId="0" fontId="11" fillId="6" borderId="72" xfId="0" applyFont="1" applyFill="1" applyBorder="1" applyAlignment="1">
      <alignment horizontal="center" vertical="center"/>
    </xf>
    <xf numFmtId="0" fontId="11" fillId="6" borderId="191" xfId="0" applyFont="1" applyFill="1" applyBorder="1" applyAlignment="1">
      <alignment horizontal="center" vertical="center"/>
    </xf>
    <xf numFmtId="0" fontId="20" fillId="11" borderId="0" xfId="0" applyFont="1" applyFill="1" applyAlignment="1">
      <alignment horizontal="center" vertical="center" wrapText="1"/>
    </xf>
    <xf numFmtId="0" fontId="20" fillId="11" borderId="6" xfId="0" applyFont="1" applyFill="1" applyBorder="1" applyAlignment="1">
      <alignment horizontal="center" vertical="center" wrapText="1"/>
    </xf>
    <xf numFmtId="0" fontId="20" fillId="0" borderId="173" xfId="0" applyFont="1" applyBorder="1" applyAlignment="1">
      <alignment horizontal="center" wrapText="1"/>
    </xf>
    <xf numFmtId="0" fontId="18" fillId="7" borderId="176" xfId="1" applyFont="1" applyFill="1" applyBorder="1" applyAlignment="1">
      <alignment horizontal="center" vertical="center" wrapText="1"/>
    </xf>
    <xf numFmtId="0" fontId="20" fillId="8" borderId="47" xfId="0" applyFont="1" applyFill="1" applyBorder="1" applyAlignment="1">
      <alignment horizontal="center" vertical="center" wrapText="1"/>
    </xf>
    <xf numFmtId="0" fontId="20" fillId="8" borderId="7" xfId="0" applyFont="1" applyFill="1" applyBorder="1" applyAlignment="1">
      <alignment horizontal="center" vertical="center" wrapText="1"/>
    </xf>
    <xf numFmtId="0" fontId="18" fillId="7" borderId="179" xfId="1" applyFont="1" applyFill="1" applyBorder="1" applyAlignment="1">
      <alignment horizontal="center" vertical="center" wrapText="1"/>
    </xf>
    <xf numFmtId="0" fontId="18" fillId="0" borderId="204" xfId="0" applyFont="1" applyBorder="1" applyAlignment="1">
      <alignment horizontal="center" vertical="center"/>
    </xf>
    <xf numFmtId="0" fontId="18" fillId="0" borderId="175" xfId="0" applyFont="1" applyBorder="1" applyAlignment="1">
      <alignment horizontal="center" vertical="center"/>
    </xf>
    <xf numFmtId="0" fontId="11" fillId="6" borderId="180" xfId="0" applyFont="1" applyFill="1" applyBorder="1" applyAlignment="1">
      <alignment horizontal="center" vertical="center"/>
    </xf>
    <xf numFmtId="0" fontId="15" fillId="6" borderId="104" xfId="1" applyFont="1" applyFill="1" applyBorder="1" applyAlignment="1">
      <alignment horizontal="center" vertical="center" wrapText="1"/>
    </xf>
    <xf numFmtId="0" fontId="15" fillId="6" borderId="47" xfId="1" applyFont="1" applyFill="1" applyBorder="1" applyAlignment="1">
      <alignment horizontal="center" vertical="center" wrapText="1"/>
    </xf>
    <xf numFmtId="0" fontId="18" fillId="0" borderId="174" xfId="1" applyFont="1" applyBorder="1" applyAlignment="1">
      <alignment horizontal="center" vertical="center"/>
    </xf>
    <xf numFmtId="0" fontId="28" fillId="8" borderId="187" xfId="0" applyFont="1" applyFill="1" applyBorder="1" applyAlignment="1">
      <alignment horizontal="center" vertical="center" wrapText="1"/>
    </xf>
    <xf numFmtId="0" fontId="19" fillId="13" borderId="187" xfId="0" applyFont="1" applyFill="1" applyBorder="1" applyAlignment="1">
      <alignment horizontal="center" vertical="center" wrapText="1"/>
    </xf>
    <xf numFmtId="0" fontId="19" fillId="13" borderId="197" xfId="0" applyFont="1" applyFill="1" applyBorder="1" applyAlignment="1">
      <alignment horizontal="center" vertical="center" wrapText="1"/>
    </xf>
    <xf numFmtId="0" fontId="20" fillId="4" borderId="64" xfId="0" applyFont="1" applyFill="1" applyBorder="1" applyAlignment="1">
      <alignment horizontal="center" vertical="center" wrapText="1"/>
    </xf>
    <xf numFmtId="0" fontId="15" fillId="7" borderId="178" xfId="1" applyFont="1" applyFill="1" applyBorder="1" applyAlignment="1">
      <alignment horizontal="center" vertical="center" wrapText="1"/>
    </xf>
    <xf numFmtId="0" fontId="20" fillId="0" borderId="178" xfId="0" applyFont="1" applyBorder="1" applyAlignment="1">
      <alignment horizontal="center" vertical="center"/>
    </xf>
    <xf numFmtId="0" fontId="20" fillId="0" borderId="167" xfId="0" applyFont="1" applyBorder="1" applyAlignment="1">
      <alignment horizontal="center" vertical="center"/>
    </xf>
    <xf numFmtId="0" fontId="8" fillId="6" borderId="180" xfId="0" applyFont="1" applyFill="1" applyBorder="1" applyAlignment="1">
      <alignment horizontal="center" vertical="center"/>
    </xf>
    <xf numFmtId="0" fontId="19" fillId="12" borderId="177" xfId="0" applyFont="1" applyFill="1" applyBorder="1" applyAlignment="1">
      <alignment horizontal="center" vertical="center"/>
    </xf>
    <xf numFmtId="0" fontId="19" fillId="12" borderId="174" xfId="0" applyFont="1" applyFill="1" applyBorder="1" applyAlignment="1">
      <alignment horizontal="center" vertical="center"/>
    </xf>
    <xf numFmtId="0" fontId="19" fillId="12" borderId="175" xfId="0" applyFont="1" applyFill="1" applyBorder="1" applyAlignment="1">
      <alignment horizontal="center" vertical="center"/>
    </xf>
    <xf numFmtId="3" fontId="19" fillId="0" borderId="167" xfId="0" applyNumberFormat="1" applyFont="1" applyBorder="1" applyAlignment="1">
      <alignment horizontal="center" vertical="center" wrapText="1"/>
    </xf>
    <xf numFmtId="0" fontId="8" fillId="6" borderId="92" xfId="0" applyFont="1" applyFill="1" applyBorder="1" applyAlignment="1">
      <alignment horizontal="center" vertical="center"/>
    </xf>
    <xf numFmtId="0" fontId="8" fillId="6" borderId="191" xfId="0" applyFont="1" applyFill="1" applyBorder="1" applyAlignment="1">
      <alignment horizontal="center" vertical="center"/>
    </xf>
    <xf numFmtId="0" fontId="8" fillId="6" borderId="259" xfId="0" applyFont="1" applyFill="1" applyBorder="1" applyAlignment="1">
      <alignment horizontal="center" vertical="center"/>
    </xf>
    <xf numFmtId="0" fontId="18" fillId="0" borderId="177" xfId="0" applyFont="1" applyBorder="1" applyAlignment="1">
      <alignment horizontal="center" vertical="center"/>
    </xf>
    <xf numFmtId="0" fontId="19" fillId="15" borderId="128" xfId="0" applyFont="1" applyFill="1" applyBorder="1" applyAlignment="1">
      <alignment horizontal="center" vertical="center" wrapText="1"/>
    </xf>
    <xf numFmtId="0" fontId="19" fillId="15" borderId="129" xfId="0" applyFont="1" applyFill="1" applyBorder="1" applyAlignment="1">
      <alignment horizontal="center" vertical="center" wrapText="1"/>
    </xf>
    <xf numFmtId="0" fontId="19" fillId="15" borderId="134" xfId="0" applyFont="1" applyFill="1" applyBorder="1" applyAlignment="1">
      <alignment horizontal="center" vertical="center" wrapText="1"/>
    </xf>
    <xf numFmtId="0" fontId="19" fillId="0" borderId="204" xfId="0" applyFont="1" applyBorder="1" applyAlignment="1">
      <alignment horizontal="center"/>
    </xf>
    <xf numFmtId="0" fontId="19" fillId="4" borderId="197" xfId="0" applyFont="1" applyFill="1" applyBorder="1" applyAlignment="1">
      <alignment horizontal="center" vertical="center" wrapText="1"/>
    </xf>
    <xf numFmtId="0" fontId="20" fillId="7" borderId="277" xfId="0" applyFont="1" applyFill="1" applyBorder="1" applyAlignment="1">
      <alignment horizontal="center" vertical="center" wrapText="1"/>
    </xf>
    <xf numFmtId="0" fontId="20" fillId="7" borderId="278" xfId="0" applyFont="1" applyFill="1" applyBorder="1" applyAlignment="1">
      <alignment horizontal="center" vertical="center" wrapText="1"/>
    </xf>
    <xf numFmtId="0" fontId="19" fillId="0" borderId="99" xfId="0" applyFont="1" applyBorder="1" applyAlignment="1">
      <alignment horizontal="center" vertical="center" wrapText="1"/>
    </xf>
    <xf numFmtId="0" fontId="19" fillId="0" borderId="100" xfId="0" applyFont="1" applyBorder="1" applyAlignment="1">
      <alignment horizontal="center" vertical="center" wrapText="1"/>
    </xf>
    <xf numFmtId="0" fontId="15" fillId="7" borderId="174" xfId="0" applyFont="1" applyFill="1" applyBorder="1" applyAlignment="1">
      <alignment horizontal="center" wrapText="1"/>
    </xf>
    <xf numFmtId="0" fontId="15" fillId="7" borderId="167" xfId="0" applyFont="1" applyFill="1" applyBorder="1" applyAlignment="1">
      <alignment horizontal="center" wrapText="1"/>
    </xf>
    <xf numFmtId="0" fontId="18" fillId="7" borderId="175" xfId="0" applyFont="1" applyFill="1" applyBorder="1" applyAlignment="1">
      <alignment horizontal="center" wrapText="1"/>
    </xf>
    <xf numFmtId="0" fontId="18" fillId="7" borderId="176" xfId="0" applyFont="1" applyFill="1" applyBorder="1" applyAlignment="1">
      <alignment horizontal="center" wrapText="1"/>
    </xf>
    <xf numFmtId="0" fontId="20" fillId="0" borderId="174" xfId="0" applyFont="1" applyBorder="1" applyAlignment="1">
      <alignment horizontal="center" wrapText="1"/>
    </xf>
    <xf numFmtId="0" fontId="20" fillId="0" borderId="171" xfId="0" applyFont="1" applyBorder="1" applyAlignment="1">
      <alignment horizontal="center" wrapText="1"/>
    </xf>
    <xf numFmtId="0" fontId="20" fillId="0" borderId="179" xfId="0" applyFont="1" applyBorder="1" applyAlignment="1">
      <alignment horizontal="center" wrapText="1"/>
    </xf>
    <xf numFmtId="0" fontId="20" fillId="0" borderId="181" xfId="0" applyFont="1" applyBorder="1" applyAlignment="1">
      <alignment horizontal="center" wrapText="1"/>
    </xf>
    <xf numFmtId="3" fontId="19" fillId="0" borderId="174" xfId="0" applyNumberFormat="1" applyFont="1" applyBorder="1" applyAlignment="1">
      <alignment horizontal="center" vertical="center" wrapText="1"/>
    </xf>
    <xf numFmtId="0" fontId="11" fillId="6" borderId="258" xfId="0" applyFont="1" applyFill="1" applyBorder="1" applyAlignment="1">
      <alignment horizontal="center" vertical="center" wrapText="1"/>
    </xf>
    <xf numFmtId="0" fontId="18" fillId="0" borderId="170" xfId="1" applyFont="1" applyBorder="1" applyAlignment="1">
      <alignment horizontal="center" vertical="center" wrapText="1"/>
    </xf>
    <xf numFmtId="0" fontId="19" fillId="0" borderId="171" xfId="0" applyFont="1" applyBorder="1" applyAlignment="1">
      <alignment horizontal="center" wrapText="1"/>
    </xf>
    <xf numFmtId="0" fontId="18" fillId="0" borderId="171" xfId="0" applyFont="1" applyBorder="1" applyAlignment="1">
      <alignment horizontal="center" wrapText="1"/>
    </xf>
    <xf numFmtId="0" fontId="18" fillId="7" borderId="172" xfId="1" applyFont="1" applyFill="1" applyBorder="1" applyAlignment="1">
      <alignment horizontal="center" vertical="center" wrapText="1"/>
    </xf>
    <xf numFmtId="0" fontId="20" fillId="0" borderId="177" xfId="0" applyFont="1" applyBorder="1" applyAlignment="1">
      <alignment horizontal="center" wrapText="1"/>
    </xf>
    <xf numFmtId="0" fontId="20" fillId="0" borderId="170" xfId="0" applyFont="1" applyBorder="1" applyAlignment="1">
      <alignment horizontal="center" wrapText="1"/>
    </xf>
    <xf numFmtId="0" fontId="11" fillId="6" borderId="199" xfId="0" applyFont="1" applyFill="1" applyBorder="1" applyAlignment="1">
      <alignment horizontal="center" vertical="center" wrapText="1"/>
    </xf>
    <xf numFmtId="0" fontId="20" fillId="8" borderId="154" xfId="0" applyFont="1" applyFill="1" applyBorder="1" applyAlignment="1">
      <alignment horizontal="center" vertical="center" wrapText="1"/>
    </xf>
    <xf numFmtId="0" fontId="20" fillId="8" borderId="8" xfId="0" applyFont="1" applyFill="1" applyBorder="1" applyAlignment="1">
      <alignment horizontal="center" vertical="center" wrapText="1"/>
    </xf>
    <xf numFmtId="0" fontId="20" fillId="8" borderId="16" xfId="0" applyFont="1" applyFill="1" applyBorder="1" applyAlignment="1">
      <alignment horizontal="center" vertical="center" wrapText="1"/>
    </xf>
    <xf numFmtId="0" fontId="18" fillId="0" borderId="204" xfId="1" applyFont="1" applyBorder="1" applyAlignment="1">
      <alignment horizontal="center" vertical="center" wrapText="1"/>
    </xf>
    <xf numFmtId="0" fontId="18" fillId="0" borderId="194" xfId="1" applyFont="1" applyBorder="1" applyAlignment="1">
      <alignment horizontal="center" vertical="center" wrapText="1"/>
    </xf>
    <xf numFmtId="0" fontId="15" fillId="0" borderId="171" xfId="1" applyFont="1" applyBorder="1" applyAlignment="1">
      <alignment horizontal="center" vertical="center" wrapText="1"/>
    </xf>
    <xf numFmtId="0" fontId="18" fillId="0" borderId="171" xfId="1" applyFont="1" applyBorder="1" applyAlignment="1">
      <alignment horizontal="center" vertical="center" wrapText="1"/>
    </xf>
    <xf numFmtId="0" fontId="18" fillId="7" borderId="181" xfId="1" applyFont="1" applyFill="1" applyBorder="1" applyAlignment="1">
      <alignment horizontal="center" vertical="center" wrapText="1"/>
    </xf>
    <xf numFmtId="0" fontId="11" fillId="6" borderId="191" xfId="0" applyFont="1" applyFill="1" applyBorder="1" applyAlignment="1">
      <alignment horizontal="center" vertical="center" wrapText="1"/>
    </xf>
    <xf numFmtId="0" fontId="11" fillId="6" borderId="92" xfId="0" applyFont="1" applyFill="1" applyBorder="1" applyAlignment="1">
      <alignment horizontal="center" vertical="center" wrapText="1"/>
    </xf>
    <xf numFmtId="0" fontId="20" fillId="10" borderId="236" xfId="0" applyFont="1" applyFill="1" applyBorder="1" applyAlignment="1">
      <alignment horizontal="center" vertical="center" wrapText="1"/>
    </xf>
    <xf numFmtId="0" fontId="20" fillId="10" borderId="70" xfId="0" applyFont="1" applyFill="1" applyBorder="1" applyAlignment="1">
      <alignment horizontal="center" vertical="center" wrapText="1"/>
    </xf>
    <xf numFmtId="0" fontId="20" fillId="10" borderId="18" xfId="0" applyFont="1" applyFill="1" applyBorder="1" applyAlignment="1">
      <alignment horizontal="center" vertical="center" wrapText="1"/>
    </xf>
    <xf numFmtId="0" fontId="20" fillId="10" borderId="276" xfId="0" applyFont="1" applyFill="1" applyBorder="1" applyAlignment="1">
      <alignment horizontal="center" vertical="center" wrapText="1"/>
    </xf>
    <xf numFmtId="0" fontId="19" fillId="10" borderId="204" xfId="0" applyFont="1" applyFill="1" applyBorder="1" applyAlignment="1">
      <alignment horizontal="center" vertical="center"/>
    </xf>
    <xf numFmtId="0" fontId="15" fillId="0" borderId="167" xfId="0" applyFont="1" applyBorder="1" applyAlignment="1">
      <alignment horizontal="center" wrapText="1"/>
    </xf>
    <xf numFmtId="0" fontId="18" fillId="0" borderId="176" xfId="0" applyFont="1" applyBorder="1" applyAlignment="1">
      <alignment horizontal="center" wrapText="1"/>
    </xf>
    <xf numFmtId="0" fontId="15" fillId="6" borderId="41" xfId="1" applyFont="1" applyFill="1" applyBorder="1" applyAlignment="1">
      <alignment horizontal="center" vertical="center" wrapText="1"/>
    </xf>
    <xf numFmtId="0" fontId="15" fillId="6" borderId="80" xfId="1" applyFont="1" applyFill="1" applyBorder="1" applyAlignment="1">
      <alignment horizontal="center" vertical="center" wrapText="1"/>
    </xf>
    <xf numFmtId="0" fontId="19" fillId="10" borderId="215" xfId="0" applyFont="1" applyFill="1" applyBorder="1" applyAlignment="1">
      <alignment horizontal="center" vertical="center"/>
    </xf>
    <xf numFmtId="0" fontId="19" fillId="10" borderId="216" xfId="0" applyFont="1" applyFill="1" applyBorder="1" applyAlignment="1">
      <alignment horizontal="center" vertical="center"/>
    </xf>
    <xf numFmtId="0" fontId="19" fillId="10" borderId="239" xfId="0" applyFont="1" applyFill="1" applyBorder="1" applyAlignment="1">
      <alignment horizontal="center" vertical="center"/>
    </xf>
    <xf numFmtId="0" fontId="8" fillId="6" borderId="199" xfId="0" applyFont="1" applyFill="1" applyBorder="1" applyAlignment="1">
      <alignment horizontal="center" vertical="center" wrapText="1"/>
    </xf>
    <xf numFmtId="0" fontId="19" fillId="11" borderId="215" xfId="0" applyFont="1" applyFill="1" applyBorder="1" applyAlignment="1">
      <alignment horizontal="center" vertical="center" wrapText="1"/>
    </xf>
    <xf numFmtId="0" fontId="19" fillId="11" borderId="216" xfId="0" applyFont="1" applyFill="1" applyBorder="1" applyAlignment="1">
      <alignment horizontal="center" vertical="center" wrapText="1"/>
    </xf>
    <xf numFmtId="0" fontId="19" fillId="11" borderId="237" xfId="0" applyFont="1" applyFill="1" applyBorder="1" applyAlignment="1">
      <alignment horizontal="center" vertical="center" wrapText="1"/>
    </xf>
    <xf numFmtId="0" fontId="18" fillId="0" borderId="180" xfId="0" applyFont="1" applyBorder="1" applyAlignment="1">
      <alignment horizontal="center" wrapText="1"/>
    </xf>
    <xf numFmtId="0" fontId="19" fillId="12" borderId="51" xfId="0" applyFont="1" applyFill="1" applyBorder="1" applyAlignment="1">
      <alignment horizontal="center" vertical="center"/>
    </xf>
    <xf numFmtId="0" fontId="19" fillId="12" borderId="52" xfId="0" applyFont="1" applyFill="1" applyBorder="1" applyAlignment="1">
      <alignment horizontal="center" vertical="center"/>
    </xf>
    <xf numFmtId="0" fontId="18" fillId="7" borderId="177" xfId="0" applyFont="1" applyFill="1" applyBorder="1" applyAlignment="1">
      <alignment horizontal="center" wrapText="1"/>
    </xf>
    <xf numFmtId="0" fontId="18" fillId="7" borderId="178" xfId="0" applyFont="1" applyFill="1" applyBorder="1" applyAlignment="1">
      <alignment horizontal="center" wrapText="1"/>
    </xf>
    <xf numFmtId="0" fontId="18" fillId="0" borderId="179" xfId="0" applyFont="1" applyBorder="1" applyAlignment="1">
      <alignment horizontal="center" wrapText="1"/>
    </xf>
    <xf numFmtId="0" fontId="19" fillId="4" borderId="51" xfId="0" applyFont="1" applyFill="1" applyBorder="1" applyAlignment="1">
      <alignment horizontal="center" vertical="center" wrapText="1"/>
    </xf>
    <xf numFmtId="0" fontId="8" fillId="6" borderId="258" xfId="0" applyFont="1" applyFill="1" applyBorder="1" applyAlignment="1">
      <alignment horizontal="center" vertical="center" wrapText="1"/>
    </xf>
    <xf numFmtId="0" fontId="27" fillId="7" borderId="179" xfId="0" applyFont="1" applyFill="1" applyBorder="1" applyAlignment="1">
      <alignment horizontal="center" wrapText="1"/>
    </xf>
    <xf numFmtId="0" fontId="27" fillId="7" borderId="180" xfId="0" applyFont="1" applyFill="1" applyBorder="1" applyAlignment="1">
      <alignment horizontal="center" wrapText="1"/>
    </xf>
    <xf numFmtId="0" fontId="19" fillId="4" borderId="0" xfId="0" applyFont="1" applyFill="1" applyAlignment="1">
      <alignment horizontal="center" vertical="center" wrapText="1"/>
    </xf>
    <xf numFmtId="0" fontId="19" fillId="4" borderId="67" xfId="0" applyFont="1" applyFill="1" applyBorder="1" applyAlignment="1">
      <alignment horizontal="center" vertical="center" wrapText="1"/>
    </xf>
    <xf numFmtId="0" fontId="20" fillId="0" borderId="179" xfId="0" applyFont="1" applyBorder="1" applyAlignment="1">
      <alignment horizontal="center" vertical="center" wrapText="1"/>
    </xf>
    <xf numFmtId="0" fontId="18" fillId="7" borderId="204" xfId="1" applyFont="1" applyFill="1" applyBorder="1" applyAlignment="1">
      <alignment horizontal="center" vertical="center" wrapText="1"/>
    </xf>
    <xf numFmtId="0" fontId="8" fillId="6" borderId="196" xfId="0" applyFont="1" applyFill="1" applyBorder="1" applyAlignment="1">
      <alignment horizontal="center" vertical="center" wrapText="1"/>
    </xf>
    <xf numFmtId="0" fontId="8" fillId="6" borderId="180" xfId="0" applyFont="1" applyFill="1" applyBorder="1" applyAlignment="1">
      <alignment horizontal="center" vertical="center" wrapText="1"/>
    </xf>
    <xf numFmtId="0" fontId="19" fillId="0" borderId="177" xfId="0" applyFont="1" applyBorder="1" applyAlignment="1">
      <alignment horizontal="center" wrapText="1"/>
    </xf>
    <xf numFmtId="0" fontId="19" fillId="0" borderId="178" xfId="0" applyFont="1" applyBorder="1" applyAlignment="1">
      <alignment horizontal="center" wrapText="1"/>
    </xf>
    <xf numFmtId="0" fontId="8" fillId="6" borderId="222" xfId="0" applyFont="1" applyFill="1" applyBorder="1" applyAlignment="1">
      <alignment horizontal="center" vertical="center" wrapText="1"/>
    </xf>
    <xf numFmtId="0" fontId="8" fillId="6" borderId="218" xfId="0" applyFont="1" applyFill="1" applyBorder="1" applyAlignment="1">
      <alignment horizontal="center" vertical="center" wrapText="1"/>
    </xf>
    <xf numFmtId="0" fontId="19" fillId="12" borderId="53" xfId="0" applyFont="1" applyFill="1" applyBorder="1" applyAlignment="1">
      <alignment horizontal="center" vertical="center"/>
    </xf>
    <xf numFmtId="0" fontId="18" fillId="7" borderId="174" xfId="0" applyFont="1" applyFill="1" applyBorder="1" applyAlignment="1">
      <alignment horizontal="center" wrapText="1"/>
    </xf>
    <xf numFmtId="0" fontId="18" fillId="7" borderId="167" xfId="0" applyFont="1" applyFill="1" applyBorder="1" applyAlignment="1">
      <alignment horizontal="center" wrapText="1"/>
    </xf>
    <xf numFmtId="0" fontId="20" fillId="13" borderId="64" xfId="0" applyFont="1" applyFill="1" applyBorder="1" applyAlignment="1">
      <alignment horizontal="center" vertical="center" wrapText="1"/>
    </xf>
    <xf numFmtId="0" fontId="19" fillId="13" borderId="0" xfId="0" applyFont="1" applyFill="1" applyAlignment="1">
      <alignment horizontal="center" vertical="center" wrapText="1"/>
    </xf>
    <xf numFmtId="0" fontId="19" fillId="0" borderId="179" xfId="0" applyFont="1" applyBorder="1" applyAlignment="1">
      <alignment horizontal="center" vertical="center" wrapText="1"/>
    </xf>
    <xf numFmtId="0" fontId="20" fillId="0" borderId="178" xfId="0" applyFont="1" applyBorder="1" applyAlignment="1">
      <alignment horizontal="center" wrapText="1"/>
    </xf>
    <xf numFmtId="0" fontId="18" fillId="0" borderId="177" xfId="0" applyFont="1" applyBorder="1" applyAlignment="1">
      <alignment horizontal="center" wrapText="1"/>
    </xf>
    <xf numFmtId="0" fontId="18" fillId="0" borderId="178" xfId="0" applyFont="1" applyBorder="1" applyAlignment="1">
      <alignment horizontal="center" wrapText="1"/>
    </xf>
    <xf numFmtId="0" fontId="19" fillId="0" borderId="221" xfId="0" applyFont="1" applyBorder="1" applyAlignment="1">
      <alignment horizontal="center" wrapText="1"/>
    </xf>
    <xf numFmtId="0" fontId="19" fillId="0" borderId="199" xfId="0" applyFont="1" applyBorder="1" applyAlignment="1">
      <alignment horizontal="center" wrapText="1"/>
    </xf>
    <xf numFmtId="0" fontId="8" fillId="6" borderId="221" xfId="0" applyFont="1" applyFill="1" applyBorder="1" applyAlignment="1">
      <alignment horizontal="center" vertical="center" wrapText="1"/>
    </xf>
    <xf numFmtId="0" fontId="18" fillId="0" borderId="179" xfId="1" applyFont="1" applyFill="1" applyBorder="1" applyAlignment="1">
      <alignment horizontal="center" vertical="center" wrapText="1"/>
    </xf>
    <xf numFmtId="0" fontId="29" fillId="0" borderId="180" xfId="1" applyFont="1" applyFill="1" applyBorder="1" applyAlignment="1">
      <alignment horizontal="center" vertical="center" wrapText="1"/>
    </xf>
    <xf numFmtId="0" fontId="19" fillId="0" borderId="175" xfId="0" applyFont="1" applyBorder="1" applyAlignment="1">
      <alignment horizontal="center" wrapText="1"/>
    </xf>
    <xf numFmtId="0" fontId="19" fillId="0" borderId="176" xfId="0" applyFont="1" applyBorder="1" applyAlignment="1">
      <alignment horizontal="center" wrapText="1"/>
    </xf>
    <xf numFmtId="0" fontId="20" fillId="0" borderId="204" xfId="0" applyFont="1" applyBorder="1" applyAlignment="1">
      <alignment horizontal="center" wrapText="1"/>
    </xf>
    <xf numFmtId="0" fontId="8" fillId="6" borderId="183" xfId="0" applyFont="1" applyFill="1" applyBorder="1" applyAlignment="1">
      <alignment horizontal="center" vertical="center" wrapText="1"/>
    </xf>
    <xf numFmtId="0" fontId="8" fillId="6" borderId="167" xfId="0" applyFont="1" applyFill="1" applyBorder="1" applyAlignment="1">
      <alignment horizontal="center" vertical="center" wrapText="1"/>
    </xf>
    <xf numFmtId="0" fontId="20" fillId="0" borderId="177" xfId="0" applyFont="1" applyBorder="1" applyAlignment="1">
      <alignment horizontal="center" vertical="center"/>
    </xf>
    <xf numFmtId="0" fontId="15" fillId="6" borderId="180" xfId="1" applyFont="1" applyFill="1" applyBorder="1" applyAlignment="1">
      <alignment horizontal="center" vertical="center" wrapText="1"/>
    </xf>
    <xf numFmtId="0" fontId="19" fillId="0" borderId="188" xfId="0" applyFont="1" applyBorder="1" applyAlignment="1">
      <alignment horizontal="center" vertical="center" wrapText="1"/>
    </xf>
    <xf numFmtId="0" fontId="11" fillId="6" borderId="199" xfId="0" applyFont="1" applyFill="1" applyBorder="1" applyAlignment="1">
      <alignment horizontal="center" vertical="center"/>
    </xf>
    <xf numFmtId="0" fontId="18" fillId="0" borderId="177" xfId="1" applyFont="1" applyBorder="1" applyAlignment="1">
      <alignment horizontal="center" vertical="center"/>
    </xf>
    <xf numFmtId="0" fontId="15" fillId="0" borderId="179" xfId="1" applyFont="1" applyBorder="1" applyAlignment="1">
      <alignment horizontal="center" vertical="center" wrapText="1"/>
    </xf>
    <xf numFmtId="0" fontId="15" fillId="0" borderId="179" xfId="1" applyFont="1" applyBorder="1" applyAlignment="1">
      <alignment horizontal="center" vertical="center"/>
    </xf>
    <xf numFmtId="0" fontId="18" fillId="0" borderId="179" xfId="1" applyFont="1" applyBorder="1" applyAlignment="1">
      <alignment horizontal="center" vertical="center" wrapText="1"/>
    </xf>
    <xf numFmtId="0" fontId="15" fillId="0" borderId="178" xfId="1" applyFont="1" applyBorder="1" applyAlignment="1">
      <alignment horizontal="center" vertical="center"/>
    </xf>
    <xf numFmtId="0" fontId="11" fillId="6" borderId="235" xfId="0" applyFont="1" applyFill="1" applyBorder="1" applyAlignment="1">
      <alignment horizontal="center" vertical="center"/>
    </xf>
    <xf numFmtId="0" fontId="19" fillId="11" borderId="98" xfId="0" applyFont="1" applyFill="1" applyBorder="1" applyAlignment="1">
      <alignment horizontal="center" vertical="center" wrapText="1"/>
    </xf>
    <xf numFmtId="0" fontId="19" fillId="11" borderId="99" xfId="0" applyFont="1" applyFill="1" applyBorder="1" applyAlignment="1">
      <alignment horizontal="center" vertical="center" wrapText="1"/>
    </xf>
    <xf numFmtId="0" fontId="20" fillId="10" borderId="283" xfId="0" applyFont="1" applyFill="1" applyBorder="1" applyAlignment="1">
      <alignment horizontal="center" vertical="center" wrapText="1"/>
    </xf>
    <xf numFmtId="0" fontId="20" fillId="10" borderId="284" xfId="0" applyFont="1" applyFill="1" applyBorder="1" applyAlignment="1">
      <alignment horizontal="center" vertical="center" wrapText="1"/>
    </xf>
    <xf numFmtId="0" fontId="20" fillId="10" borderId="285" xfId="0" applyFont="1" applyFill="1" applyBorder="1" applyAlignment="1">
      <alignment horizontal="center" vertical="center" wrapText="1"/>
    </xf>
    <xf numFmtId="0" fontId="19" fillId="10" borderId="252" xfId="0" applyFont="1" applyFill="1" applyBorder="1" applyAlignment="1">
      <alignment horizontal="center" vertical="center" wrapText="1"/>
    </xf>
    <xf numFmtId="0" fontId="19" fillId="10" borderId="250" xfId="0" applyFont="1" applyFill="1" applyBorder="1" applyAlignment="1">
      <alignment horizontal="center" vertical="center" wrapText="1"/>
    </xf>
    <xf numFmtId="0" fontId="19" fillId="10" borderId="251" xfId="0" applyFont="1" applyFill="1" applyBorder="1" applyAlignment="1">
      <alignment horizontal="center" vertical="center" wrapText="1"/>
    </xf>
    <xf numFmtId="0" fontId="19" fillId="10" borderId="249" xfId="0" applyFont="1" applyFill="1" applyBorder="1" applyAlignment="1">
      <alignment horizontal="center" vertical="center" wrapText="1"/>
    </xf>
    <xf numFmtId="0" fontId="19" fillId="10" borderId="274" xfId="0" applyFont="1" applyFill="1" applyBorder="1" applyAlignment="1">
      <alignment horizontal="center" vertical="center" wrapText="1"/>
    </xf>
    <xf numFmtId="0" fontId="15" fillId="0" borderId="174" xfId="0" applyFont="1" applyBorder="1" applyAlignment="1">
      <alignment horizontal="center"/>
    </xf>
    <xf numFmtId="0" fontId="19" fillId="10" borderId="280" xfId="0" applyFont="1" applyFill="1" applyBorder="1" applyAlignment="1">
      <alignment horizontal="center" vertical="center" wrapText="1"/>
    </xf>
    <xf numFmtId="0" fontId="19" fillId="10" borderId="281" xfId="0" applyFont="1" applyFill="1" applyBorder="1" applyAlignment="1">
      <alignment horizontal="center" vertical="center" wrapText="1"/>
    </xf>
    <xf numFmtId="0" fontId="19" fillId="10" borderId="282" xfId="0" applyFont="1" applyFill="1" applyBorder="1" applyAlignment="1">
      <alignment horizontal="center" vertical="center" wrapText="1"/>
    </xf>
    <xf numFmtId="0" fontId="18" fillId="7" borderId="196" xfId="0" applyFont="1" applyFill="1" applyBorder="1" applyAlignment="1">
      <alignment horizontal="center"/>
    </xf>
    <xf numFmtId="0" fontId="18" fillId="7" borderId="180" xfId="0" applyFont="1" applyFill="1" applyBorder="1" applyAlignment="1">
      <alignment horizontal="center"/>
    </xf>
    <xf numFmtId="0" fontId="19" fillId="0" borderId="179" xfId="0" applyFont="1" applyBorder="1" applyAlignment="1">
      <alignment horizontal="center" vertical="center"/>
    </xf>
    <xf numFmtId="0" fontId="18" fillId="0" borderId="174" xfId="0" applyFont="1" applyBorder="1" applyAlignment="1">
      <alignment horizontal="center" vertical="center"/>
    </xf>
    <xf numFmtId="0" fontId="18" fillId="7" borderId="183" xfId="1" applyFont="1" applyFill="1" applyBorder="1" applyAlignment="1">
      <alignment horizontal="center" vertical="center"/>
    </xf>
    <xf numFmtId="0" fontId="20" fillId="11" borderId="9" xfId="0" applyFont="1" applyFill="1" applyBorder="1" applyAlignment="1">
      <alignment horizontal="center" vertical="center" wrapText="1"/>
    </xf>
    <xf numFmtId="0" fontId="19" fillId="11" borderId="239" xfId="0" applyFont="1" applyFill="1" applyBorder="1" applyAlignment="1">
      <alignment horizontal="center" vertical="center" wrapText="1"/>
    </xf>
    <xf numFmtId="0" fontId="18" fillId="9" borderId="179" xfId="0" applyFont="1" applyFill="1" applyBorder="1" applyAlignment="1">
      <alignment horizontal="center" wrapText="1"/>
    </xf>
    <xf numFmtId="0" fontId="18" fillId="9" borderId="180" xfId="0" applyFont="1" applyFill="1" applyBorder="1" applyAlignment="1">
      <alignment horizontal="center" wrapText="1"/>
    </xf>
    <xf numFmtId="0" fontId="8" fillId="6" borderId="196" xfId="0" applyFont="1" applyFill="1" applyBorder="1" applyAlignment="1">
      <alignment horizontal="center" vertical="center"/>
    </xf>
    <xf numFmtId="0" fontId="19" fillId="12" borderId="187" xfId="0" applyFont="1" applyFill="1" applyBorder="1" applyAlignment="1">
      <alignment horizontal="center" vertical="center" wrapText="1"/>
    </xf>
    <xf numFmtId="0" fontId="19" fillId="12" borderId="197" xfId="0" applyFont="1" applyFill="1" applyBorder="1" applyAlignment="1">
      <alignment horizontal="center" vertical="center" wrapText="1"/>
    </xf>
    <xf numFmtId="0" fontId="19" fillId="13" borderId="216" xfId="0" applyFont="1" applyFill="1" applyBorder="1" applyAlignment="1">
      <alignment horizontal="center" vertical="center" wrapText="1"/>
    </xf>
    <xf numFmtId="0" fontId="19" fillId="13" borderId="239" xfId="0" applyFont="1" applyFill="1" applyBorder="1" applyAlignment="1">
      <alignment horizontal="center" vertical="center" wrapText="1"/>
    </xf>
    <xf numFmtId="0" fontId="11" fillId="6" borderId="178" xfId="0" applyFont="1" applyFill="1" applyBorder="1" applyAlignment="1">
      <alignment horizontal="center" vertical="center"/>
    </xf>
    <xf numFmtId="0" fontId="19" fillId="14" borderId="184" xfId="0" applyFont="1" applyFill="1" applyBorder="1" applyAlignment="1">
      <alignment horizontal="center" vertical="center" wrapText="1"/>
    </xf>
    <xf numFmtId="0" fontId="19" fillId="14" borderId="185" xfId="0" applyFont="1" applyFill="1" applyBorder="1" applyAlignment="1">
      <alignment horizontal="center" vertical="center" wrapText="1"/>
    </xf>
    <xf numFmtId="0" fontId="19" fillId="14" borderId="186" xfId="0" applyFont="1" applyFill="1" applyBorder="1" applyAlignment="1">
      <alignment horizontal="center" vertical="center" wrapText="1"/>
    </xf>
    <xf numFmtId="0" fontId="11" fillId="6" borderId="196" xfId="0" applyFont="1" applyFill="1" applyBorder="1" applyAlignment="1">
      <alignment horizontal="center" vertical="center"/>
    </xf>
    <xf numFmtId="0" fontId="11" fillId="6" borderId="189" xfId="0" applyFont="1" applyFill="1" applyBorder="1" applyAlignment="1">
      <alignment horizontal="center" vertical="center"/>
    </xf>
    <xf numFmtId="0" fontId="18" fillId="0" borderId="179" xfId="1" applyFont="1" applyFill="1" applyBorder="1" applyAlignment="1">
      <alignment horizontal="center" vertical="center"/>
    </xf>
    <xf numFmtId="0" fontId="29" fillId="0" borderId="180" xfId="1" applyFont="1" applyFill="1" applyBorder="1" applyAlignment="1">
      <alignment horizontal="center" vertical="center"/>
    </xf>
    <xf numFmtId="0" fontId="19" fillId="7" borderId="234" xfId="0" applyFont="1" applyFill="1" applyBorder="1" applyAlignment="1">
      <alignment horizontal="center" vertical="center" wrapText="1"/>
    </xf>
    <xf numFmtId="0" fontId="19" fillId="7" borderId="241" xfId="0" applyFont="1" applyFill="1" applyBorder="1" applyAlignment="1">
      <alignment horizontal="center" vertical="center" wrapText="1"/>
    </xf>
    <xf numFmtId="0" fontId="19" fillId="7" borderId="245" xfId="0" applyFont="1" applyFill="1" applyBorder="1" applyAlignment="1">
      <alignment horizontal="center" vertical="center" wrapText="1"/>
    </xf>
    <xf numFmtId="0" fontId="19" fillId="15" borderId="53" xfId="0" applyFont="1" applyFill="1" applyBorder="1" applyAlignment="1">
      <alignment horizontal="center" vertical="center" wrapText="1"/>
    </xf>
    <xf numFmtId="0" fontId="27" fillId="7" borderId="175" xfId="0" applyFont="1" applyFill="1" applyBorder="1" applyAlignment="1">
      <alignment horizontal="center"/>
    </xf>
    <xf numFmtId="0" fontId="19" fillId="0" borderId="234" xfId="0" applyFont="1" applyBorder="1" applyAlignment="1">
      <alignment horizontal="center" vertical="center" wrapText="1"/>
    </xf>
    <xf numFmtId="0" fontId="19" fillId="0" borderId="241" xfId="0" applyFont="1" applyBorder="1" applyAlignment="1">
      <alignment horizontal="center" vertical="center" wrapText="1"/>
    </xf>
    <xf numFmtId="0" fontId="19" fillId="0" borderId="245" xfId="0" applyFont="1" applyBorder="1" applyAlignment="1">
      <alignment horizontal="center" vertical="center" wrapText="1"/>
    </xf>
    <xf numFmtId="0" fontId="20" fillId="7" borderId="204" xfId="0" applyFont="1" applyFill="1" applyBorder="1" applyAlignment="1">
      <alignment horizontal="center" vertical="center" wrapText="1"/>
    </xf>
    <xf numFmtId="0" fontId="11" fillId="6" borderId="173" xfId="0" applyFont="1" applyFill="1" applyBorder="1" applyAlignment="1">
      <alignment horizontal="center" vertical="center"/>
    </xf>
    <xf numFmtId="0" fontId="11" fillId="6" borderId="0" xfId="0" applyFont="1" applyFill="1" applyAlignment="1">
      <alignment horizontal="center" vertical="center"/>
    </xf>
    <xf numFmtId="0" fontId="28" fillId="8" borderId="51" xfId="0" applyFont="1" applyFill="1" applyBorder="1" applyAlignment="1">
      <alignment horizontal="center" vertical="center" wrapText="1"/>
    </xf>
    <xf numFmtId="0" fontId="28" fillId="8" borderId="52" xfId="0" applyFont="1" applyFill="1" applyBorder="1" applyAlignment="1">
      <alignment horizontal="center" vertical="center" wrapText="1"/>
    </xf>
    <xf numFmtId="0" fontId="28" fillId="8" borderId="37" xfId="0" applyFont="1" applyFill="1" applyBorder="1" applyAlignment="1">
      <alignment horizontal="center" vertical="center" wrapText="1"/>
    </xf>
    <xf numFmtId="0" fontId="28" fillId="8" borderId="38" xfId="0" applyFont="1" applyFill="1" applyBorder="1" applyAlignment="1">
      <alignment horizontal="center" vertical="center" wrapText="1"/>
    </xf>
    <xf numFmtId="0" fontId="28" fillId="8" borderId="39" xfId="0" applyFont="1" applyFill="1" applyBorder="1" applyAlignment="1">
      <alignment horizontal="center" vertical="center" wrapText="1"/>
    </xf>
    <xf numFmtId="0" fontId="28" fillId="8" borderId="186" xfId="0" applyFont="1" applyFill="1" applyBorder="1" applyAlignment="1">
      <alignment horizontal="center" vertical="center" wrapText="1"/>
    </xf>
    <xf numFmtId="0" fontId="19" fillId="10" borderId="53" xfId="0" applyFont="1" applyFill="1" applyBorder="1" applyAlignment="1">
      <alignment horizontal="center" vertical="center" wrapText="1"/>
    </xf>
    <xf numFmtId="0" fontId="19" fillId="10" borderId="242" xfId="0" applyFont="1" applyFill="1" applyBorder="1" applyAlignment="1">
      <alignment horizontal="center" vertical="center" wrapText="1"/>
    </xf>
    <xf numFmtId="0" fontId="19" fillId="10" borderId="243" xfId="0" applyFont="1" applyFill="1" applyBorder="1" applyAlignment="1">
      <alignment horizontal="center" vertical="center" wrapText="1"/>
    </xf>
    <xf numFmtId="0" fontId="19" fillId="10" borderId="244" xfId="0" applyFont="1" applyFill="1" applyBorder="1" applyAlignment="1">
      <alignment horizontal="center" vertical="center" wrapText="1"/>
    </xf>
    <xf numFmtId="0" fontId="19" fillId="10" borderId="197" xfId="0" applyFont="1" applyFill="1" applyBorder="1" applyAlignment="1">
      <alignment horizontal="center" vertical="center" wrapText="1"/>
    </xf>
    <xf numFmtId="0" fontId="19" fillId="11" borderId="77" xfId="0" applyFont="1" applyFill="1" applyBorder="1" applyAlignment="1">
      <alignment horizontal="center" vertical="center" wrapText="1"/>
    </xf>
    <xf numFmtId="0" fontId="19" fillId="11" borderId="247" xfId="0" applyFont="1" applyFill="1" applyBorder="1" applyAlignment="1">
      <alignment horizontal="center" vertical="center" wrapText="1"/>
    </xf>
    <xf numFmtId="0" fontId="8" fillId="6" borderId="72" xfId="0" applyFont="1" applyFill="1" applyBorder="1" applyAlignment="1">
      <alignment horizontal="center" vertical="center"/>
    </xf>
    <xf numFmtId="0" fontId="20" fillId="12" borderId="82" xfId="0" applyFont="1" applyFill="1" applyBorder="1" applyAlignment="1">
      <alignment horizontal="center" vertical="center"/>
    </xf>
    <xf numFmtId="0" fontId="20" fillId="12" borderId="81" xfId="0" applyFont="1" applyFill="1" applyBorder="1" applyAlignment="1">
      <alignment horizontal="center" vertical="center"/>
    </xf>
    <xf numFmtId="0" fontId="20" fillId="12" borderId="139" xfId="0" applyFont="1" applyFill="1" applyBorder="1" applyAlignment="1">
      <alignment horizontal="center" vertical="center"/>
    </xf>
    <xf numFmtId="0" fontId="19" fillId="12" borderId="51" xfId="0" applyFont="1" applyFill="1" applyBorder="1" applyAlignment="1">
      <alignment horizontal="center" vertical="center" wrapText="1"/>
    </xf>
    <xf numFmtId="0" fontId="19" fillId="12" borderId="52" xfId="0" applyFont="1" applyFill="1" applyBorder="1" applyAlignment="1">
      <alignment horizontal="center" vertical="center" wrapText="1"/>
    </xf>
    <xf numFmtId="0" fontId="18" fillId="7" borderId="174" xfId="0" applyFont="1" applyFill="1" applyBorder="1" applyAlignment="1">
      <alignment horizontal="center"/>
    </xf>
    <xf numFmtId="0" fontId="18" fillId="7" borderId="167" xfId="0" applyFont="1" applyFill="1" applyBorder="1" applyAlignment="1">
      <alignment horizontal="center"/>
    </xf>
    <xf numFmtId="0" fontId="18" fillId="7" borderId="179" xfId="0" applyFont="1" applyFill="1" applyBorder="1" applyAlignment="1">
      <alignment horizontal="center"/>
    </xf>
    <xf numFmtId="0" fontId="19" fillId="12" borderId="177" xfId="0" applyFont="1" applyFill="1" applyBorder="1" applyAlignment="1">
      <alignment horizontal="center" vertical="center" wrapText="1"/>
    </xf>
    <xf numFmtId="0" fontId="19" fillId="12" borderId="174" xfId="0" applyFont="1" applyFill="1" applyBorder="1" applyAlignment="1">
      <alignment horizontal="center" vertical="center" wrapText="1"/>
    </xf>
    <xf numFmtId="0" fontId="19" fillId="12" borderId="175" xfId="0" applyFont="1" applyFill="1" applyBorder="1" applyAlignment="1">
      <alignment horizontal="center" vertical="center" wrapText="1"/>
    </xf>
    <xf numFmtId="0" fontId="29" fillId="0" borderId="180" xfId="0" applyFont="1" applyBorder="1" applyAlignment="1">
      <alignment horizontal="center"/>
    </xf>
    <xf numFmtId="0" fontId="19" fillId="11" borderId="9" xfId="0" applyFont="1" applyFill="1" applyBorder="1" applyAlignment="1">
      <alignment horizontal="center" vertical="center" wrapText="1"/>
    </xf>
    <xf numFmtId="0" fontId="19" fillId="11" borderId="0" xfId="0" applyFont="1" applyFill="1" applyAlignment="1">
      <alignment horizontal="center" vertical="center" wrapText="1"/>
    </xf>
    <xf numFmtId="0" fontId="19" fillId="11" borderId="6" xfId="0" applyFont="1" applyFill="1" applyBorder="1" applyAlignment="1">
      <alignment horizontal="center" vertical="center" wrapText="1"/>
    </xf>
    <xf numFmtId="0" fontId="8" fillId="6" borderId="177" xfId="0" applyFont="1" applyFill="1" applyBorder="1" applyAlignment="1">
      <alignment horizontal="center" vertical="center"/>
    </xf>
    <xf numFmtId="0" fontId="8" fillId="6" borderId="178" xfId="0" applyFont="1" applyFill="1" applyBorder="1" applyAlignment="1">
      <alignment horizontal="center" vertical="center"/>
    </xf>
    <xf numFmtId="0" fontId="20" fillId="15" borderId="215" xfId="0" applyFont="1" applyFill="1" applyBorder="1" applyAlignment="1">
      <alignment horizontal="center" vertical="center" wrapText="1"/>
    </xf>
    <xf numFmtId="0" fontId="20" fillId="15" borderId="216" xfId="0" applyFont="1" applyFill="1" applyBorder="1" applyAlignment="1">
      <alignment horizontal="center" vertical="center" wrapText="1"/>
    </xf>
    <xf numFmtId="0" fontId="20" fillId="15" borderId="237" xfId="0" applyFont="1" applyFill="1" applyBorder="1" applyAlignment="1">
      <alignment horizontal="center" vertical="center" wrapText="1"/>
    </xf>
    <xf numFmtId="0" fontId="19" fillId="15" borderId="215" xfId="0" applyFont="1" applyFill="1" applyBorder="1" applyAlignment="1">
      <alignment horizontal="center" vertical="center" wrapText="1"/>
    </xf>
    <xf numFmtId="0" fontId="19" fillId="15" borderId="216" xfId="0" applyFont="1" applyFill="1" applyBorder="1" applyAlignment="1">
      <alignment horizontal="center" vertical="center" wrapText="1"/>
    </xf>
    <xf numFmtId="0" fontId="19" fillId="15" borderId="237" xfId="0" applyFont="1" applyFill="1" applyBorder="1" applyAlignment="1">
      <alignment horizontal="center" vertical="center" wrapText="1"/>
    </xf>
    <xf numFmtId="0" fontId="20" fillId="13" borderId="79" xfId="0" applyFont="1" applyFill="1" applyBorder="1" applyAlignment="1">
      <alignment horizontal="center" vertical="center" wrapText="1"/>
    </xf>
    <xf numFmtId="0" fontId="19" fillId="13" borderId="6" xfId="0" applyFont="1" applyFill="1" applyBorder="1" applyAlignment="1">
      <alignment horizontal="center" vertical="center" wrapText="1"/>
    </xf>
    <xf numFmtId="0" fontId="20" fillId="4" borderId="85" xfId="0" applyFont="1" applyFill="1" applyBorder="1" applyAlignment="1">
      <alignment horizontal="center" vertical="center" wrapText="1"/>
    </xf>
    <xf numFmtId="0" fontId="16" fillId="0" borderId="180" xfId="1" applyFont="1" applyFill="1" applyBorder="1" applyAlignment="1">
      <alignment horizontal="center" vertical="center"/>
    </xf>
    <xf numFmtId="0" fontId="19" fillId="0" borderId="180" xfId="0" applyFont="1" applyBorder="1" applyAlignment="1">
      <alignment horizontal="center" vertical="center" wrapText="1"/>
    </xf>
    <xf numFmtId="0" fontId="20" fillId="0" borderId="167" xfId="0" applyFont="1" applyBorder="1" applyAlignment="1">
      <alignment horizontal="center" wrapText="1"/>
    </xf>
    <xf numFmtId="0" fontId="20" fillId="0" borderId="180" xfId="0" applyFont="1" applyBorder="1" applyAlignment="1">
      <alignment horizontal="center" wrapText="1"/>
    </xf>
    <xf numFmtId="0" fontId="18" fillId="0" borderId="180" xfId="1" applyFont="1" applyFill="1" applyBorder="1" applyAlignment="1">
      <alignment horizontal="center" vertical="center"/>
    </xf>
    <xf numFmtId="0" fontId="8" fillId="6" borderId="275" xfId="0" applyFont="1" applyFill="1" applyBorder="1" applyAlignment="1">
      <alignment horizontal="center" vertical="center"/>
    </xf>
    <xf numFmtId="0" fontId="8" fillId="6" borderId="246" xfId="0" applyFont="1" applyFill="1" applyBorder="1" applyAlignment="1">
      <alignment horizontal="center" vertical="center"/>
    </xf>
    <xf numFmtId="0" fontId="18" fillId="7" borderId="173" xfId="0" applyFont="1" applyFill="1" applyBorder="1" applyAlignment="1">
      <alignment horizontal="center" wrapText="1"/>
    </xf>
    <xf numFmtId="0" fontId="13" fillId="8" borderId="99" xfId="0" applyFont="1" applyFill="1" applyBorder="1" applyAlignment="1">
      <alignment horizontal="center" vertical="center" wrapText="1"/>
    </xf>
    <xf numFmtId="0" fontId="13" fillId="8" borderId="100" xfId="0" applyFont="1" applyFill="1" applyBorder="1" applyAlignment="1">
      <alignment horizontal="center" vertical="center" wrapText="1"/>
    </xf>
    <xf numFmtId="0" fontId="11" fillId="6" borderId="190" xfId="0" applyFont="1" applyFill="1" applyBorder="1" applyAlignment="1">
      <alignment horizontal="center" vertical="center" wrapText="1"/>
    </xf>
    <xf numFmtId="0" fontId="11" fillId="6" borderId="176" xfId="0" applyFont="1" applyFill="1" applyBorder="1" applyAlignment="1">
      <alignment horizontal="center" vertical="center" wrapText="1"/>
    </xf>
    <xf numFmtId="0" fontId="11" fillId="6" borderId="167" xfId="0" applyFont="1" applyFill="1" applyBorder="1" applyAlignment="1">
      <alignment horizontal="center" vertical="center"/>
    </xf>
    <xf numFmtId="0" fontId="19" fillId="11" borderId="100" xfId="0" applyFont="1" applyFill="1" applyBorder="1" applyAlignment="1">
      <alignment horizontal="center" vertical="center" wrapText="1"/>
    </xf>
    <xf numFmtId="0" fontId="19" fillId="11" borderId="234" xfId="0" applyFont="1" applyFill="1" applyBorder="1" applyAlignment="1">
      <alignment horizontal="center" vertical="center" wrapText="1"/>
    </xf>
    <xf numFmtId="0" fontId="19" fillId="11" borderId="241" xfId="0" applyFont="1" applyFill="1" applyBorder="1" applyAlignment="1">
      <alignment horizontal="center" vertical="center" wrapText="1"/>
    </xf>
    <xf numFmtId="0" fontId="19" fillId="11" borderId="245" xfId="0" applyFont="1" applyFill="1" applyBorder="1" applyAlignment="1">
      <alignment horizontal="center" vertical="center" wrapText="1"/>
    </xf>
    <xf numFmtId="0" fontId="20" fillId="10" borderId="101" xfId="0" applyFont="1" applyFill="1" applyBorder="1" applyAlignment="1">
      <alignment horizontal="center" vertical="center" wrapText="1"/>
    </xf>
    <xf numFmtId="0" fontId="20" fillId="10" borderId="286" xfId="0" applyFont="1" applyFill="1" applyBorder="1" applyAlignment="1">
      <alignment horizontal="center" vertical="center" wrapText="1"/>
    </xf>
    <xf numFmtId="0" fontId="18" fillId="0" borderId="167" xfId="1" applyFont="1" applyBorder="1" applyAlignment="1">
      <alignment horizontal="center" vertical="center" wrapText="1"/>
    </xf>
    <xf numFmtId="0" fontId="15" fillId="0" borderId="178" xfId="1" applyFont="1" applyBorder="1" applyAlignment="1">
      <alignment horizontal="center" vertical="center" wrapText="1"/>
    </xf>
    <xf numFmtId="0" fontId="19" fillId="10" borderId="51" xfId="0" applyFont="1" applyFill="1" applyBorder="1" applyAlignment="1">
      <alignment horizontal="center" vertical="center" wrapText="1"/>
    </xf>
    <xf numFmtId="0" fontId="19" fillId="0" borderId="173" xfId="0" applyFont="1" applyBorder="1" applyAlignment="1">
      <alignment horizontal="center" vertical="center" wrapText="1"/>
    </xf>
    <xf numFmtId="0" fontId="20" fillId="12" borderId="81" xfId="0" applyFont="1" applyFill="1" applyBorder="1" applyAlignment="1">
      <alignment horizontal="center" vertical="center" wrapText="1"/>
    </xf>
    <xf numFmtId="0" fontId="20" fillId="12" borderId="62" xfId="0" applyFont="1" applyFill="1" applyBorder="1" applyAlignment="1">
      <alignment horizontal="center" vertical="center" wrapText="1"/>
    </xf>
    <xf numFmtId="0" fontId="19" fillId="12" borderId="234" xfId="0" applyFont="1" applyFill="1" applyBorder="1" applyAlignment="1">
      <alignment horizontal="center" vertical="center" wrapText="1"/>
    </xf>
    <xf numFmtId="0" fontId="19" fillId="12" borderId="241" xfId="0" applyFont="1" applyFill="1" applyBorder="1" applyAlignment="1">
      <alignment horizontal="center" vertical="center" wrapText="1"/>
    </xf>
    <xf numFmtId="0" fontId="19" fillId="12" borderId="245" xfId="0" applyFont="1" applyFill="1" applyBorder="1" applyAlignment="1">
      <alignment horizontal="center" vertical="center" wrapText="1"/>
    </xf>
    <xf numFmtId="0" fontId="29" fillId="0" borderId="180" xfId="0" applyFont="1" applyBorder="1" applyAlignment="1">
      <alignment horizontal="center" wrapText="1"/>
    </xf>
    <xf numFmtId="0" fontId="19" fillId="0" borderId="204" xfId="0" applyFont="1" applyBorder="1" applyAlignment="1">
      <alignment horizontal="center" vertical="center" wrapText="1"/>
    </xf>
    <xf numFmtId="0" fontId="19" fillId="14" borderId="100" xfId="0" applyFont="1" applyFill="1" applyBorder="1" applyAlignment="1">
      <alignment horizontal="center" vertical="center" wrapText="1"/>
    </xf>
    <xf numFmtId="0" fontId="19" fillId="13" borderId="98" xfId="0" applyFont="1" applyFill="1" applyBorder="1" applyAlignment="1">
      <alignment horizontal="center" vertical="center" wrapText="1"/>
    </xf>
    <xf numFmtId="0" fontId="19" fillId="13" borderId="99" xfId="0" applyFont="1" applyFill="1" applyBorder="1" applyAlignment="1">
      <alignment horizontal="center" vertical="center" wrapText="1"/>
    </xf>
    <xf numFmtId="0" fontId="19" fillId="13" borderId="100" xfId="0" applyFont="1" applyFill="1" applyBorder="1" applyAlignment="1">
      <alignment horizontal="center" vertical="center" wrapText="1"/>
    </xf>
    <xf numFmtId="0" fontId="8" fillId="6" borderId="67" xfId="0" applyFont="1" applyFill="1" applyBorder="1" applyAlignment="1">
      <alignment horizontal="center" vertical="center" wrapText="1"/>
    </xf>
    <xf numFmtId="0" fontId="18" fillId="0" borderId="189" xfId="0" applyFont="1" applyBorder="1" applyAlignment="1">
      <alignment horizontal="center"/>
    </xf>
    <xf numFmtId="0" fontId="19" fillId="15" borderId="338" xfId="0" applyFont="1" applyFill="1" applyBorder="1" applyAlignment="1">
      <alignment horizontal="center" vertical="center" wrapText="1"/>
    </xf>
    <xf numFmtId="0" fontId="19" fillId="15" borderId="133" xfId="0" applyFont="1" applyFill="1" applyBorder="1" applyAlignment="1">
      <alignment horizontal="center" vertical="center" wrapText="1"/>
    </xf>
    <xf numFmtId="0" fontId="19" fillId="15" borderId="339" xfId="0" applyFont="1" applyFill="1" applyBorder="1" applyAlignment="1">
      <alignment horizontal="center" vertical="center" wrapText="1"/>
    </xf>
    <xf numFmtId="0" fontId="20" fillId="8" borderId="98" xfId="0" applyFont="1" applyFill="1" applyBorder="1" applyAlignment="1">
      <alignment horizontal="center" vertical="center" wrapText="1"/>
    </xf>
    <xf numFmtId="0" fontId="20" fillId="8" borderId="99" xfId="0" applyFont="1" applyFill="1" applyBorder="1" applyAlignment="1">
      <alignment horizontal="center" vertical="center" wrapText="1"/>
    </xf>
    <xf numFmtId="0" fontId="20" fillId="8" borderId="53" xfId="0" applyFont="1" applyFill="1" applyBorder="1" applyAlignment="1">
      <alignment horizontal="center" vertical="center" wrapText="1"/>
    </xf>
    <xf numFmtId="0" fontId="28" fillId="8" borderId="177" xfId="0" applyFont="1" applyFill="1" applyBorder="1" applyAlignment="1">
      <alignment horizontal="center" vertical="center" wrapText="1"/>
    </xf>
    <xf numFmtId="0" fontId="28" fillId="8" borderId="174" xfId="0" applyFont="1" applyFill="1" applyBorder="1" applyAlignment="1">
      <alignment horizontal="center" vertical="center" wrapText="1"/>
    </xf>
    <xf numFmtId="0" fontId="28" fillId="8" borderId="175" xfId="0" applyFont="1" applyFill="1" applyBorder="1" applyAlignment="1">
      <alignment horizontal="center" vertical="center" wrapText="1"/>
    </xf>
    <xf numFmtId="0" fontId="11" fillId="6" borderId="198" xfId="0" applyFont="1" applyFill="1" applyBorder="1" applyAlignment="1">
      <alignment horizontal="center" vertical="center"/>
    </xf>
    <xf numFmtId="0" fontId="20" fillId="0" borderId="167" xfId="0" applyFont="1" applyBorder="1" applyAlignment="1">
      <alignment horizontal="center" vertical="center" wrapText="1"/>
    </xf>
    <xf numFmtId="0" fontId="19" fillId="4" borderId="319" xfId="0" applyFont="1" applyFill="1" applyBorder="1" applyAlignment="1">
      <alignment horizontal="center" vertical="center" wrapText="1"/>
    </xf>
    <xf numFmtId="0" fontId="19" fillId="4" borderId="216" xfId="0" applyFont="1" applyFill="1" applyBorder="1" applyAlignment="1">
      <alignment horizontal="center" vertical="center" wrapText="1"/>
    </xf>
    <xf numFmtId="0" fontId="19" fillId="4" borderId="239" xfId="0" applyFont="1" applyFill="1" applyBorder="1" applyAlignment="1">
      <alignment horizontal="center" vertical="center" wrapText="1"/>
    </xf>
    <xf numFmtId="0" fontId="8" fillId="6" borderId="89" xfId="0" applyFont="1" applyFill="1" applyBorder="1" applyAlignment="1">
      <alignment horizontal="center" vertical="center"/>
    </xf>
    <xf numFmtId="0" fontId="8" fillId="6" borderId="198" xfId="0" applyFont="1" applyFill="1" applyBorder="1" applyAlignment="1">
      <alignment horizontal="center" vertical="center"/>
    </xf>
    <xf numFmtId="0" fontId="20" fillId="10" borderId="233" xfId="0" applyFont="1" applyFill="1" applyBorder="1" applyAlignment="1">
      <alignment horizontal="center" vertical="center" wrapText="1"/>
    </xf>
    <xf numFmtId="0" fontId="19" fillId="10" borderId="177" xfId="0" applyFont="1" applyFill="1" applyBorder="1" applyAlignment="1">
      <alignment horizontal="center" vertical="center" wrapText="1"/>
    </xf>
    <xf numFmtId="0" fontId="19" fillId="10" borderId="174" xfId="0" applyFont="1" applyFill="1" applyBorder="1" applyAlignment="1">
      <alignment horizontal="center" vertical="center" wrapText="1"/>
    </xf>
    <xf numFmtId="0" fontId="19" fillId="10" borderId="179" xfId="0" applyFont="1" applyFill="1" applyBorder="1" applyAlignment="1">
      <alignment horizontal="center" vertical="center" wrapText="1"/>
    </xf>
    <xf numFmtId="0" fontId="19" fillId="4" borderId="187" xfId="0" applyFont="1" applyFill="1" applyBorder="1" applyAlignment="1">
      <alignment horizontal="center" vertical="center" wrapText="1"/>
    </xf>
    <xf numFmtId="0" fontId="19" fillId="12" borderId="179" xfId="0" applyFont="1" applyFill="1" applyBorder="1" applyAlignment="1">
      <alignment horizontal="center" vertical="center" wrapText="1"/>
    </xf>
    <xf numFmtId="0" fontId="19" fillId="13" borderId="178" xfId="0" applyFont="1" applyFill="1" applyBorder="1" applyAlignment="1">
      <alignment horizontal="center" vertical="center" wrapText="1"/>
    </xf>
    <xf numFmtId="0" fontId="20" fillId="0" borderId="178" xfId="0" applyFont="1" applyBorder="1" applyAlignment="1">
      <alignment horizontal="center" vertical="center" wrapText="1"/>
    </xf>
    <xf numFmtId="0" fontId="18" fillId="0" borderId="179" xfId="1" applyFont="1" applyBorder="1" applyAlignment="1">
      <alignment horizontal="center" vertical="center"/>
    </xf>
    <xf numFmtId="0" fontId="29" fillId="0" borderId="180" xfId="1" applyFont="1" applyBorder="1" applyAlignment="1">
      <alignment horizontal="center" vertical="center"/>
    </xf>
    <xf numFmtId="0" fontId="19" fillId="14" borderId="177" xfId="0" applyFont="1" applyFill="1" applyBorder="1" applyAlignment="1">
      <alignment horizontal="center" vertical="center" wrapText="1"/>
    </xf>
    <xf numFmtId="0" fontId="19" fillId="14" borderId="174" xfId="0" applyFont="1" applyFill="1" applyBorder="1" applyAlignment="1">
      <alignment horizontal="center" vertical="center" wrapText="1"/>
    </xf>
    <xf numFmtId="0" fontId="19" fillId="14" borderId="175" xfId="0" applyFont="1" applyFill="1" applyBorder="1" applyAlignment="1">
      <alignment horizontal="center" vertical="center" wrapText="1"/>
    </xf>
    <xf numFmtId="0" fontId="20" fillId="12" borderId="98" xfId="0" applyFont="1" applyFill="1" applyBorder="1" applyAlignment="1">
      <alignment horizontal="center" vertical="center"/>
    </xf>
    <xf numFmtId="0" fontId="20" fillId="12" borderId="99" xfId="0" applyFont="1" applyFill="1" applyBorder="1" applyAlignment="1">
      <alignment horizontal="center" vertical="center"/>
    </xf>
    <xf numFmtId="0" fontId="8" fillId="6" borderId="176" xfId="0" applyFont="1" applyFill="1" applyBorder="1" applyAlignment="1">
      <alignment horizontal="center" vertical="center"/>
    </xf>
    <xf numFmtId="0" fontId="27" fillId="7" borderId="167" xfId="0" applyFont="1" applyFill="1" applyBorder="1" applyAlignment="1">
      <alignment horizontal="center"/>
    </xf>
    <xf numFmtId="0" fontId="20" fillId="4" borderId="52" xfId="0" applyFont="1" applyFill="1" applyBorder="1" applyAlignment="1">
      <alignment horizontal="center" vertical="center" wrapText="1"/>
    </xf>
    <xf numFmtId="0" fontId="20" fillId="13" borderId="177" xfId="0" applyFont="1" applyFill="1" applyBorder="1" applyAlignment="1">
      <alignment horizontal="center" vertical="center" wrapText="1"/>
    </xf>
    <xf numFmtId="0" fontId="20" fillId="13" borderId="174" xfId="0" applyFont="1" applyFill="1" applyBorder="1" applyAlignment="1">
      <alignment horizontal="center" vertical="center" wrapText="1"/>
    </xf>
    <xf numFmtId="0" fontId="8" fillId="6" borderId="221" xfId="0" applyFont="1" applyFill="1" applyBorder="1" applyAlignment="1">
      <alignment horizontal="center" vertical="center"/>
    </xf>
    <xf numFmtId="0" fontId="8" fillId="6" borderId="199" xfId="0" applyFont="1" applyFill="1" applyBorder="1" applyAlignment="1">
      <alignment horizontal="center" vertical="center"/>
    </xf>
    <xf numFmtId="0" fontId="20" fillId="14" borderId="0" xfId="0" applyFont="1" applyFill="1" applyAlignment="1">
      <alignment horizontal="center" vertical="center" wrapText="1"/>
    </xf>
    <xf numFmtId="0" fontId="20" fillId="15" borderId="184" xfId="0" applyFont="1" applyFill="1" applyBorder="1" applyAlignment="1">
      <alignment horizontal="center" vertical="center" wrapText="1"/>
    </xf>
    <xf numFmtId="0" fontId="20" fillId="15" borderId="185" xfId="0" applyFont="1" applyFill="1" applyBorder="1" applyAlignment="1">
      <alignment horizontal="center" vertical="center" wrapText="1"/>
    </xf>
    <xf numFmtId="0" fontId="20" fillId="15" borderId="186" xfId="0" applyFont="1" applyFill="1" applyBorder="1" applyAlignment="1">
      <alignment horizontal="center" vertical="center" wrapText="1"/>
    </xf>
    <xf numFmtId="0" fontId="20" fillId="10" borderId="288" xfId="0" applyFont="1" applyFill="1" applyBorder="1" applyAlignment="1">
      <alignment horizontal="center" vertical="center" wrapText="1"/>
    </xf>
    <xf numFmtId="0" fontId="19" fillId="10" borderId="189" xfId="0" applyFont="1" applyFill="1" applyBorder="1" applyAlignment="1">
      <alignment horizontal="center" vertical="center" wrapText="1"/>
    </xf>
    <xf numFmtId="0" fontId="19" fillId="10" borderId="183" xfId="0" applyFont="1" applyFill="1" applyBorder="1" applyAlignment="1">
      <alignment horizontal="center" vertical="center" wrapText="1"/>
    </xf>
    <xf numFmtId="0" fontId="19" fillId="10" borderId="190" xfId="0" applyFont="1" applyFill="1" applyBorder="1" applyAlignment="1">
      <alignment horizontal="center" vertical="center" wrapText="1"/>
    </xf>
    <xf numFmtId="0" fontId="28" fillId="8" borderId="189" xfId="0" applyFont="1" applyFill="1" applyBorder="1" applyAlignment="1">
      <alignment horizontal="center" vertical="center" wrapText="1"/>
    </xf>
    <xf numFmtId="0" fontId="28" fillId="8" borderId="183" xfId="0" applyFont="1" applyFill="1" applyBorder="1" applyAlignment="1">
      <alignment horizontal="center" vertical="center" wrapText="1"/>
    </xf>
    <xf numFmtId="0" fontId="28" fillId="8" borderId="190" xfId="0" applyFont="1" applyFill="1" applyBorder="1" applyAlignment="1">
      <alignment horizontal="center" vertical="center" wrapText="1"/>
    </xf>
    <xf numFmtId="0" fontId="28" fillId="8" borderId="196" xfId="0" applyFont="1" applyFill="1" applyBorder="1" applyAlignment="1">
      <alignment horizontal="center" vertical="center" wrapText="1"/>
    </xf>
    <xf numFmtId="0" fontId="28" fillId="8" borderId="249" xfId="0" applyFont="1" applyFill="1" applyBorder="1" applyAlignment="1">
      <alignment horizontal="center" vertical="center" wrapText="1"/>
    </xf>
    <xf numFmtId="0" fontId="28" fillId="8" borderId="250" xfId="0" applyFont="1" applyFill="1" applyBorder="1" applyAlignment="1">
      <alignment horizontal="center" vertical="center" wrapText="1"/>
    </xf>
    <xf numFmtId="0" fontId="13" fillId="8" borderId="250" xfId="0" applyFont="1" applyFill="1" applyBorder="1" applyAlignment="1">
      <alignment horizontal="center" vertical="center" wrapText="1"/>
    </xf>
    <xf numFmtId="0" fontId="13" fillId="8" borderId="274" xfId="0" applyFont="1" applyFill="1" applyBorder="1" applyAlignment="1">
      <alignment horizontal="center" vertical="center" wrapText="1"/>
    </xf>
    <xf numFmtId="0" fontId="18" fillId="7" borderId="42" xfId="1" applyFont="1" applyFill="1" applyBorder="1" applyAlignment="1">
      <alignment horizontal="center" vertical="center"/>
    </xf>
    <xf numFmtId="0" fontId="18" fillId="7" borderId="207" xfId="1" applyFont="1" applyFill="1" applyBorder="1" applyAlignment="1">
      <alignment horizontal="center" vertical="center"/>
    </xf>
    <xf numFmtId="0" fontId="28" fillId="8" borderId="251" xfId="0" applyFont="1" applyFill="1" applyBorder="1" applyAlignment="1">
      <alignment horizontal="center" vertical="center" wrapText="1"/>
    </xf>
    <xf numFmtId="0" fontId="19" fillId="10" borderId="196" xfId="0" applyFont="1" applyFill="1" applyBorder="1" applyAlignment="1">
      <alignment horizontal="center" vertical="center" wrapText="1"/>
    </xf>
    <xf numFmtId="0" fontId="8" fillId="6" borderId="235" xfId="0" applyFont="1" applyFill="1" applyBorder="1" applyAlignment="1">
      <alignment horizontal="center" vertical="center"/>
    </xf>
    <xf numFmtId="0" fontId="20" fillId="11" borderId="184" xfId="0" applyFont="1" applyFill="1" applyBorder="1" applyAlignment="1">
      <alignment horizontal="center" vertical="center" wrapText="1"/>
    </xf>
    <xf numFmtId="0" fontId="20" fillId="11" borderId="185" xfId="0" applyFont="1" applyFill="1" applyBorder="1" applyAlignment="1">
      <alignment horizontal="center" vertical="center" wrapText="1"/>
    </xf>
    <xf numFmtId="0" fontId="20" fillId="11" borderId="197" xfId="0" applyFont="1" applyFill="1" applyBorder="1" applyAlignment="1">
      <alignment horizontal="center" vertical="center" wrapText="1"/>
    </xf>
    <xf numFmtId="0" fontId="20" fillId="0" borderId="189" xfId="0" applyFont="1" applyBorder="1" applyAlignment="1">
      <alignment horizontal="center" wrapText="1"/>
    </xf>
    <xf numFmtId="0" fontId="19" fillId="0" borderId="183" xfId="0" applyFont="1" applyBorder="1" applyAlignment="1">
      <alignment horizontal="center" wrapText="1"/>
    </xf>
    <xf numFmtId="0" fontId="18" fillId="0" borderId="183" xfId="0" applyFont="1" applyBorder="1" applyAlignment="1">
      <alignment horizontal="center" wrapText="1"/>
    </xf>
    <xf numFmtId="0" fontId="18" fillId="9" borderId="190" xfId="0" applyFont="1" applyFill="1" applyBorder="1" applyAlignment="1">
      <alignment horizontal="center" wrapText="1"/>
    </xf>
    <xf numFmtId="0" fontId="20" fillId="12" borderId="184" xfId="0" applyFont="1" applyFill="1" applyBorder="1" applyAlignment="1">
      <alignment horizontal="center" vertical="center"/>
    </xf>
    <xf numFmtId="0" fontId="20" fillId="12" borderId="185" xfId="0" applyFont="1" applyFill="1" applyBorder="1" applyAlignment="1">
      <alignment horizontal="center" vertical="center"/>
    </xf>
    <xf numFmtId="0" fontId="20" fillId="12" borderId="197" xfId="0" applyFont="1" applyFill="1" applyBorder="1" applyAlignment="1">
      <alignment horizontal="center" vertical="center"/>
    </xf>
    <xf numFmtId="0" fontId="20" fillId="14" borderId="215" xfId="0" applyFont="1" applyFill="1" applyBorder="1" applyAlignment="1">
      <alignment horizontal="center" vertical="center" wrapText="1"/>
    </xf>
    <xf numFmtId="0" fontId="20" fillId="14" borderId="216" xfId="0" applyFont="1" applyFill="1" applyBorder="1" applyAlignment="1">
      <alignment horizontal="center" vertical="center" wrapText="1"/>
    </xf>
    <xf numFmtId="0" fontId="20" fillId="14" borderId="237" xfId="0" applyFont="1" applyFill="1" applyBorder="1" applyAlignment="1">
      <alignment horizontal="center" vertical="center" wrapText="1"/>
    </xf>
    <xf numFmtId="0" fontId="8" fillId="6" borderId="241" xfId="0" applyFont="1" applyFill="1" applyBorder="1" applyAlignment="1">
      <alignment horizontal="center" vertical="center"/>
    </xf>
    <xf numFmtId="0" fontId="20" fillId="13" borderId="98" xfId="0" applyFont="1" applyFill="1" applyBorder="1" applyAlignment="1">
      <alignment horizontal="center" vertical="center" wrapText="1"/>
    </xf>
    <xf numFmtId="0" fontId="20" fillId="13" borderId="99" xfId="0" applyFont="1" applyFill="1" applyBorder="1" applyAlignment="1">
      <alignment horizontal="center" vertical="center" wrapText="1"/>
    </xf>
    <xf numFmtId="0" fontId="20" fillId="13" borderId="100" xfId="0" applyFont="1" applyFill="1" applyBorder="1" applyAlignment="1">
      <alignment horizontal="center" vertical="center" wrapText="1"/>
    </xf>
    <xf numFmtId="0" fontId="20" fillId="4" borderId="98" xfId="0" applyFont="1" applyFill="1" applyBorder="1" applyAlignment="1">
      <alignment horizontal="center" vertical="center" wrapText="1"/>
    </xf>
    <xf numFmtId="0" fontId="20" fillId="4" borderId="99" xfId="0" applyFont="1" applyFill="1" applyBorder="1" applyAlignment="1">
      <alignment horizontal="center" vertical="center" wrapText="1"/>
    </xf>
    <xf numFmtId="0" fontId="19" fillId="4" borderId="215" xfId="0" applyFont="1" applyFill="1" applyBorder="1" applyAlignment="1">
      <alignment horizontal="center" vertical="center" wrapText="1"/>
    </xf>
    <xf numFmtId="0" fontId="19" fillId="4" borderId="237" xfId="0" applyFont="1" applyFill="1" applyBorder="1" applyAlignment="1">
      <alignment horizontal="center" vertical="center" wrapText="1"/>
    </xf>
    <xf numFmtId="0" fontId="19" fillId="4" borderId="212" xfId="0" applyFont="1" applyFill="1" applyBorder="1" applyAlignment="1">
      <alignment horizontal="center" vertical="center" wrapText="1"/>
    </xf>
    <xf numFmtId="0" fontId="19" fillId="4" borderId="268" xfId="0" applyFont="1" applyFill="1" applyBorder="1" applyAlignment="1">
      <alignment horizontal="center" vertical="center" wrapText="1"/>
    </xf>
    <xf numFmtId="0" fontId="19" fillId="4" borderId="65" xfId="0" applyFont="1" applyFill="1" applyBorder="1" applyAlignment="1">
      <alignment horizontal="center" vertical="center" wrapText="1"/>
    </xf>
    <xf numFmtId="0" fontId="19" fillId="0" borderId="184" xfId="0" applyFont="1" applyBorder="1" applyAlignment="1">
      <alignment horizontal="center" vertical="center" wrapText="1"/>
    </xf>
    <xf numFmtId="0" fontId="19" fillId="0" borderId="185" xfId="0" applyFont="1" applyBorder="1" applyAlignment="1">
      <alignment horizontal="center" vertical="center" wrapText="1"/>
    </xf>
    <xf numFmtId="0" fontId="19" fillId="0" borderId="186" xfId="0" applyFont="1" applyBorder="1" applyAlignment="1">
      <alignment horizontal="center" vertical="center" wrapText="1"/>
    </xf>
    <xf numFmtId="0" fontId="20" fillId="10" borderId="243" xfId="0" applyFont="1" applyFill="1" applyBorder="1" applyAlignment="1">
      <alignment horizontal="center" vertical="center" wrapText="1"/>
    </xf>
    <xf numFmtId="0" fontId="20" fillId="10" borderId="244" xfId="0" applyFont="1" applyFill="1" applyBorder="1" applyAlignment="1">
      <alignment horizontal="center" vertical="center" wrapText="1"/>
    </xf>
    <xf numFmtId="0" fontId="19" fillId="10" borderId="175" xfId="0" applyFont="1" applyFill="1" applyBorder="1" applyAlignment="1">
      <alignment horizontal="center" vertical="center" wrapText="1"/>
    </xf>
    <xf numFmtId="0" fontId="28" fillId="8" borderId="197" xfId="0" applyFont="1" applyFill="1" applyBorder="1" applyAlignment="1">
      <alignment horizontal="center" vertical="center" wrapText="1"/>
    </xf>
    <xf numFmtId="0" fontId="18" fillId="7" borderId="104" xfId="1" applyFont="1" applyFill="1" applyBorder="1" applyAlignment="1">
      <alignment horizontal="center" vertical="center"/>
    </xf>
    <xf numFmtId="0" fontId="18" fillId="7" borderId="152" xfId="1" applyFont="1" applyFill="1" applyBorder="1" applyAlignment="1">
      <alignment horizontal="center" vertical="center"/>
    </xf>
    <xf numFmtId="0" fontId="20" fillId="8" borderId="100" xfId="0" applyFont="1" applyFill="1" applyBorder="1" applyAlignment="1">
      <alignment horizontal="center" vertical="center" wrapText="1"/>
    </xf>
    <xf numFmtId="0" fontId="28" fillId="8" borderId="292" xfId="0" applyFont="1" applyFill="1" applyBorder="1" applyAlignment="1">
      <alignment horizontal="center" vertical="center" wrapText="1"/>
    </xf>
    <xf numFmtId="0" fontId="28" fillId="8" borderId="278" xfId="0" applyFont="1" applyFill="1" applyBorder="1" applyAlignment="1">
      <alignment horizontal="center" vertical="center" wrapText="1"/>
    </xf>
    <xf numFmtId="0" fontId="13" fillId="8" borderId="278" xfId="0" applyFont="1" applyFill="1" applyBorder="1" applyAlignment="1">
      <alignment horizontal="center" vertical="center" wrapText="1"/>
    </xf>
    <xf numFmtId="0" fontId="13" fillId="8" borderId="293" xfId="0" applyFont="1" applyFill="1" applyBorder="1" applyAlignment="1">
      <alignment horizontal="center" vertical="center" wrapText="1"/>
    </xf>
    <xf numFmtId="0" fontId="15" fillId="0" borderId="180" xfId="1" applyFont="1" applyBorder="1" applyAlignment="1">
      <alignment horizontal="center" vertical="center"/>
    </xf>
    <xf numFmtId="0" fontId="28" fillId="8" borderId="294" xfId="0" applyFont="1" applyFill="1" applyBorder="1" applyAlignment="1">
      <alignment horizontal="center" vertical="center" wrapText="1"/>
    </xf>
    <xf numFmtId="0" fontId="15" fillId="7" borderId="178" xfId="0" applyFont="1" applyFill="1" applyBorder="1" applyAlignment="1">
      <alignment horizontal="center"/>
    </xf>
    <xf numFmtId="0" fontId="20" fillId="14" borderId="184" xfId="0" applyFont="1" applyFill="1" applyBorder="1" applyAlignment="1">
      <alignment horizontal="center" vertical="center" wrapText="1"/>
    </xf>
    <xf numFmtId="0" fontId="20" fillId="14" borderId="185" xfId="0" applyFont="1" applyFill="1" applyBorder="1" applyAlignment="1">
      <alignment horizontal="center" vertical="center" wrapText="1"/>
    </xf>
    <xf numFmtId="0" fontId="20" fillId="14" borderId="197" xfId="0" applyFont="1" applyFill="1" applyBorder="1" applyAlignment="1">
      <alignment horizontal="center" vertical="center" wrapText="1"/>
    </xf>
    <xf numFmtId="0" fontId="19" fillId="14" borderId="216" xfId="0" applyFont="1" applyFill="1" applyBorder="1" applyAlignment="1">
      <alignment horizontal="center" vertical="center" wrapText="1"/>
    </xf>
    <xf numFmtId="0" fontId="19" fillId="14" borderId="239" xfId="0" applyFont="1" applyFill="1" applyBorder="1" applyAlignment="1">
      <alignment horizontal="center" vertical="center" wrapText="1"/>
    </xf>
    <xf numFmtId="0" fontId="20" fillId="13" borderId="184" xfId="0" applyFont="1" applyFill="1" applyBorder="1" applyAlignment="1">
      <alignment horizontal="center" vertical="center" wrapText="1"/>
    </xf>
    <xf numFmtId="0" fontId="20" fillId="13" borderId="185" xfId="0" applyFont="1" applyFill="1" applyBorder="1" applyAlignment="1">
      <alignment horizontal="center" vertical="center" wrapText="1"/>
    </xf>
    <xf numFmtId="0" fontId="20" fillId="13" borderId="197" xfId="0" applyFont="1" applyFill="1" applyBorder="1" applyAlignment="1">
      <alignment horizontal="center" vertical="center" wrapText="1"/>
    </xf>
    <xf numFmtId="0" fontId="20" fillId="4" borderId="184" xfId="0" applyFont="1" applyFill="1" applyBorder="1" applyAlignment="1">
      <alignment horizontal="center" vertical="center" wrapText="1"/>
    </xf>
    <xf numFmtId="0" fontId="20" fillId="4" borderId="185" xfId="0" applyFont="1" applyFill="1" applyBorder="1" applyAlignment="1">
      <alignment horizontal="center" vertical="center" wrapText="1"/>
    </xf>
    <xf numFmtId="0" fontId="20" fillId="4" borderId="216" xfId="0" applyFont="1" applyFill="1" applyBorder="1" applyAlignment="1">
      <alignment horizontal="center" vertical="center" wrapText="1"/>
    </xf>
    <xf numFmtId="0" fontId="20" fillId="4" borderId="239" xfId="0" applyFont="1" applyFill="1" applyBorder="1" applyAlignment="1">
      <alignment horizontal="center" vertical="center" wrapText="1"/>
    </xf>
    <xf numFmtId="0" fontId="20" fillId="10" borderId="184" xfId="0" applyFont="1" applyFill="1" applyBorder="1" applyAlignment="1">
      <alignment horizontal="center" vertical="center" wrapText="1"/>
    </xf>
    <xf numFmtId="0" fontId="20" fillId="10" borderId="185" xfId="0" applyFont="1" applyFill="1" applyBorder="1" applyAlignment="1">
      <alignment horizontal="center" vertical="center" wrapText="1"/>
    </xf>
    <xf numFmtId="0" fontId="20" fillId="10" borderId="197" xfId="0" applyFont="1" applyFill="1" applyBorder="1" applyAlignment="1">
      <alignment horizontal="center" vertical="center" wrapText="1"/>
    </xf>
    <xf numFmtId="0" fontId="28" fillId="8" borderId="179" xfId="0" applyFont="1" applyFill="1" applyBorder="1" applyAlignment="1">
      <alignment horizontal="center" vertical="center" wrapText="1"/>
    </xf>
    <xf numFmtId="0" fontId="20" fillId="8" borderId="184" xfId="0" applyFont="1" applyFill="1" applyBorder="1" applyAlignment="1">
      <alignment horizontal="center" vertical="center" wrapText="1"/>
    </xf>
    <xf numFmtId="0" fontId="20" fillId="8" borderId="185" xfId="0" applyFont="1" applyFill="1" applyBorder="1" applyAlignment="1">
      <alignment horizontal="center" vertical="center" wrapText="1"/>
    </xf>
    <xf numFmtId="0" fontId="20" fillId="8" borderId="197" xfId="0" applyFont="1" applyFill="1" applyBorder="1" applyAlignment="1">
      <alignment horizontal="center" vertical="center" wrapText="1"/>
    </xf>
    <xf numFmtId="0" fontId="13" fillId="8" borderId="174" xfId="0" applyFont="1" applyFill="1" applyBorder="1" applyAlignment="1">
      <alignment horizontal="center" vertical="center" wrapText="1"/>
    </xf>
    <xf numFmtId="0" fontId="13" fillId="8" borderId="175" xfId="0" applyFont="1" applyFill="1" applyBorder="1" applyAlignment="1">
      <alignment horizontal="center" vertical="center" wrapText="1"/>
    </xf>
    <xf numFmtId="0" fontId="28" fillId="8" borderId="215" xfId="0" applyFont="1" applyFill="1" applyBorder="1" applyAlignment="1">
      <alignment horizontal="center" vertical="center" wrapText="1"/>
    </xf>
    <xf numFmtId="0" fontId="28" fillId="8" borderId="216" xfId="0" applyFont="1" applyFill="1" applyBorder="1" applyAlignment="1">
      <alignment horizontal="center" vertical="center" wrapText="1"/>
    </xf>
    <xf numFmtId="0" fontId="28" fillId="8" borderId="237" xfId="0" applyFont="1" applyFill="1" applyBorder="1" applyAlignment="1">
      <alignment horizontal="center" vertical="center" wrapText="1"/>
    </xf>
    <xf numFmtId="0" fontId="19" fillId="12" borderId="179" xfId="0" applyFont="1" applyFill="1" applyBorder="1" applyAlignment="1">
      <alignment horizontal="center" vertical="center"/>
    </xf>
    <xf numFmtId="0" fontId="19" fillId="14" borderId="187" xfId="0" applyFont="1" applyFill="1" applyBorder="1" applyAlignment="1">
      <alignment horizontal="center" vertical="center" wrapText="1"/>
    </xf>
    <xf numFmtId="0" fontId="18" fillId="0" borderId="188" xfId="0" applyFont="1" applyBorder="1" applyAlignment="1">
      <alignment horizontal="center"/>
    </xf>
    <xf numFmtId="0" fontId="18" fillId="0" borderId="173" xfId="0" applyFont="1" applyBorder="1" applyAlignment="1">
      <alignment horizontal="center"/>
    </xf>
    <xf numFmtId="0" fontId="19" fillId="7" borderId="174" xfId="0" applyFont="1" applyFill="1" applyBorder="1" applyAlignment="1">
      <alignment horizontal="center" vertical="center" wrapText="1"/>
    </xf>
    <xf numFmtId="0" fontId="19" fillId="7" borderId="175" xfId="0" applyFont="1" applyFill="1" applyBorder="1" applyAlignment="1">
      <alignment horizontal="center" vertical="center" wrapText="1"/>
    </xf>
    <xf numFmtId="0" fontId="20" fillId="4" borderId="197" xfId="0" applyFont="1" applyFill="1" applyBorder="1" applyAlignment="1">
      <alignment horizontal="center" vertical="center" wrapText="1"/>
    </xf>
    <xf numFmtId="0" fontId="20" fillId="0" borderId="196" xfId="0" applyFont="1" applyBorder="1" applyAlignment="1">
      <alignment horizontal="center" vertical="center" wrapText="1"/>
    </xf>
    <xf numFmtId="0" fontId="19" fillId="0" borderId="189" xfId="0" applyFont="1" applyBorder="1" applyAlignment="1">
      <alignment horizontal="center"/>
    </xf>
    <xf numFmtId="0" fontId="19" fillId="4" borderId="278" xfId="0" applyFont="1" applyFill="1" applyBorder="1" applyAlignment="1">
      <alignment horizontal="center" vertical="center" wrapText="1"/>
    </xf>
    <xf numFmtId="0" fontId="19" fillId="4" borderId="277" xfId="0" applyFont="1" applyFill="1" applyBorder="1" applyAlignment="1">
      <alignment horizontal="center" vertical="center" wrapText="1"/>
    </xf>
    <xf numFmtId="0" fontId="20" fillId="13" borderId="215" xfId="0" applyFont="1" applyFill="1" applyBorder="1" applyAlignment="1">
      <alignment horizontal="center" vertical="center" wrapText="1"/>
    </xf>
    <xf numFmtId="0" fontId="20" fillId="13" borderId="216" xfId="0" applyFont="1" applyFill="1" applyBorder="1" applyAlignment="1">
      <alignment horizontal="center" vertical="center" wrapText="1"/>
    </xf>
    <xf numFmtId="0" fontId="20" fillId="13" borderId="237" xfId="0" applyFont="1" applyFill="1" applyBorder="1" applyAlignment="1">
      <alignment horizontal="center" vertical="center" wrapText="1"/>
    </xf>
    <xf numFmtId="0" fontId="19" fillId="13" borderId="177" xfId="0" applyFont="1" applyFill="1" applyBorder="1" applyAlignment="1">
      <alignment horizontal="center" vertical="center" wrapText="1"/>
    </xf>
    <xf numFmtId="0" fontId="19" fillId="13" borderId="174" xfId="0" applyFont="1" applyFill="1" applyBorder="1" applyAlignment="1">
      <alignment horizontal="center" vertical="center" wrapText="1"/>
    </xf>
    <xf numFmtId="0" fontId="20" fillId="0" borderId="180" xfId="0" applyFont="1" applyBorder="1" applyAlignment="1">
      <alignment horizontal="center" vertical="center" wrapText="1"/>
    </xf>
    <xf numFmtId="0" fontId="8" fillId="6" borderId="167" xfId="0" applyFont="1" applyFill="1" applyBorder="1" applyAlignment="1">
      <alignment horizontal="center" vertical="center"/>
    </xf>
    <xf numFmtId="0" fontId="18" fillId="0" borderId="204" xfId="0" applyFont="1" applyBorder="1" applyAlignment="1">
      <alignment horizontal="center"/>
    </xf>
    <xf numFmtId="0" fontId="20" fillId="7" borderId="173" xfId="0" applyFont="1" applyFill="1" applyBorder="1" applyAlignment="1">
      <alignment horizontal="center" vertical="center" wrapText="1"/>
    </xf>
    <xf numFmtId="0" fontId="20" fillId="7" borderId="167" xfId="0" applyFont="1" applyFill="1" applyBorder="1" applyAlignment="1">
      <alignment horizontal="center" vertical="center" wrapText="1"/>
    </xf>
    <xf numFmtId="0" fontId="20" fillId="7" borderId="180" xfId="0" applyFont="1" applyFill="1" applyBorder="1" applyAlignment="1">
      <alignment horizontal="center" vertical="center" wrapText="1"/>
    </xf>
    <xf numFmtId="0" fontId="8" fillId="6" borderId="234" xfId="0" applyFont="1" applyFill="1" applyBorder="1" applyAlignment="1">
      <alignment horizontal="center" vertical="center"/>
    </xf>
    <xf numFmtId="0" fontId="19" fillId="4" borderId="183" xfId="0" applyFont="1" applyFill="1" applyBorder="1" applyAlignment="1">
      <alignment horizontal="center" vertical="center" wrapText="1"/>
    </xf>
    <xf numFmtId="0" fontId="20" fillId="10" borderId="215" xfId="0" applyFont="1" applyFill="1" applyBorder="1" applyAlignment="1">
      <alignment horizontal="center" vertical="center" wrapText="1"/>
    </xf>
    <xf numFmtId="0" fontId="20" fillId="10" borderId="216" xfId="0" applyFont="1" applyFill="1" applyBorder="1" applyAlignment="1">
      <alignment horizontal="center" vertical="center" wrapText="1"/>
    </xf>
    <xf numFmtId="0" fontId="20" fillId="10" borderId="239" xfId="0" applyFont="1" applyFill="1" applyBorder="1" applyAlignment="1">
      <alignment horizontal="center" vertical="center" wrapText="1"/>
    </xf>
    <xf numFmtId="0" fontId="20" fillId="8" borderId="216" xfId="0" applyFont="1" applyFill="1" applyBorder="1" applyAlignment="1">
      <alignment horizontal="center" vertical="center" wrapText="1"/>
    </xf>
    <xf numFmtId="0" fontId="20" fillId="8" borderId="239" xfId="0" applyFont="1" applyFill="1" applyBorder="1" applyAlignment="1">
      <alignment horizontal="center" vertical="center" wrapText="1"/>
    </xf>
    <xf numFmtId="0" fontId="13" fillId="8" borderId="251" xfId="0" applyFont="1" applyFill="1" applyBorder="1" applyAlignment="1">
      <alignment horizontal="center" vertical="center" wrapText="1"/>
    </xf>
    <xf numFmtId="0" fontId="20" fillId="11" borderId="212" xfId="0" applyFont="1" applyFill="1" applyBorder="1" applyAlignment="1">
      <alignment horizontal="center" vertical="center" wrapText="1"/>
    </xf>
    <xf numFmtId="0" fontId="20" fillId="11" borderId="268" xfId="0" applyFont="1" applyFill="1" applyBorder="1" applyAlignment="1">
      <alignment horizontal="center" vertical="center" wrapText="1"/>
    </xf>
    <xf numFmtId="0" fontId="20" fillId="12" borderId="216" xfId="0" applyFont="1" applyFill="1" applyBorder="1" applyAlignment="1">
      <alignment horizontal="center" vertical="center"/>
    </xf>
    <xf numFmtId="0" fontId="20" fillId="12" borderId="237" xfId="0" applyFont="1" applyFill="1" applyBorder="1" applyAlignment="1">
      <alignment horizontal="center" vertical="center"/>
    </xf>
    <xf numFmtId="0" fontId="29" fillId="0" borderId="176" xfId="0" applyFont="1" applyBorder="1" applyAlignment="1">
      <alignment horizontal="center"/>
    </xf>
    <xf numFmtId="0" fontId="19" fillId="4" borderId="252" xfId="0" applyFont="1" applyFill="1" applyBorder="1" applyAlignment="1">
      <alignment horizontal="center" vertical="center" wrapText="1"/>
    </xf>
    <xf numFmtId="0" fontId="19" fillId="4" borderId="250" xfId="0" applyFont="1" applyFill="1" applyBorder="1" applyAlignment="1">
      <alignment horizontal="center" vertical="center" wrapText="1"/>
    </xf>
    <xf numFmtId="0" fontId="19" fillId="4" borderId="294" xfId="0" applyFont="1" applyFill="1" applyBorder="1" applyAlignment="1">
      <alignment horizontal="center" vertical="center" wrapText="1"/>
    </xf>
    <xf numFmtId="0" fontId="20" fillId="15" borderId="51" xfId="0" applyFont="1" applyFill="1" applyBorder="1" applyAlignment="1">
      <alignment horizontal="center" vertical="center" wrapText="1"/>
    </xf>
    <xf numFmtId="0" fontId="20" fillId="15" borderId="52" xfId="0" applyFont="1" applyFill="1" applyBorder="1" applyAlignment="1">
      <alignment horizontal="center" vertical="center" wrapText="1"/>
    </xf>
    <xf numFmtId="0" fontId="20" fillId="15" borderId="53" xfId="0" applyFont="1" applyFill="1" applyBorder="1" applyAlignment="1">
      <alignment horizontal="center" vertical="center" wrapText="1"/>
    </xf>
    <xf numFmtId="0" fontId="20" fillId="14" borderId="212" xfId="0" applyFont="1" applyFill="1" applyBorder="1" applyAlignment="1">
      <alignment horizontal="center" vertical="center" wrapText="1"/>
    </xf>
    <xf numFmtId="0" fontId="19" fillId="13" borderId="319" xfId="0" applyFont="1" applyFill="1" applyBorder="1" applyAlignment="1">
      <alignment horizontal="center" vertical="center" wrapText="1"/>
    </xf>
    <xf numFmtId="0" fontId="11" fillId="6" borderId="302" xfId="0" applyFont="1" applyFill="1" applyBorder="1" applyAlignment="1">
      <alignment horizontal="center" vertical="center"/>
    </xf>
    <xf numFmtId="0" fontId="11" fillId="6" borderId="303" xfId="0" applyFont="1" applyFill="1" applyBorder="1" applyAlignment="1">
      <alignment horizontal="center" vertical="center"/>
    </xf>
    <xf numFmtId="0" fontId="20" fillId="8" borderId="306" xfId="0" applyFont="1" applyFill="1" applyBorder="1" applyAlignment="1">
      <alignment horizontal="center" vertical="center" wrapText="1"/>
    </xf>
    <xf numFmtId="0" fontId="20" fillId="8" borderId="307" xfId="0" applyFont="1" applyFill="1" applyBorder="1" applyAlignment="1">
      <alignment horizontal="center" vertical="center" wrapText="1"/>
    </xf>
    <xf numFmtId="0" fontId="20" fillId="8" borderId="318" xfId="0" applyFont="1" applyFill="1" applyBorder="1" applyAlignment="1">
      <alignment horizontal="center" vertical="center" wrapText="1"/>
    </xf>
    <xf numFmtId="0" fontId="28" fillId="8" borderId="298" xfId="0" applyFont="1" applyFill="1" applyBorder="1" applyAlignment="1">
      <alignment horizontal="center" vertical="center" wrapText="1"/>
    </xf>
    <xf numFmtId="0" fontId="28" fillId="8" borderId="299" xfId="0" applyFont="1" applyFill="1" applyBorder="1" applyAlignment="1">
      <alignment horizontal="center" vertical="center" wrapText="1"/>
    </xf>
    <xf numFmtId="0" fontId="13" fillId="8" borderId="299" xfId="0" applyFont="1" applyFill="1" applyBorder="1" applyAlignment="1">
      <alignment horizontal="center" vertical="center" wrapText="1"/>
    </xf>
    <xf numFmtId="0" fontId="13" fillId="8" borderId="300" xfId="0" applyFont="1" applyFill="1" applyBorder="1" applyAlignment="1">
      <alignment horizontal="center" vertical="center" wrapText="1"/>
    </xf>
    <xf numFmtId="0" fontId="18" fillId="0" borderId="308" xfId="1" applyFont="1" applyBorder="1" applyAlignment="1">
      <alignment horizontal="center" vertical="center"/>
    </xf>
    <xf numFmtId="0" fontId="18" fillId="0" borderId="289" xfId="1" applyFont="1" applyBorder="1" applyAlignment="1">
      <alignment horizontal="center" vertical="center"/>
    </xf>
    <xf numFmtId="0" fontId="15" fillId="0" borderId="150" xfId="1" applyFont="1" applyBorder="1" applyAlignment="1">
      <alignment horizontal="center" vertical="center"/>
    </xf>
    <xf numFmtId="0" fontId="15" fillId="0" borderId="148" xfId="1" applyFont="1" applyBorder="1" applyAlignment="1">
      <alignment horizontal="center" vertical="center"/>
    </xf>
    <xf numFmtId="0" fontId="18" fillId="0" borderId="150" xfId="1" applyFont="1" applyBorder="1" applyAlignment="1">
      <alignment horizontal="center" vertical="center"/>
    </xf>
    <xf numFmtId="0" fontId="18" fillId="0" borderId="148" xfId="1" applyFont="1" applyBorder="1" applyAlignment="1">
      <alignment horizontal="center" vertical="center"/>
    </xf>
    <xf numFmtId="0" fontId="18" fillId="7" borderId="311" xfId="1" applyFont="1" applyFill="1" applyBorder="1" applyAlignment="1">
      <alignment horizontal="center" vertical="center"/>
    </xf>
    <xf numFmtId="0" fontId="18" fillId="7" borderId="290" xfId="1" applyFont="1" applyFill="1" applyBorder="1" applyAlignment="1">
      <alignment horizontal="center" vertical="center"/>
    </xf>
    <xf numFmtId="0" fontId="28" fillId="8" borderId="306" xfId="0" applyFont="1" applyFill="1" applyBorder="1" applyAlignment="1">
      <alignment horizontal="center" vertical="center" wrapText="1"/>
    </xf>
    <xf numFmtId="0" fontId="28" fillId="8" borderId="307" xfId="0" applyFont="1" applyFill="1" applyBorder="1" applyAlignment="1">
      <alignment horizontal="center" vertical="center" wrapText="1"/>
    </xf>
    <xf numFmtId="0" fontId="28" fillId="8" borderId="318" xfId="0" applyFont="1" applyFill="1" applyBorder="1" applyAlignment="1">
      <alignment horizontal="center" vertical="center" wrapText="1"/>
    </xf>
    <xf numFmtId="0" fontId="15" fillId="0" borderId="313" xfId="1" applyFont="1" applyBorder="1" applyAlignment="1">
      <alignment horizontal="center" vertical="center" wrapText="1"/>
    </xf>
    <xf numFmtId="0" fontId="15" fillId="0" borderId="314" xfId="1" applyFont="1" applyBorder="1" applyAlignment="1">
      <alignment horizontal="center" vertical="center" wrapText="1"/>
    </xf>
    <xf numFmtId="0" fontId="15" fillId="0" borderId="315" xfId="1" applyFont="1" applyBorder="1" applyAlignment="1">
      <alignment horizontal="center" vertical="center" wrapText="1"/>
    </xf>
    <xf numFmtId="0" fontId="18" fillId="0" borderId="313" xfId="1" applyFont="1" applyBorder="1" applyAlignment="1">
      <alignment horizontal="center" vertical="center" wrapText="1"/>
    </xf>
    <xf numFmtId="0" fontId="18" fillId="0" borderId="314" xfId="1" applyFont="1" applyBorder="1" applyAlignment="1">
      <alignment horizontal="center" vertical="center" wrapText="1"/>
    </xf>
    <xf numFmtId="0" fontId="18" fillId="0" borderId="316" xfId="1" applyFont="1" applyBorder="1" applyAlignment="1">
      <alignment horizontal="center" vertical="center" wrapText="1"/>
    </xf>
    <xf numFmtId="0" fontId="18" fillId="7" borderId="313" xfId="1" applyFont="1" applyFill="1" applyBorder="1" applyAlignment="1">
      <alignment horizontal="center" vertical="center" wrapText="1"/>
    </xf>
    <xf numFmtId="0" fontId="18" fillId="7" borderId="314" xfId="1" applyFont="1" applyFill="1" applyBorder="1" applyAlignment="1">
      <alignment horizontal="center" vertical="center" wrapText="1"/>
    </xf>
    <xf numFmtId="0" fontId="18" fillId="7" borderId="316" xfId="1" applyFont="1" applyFill="1" applyBorder="1" applyAlignment="1">
      <alignment horizontal="center" vertical="center" wrapText="1"/>
    </xf>
    <xf numFmtId="0" fontId="19" fillId="10" borderId="188" xfId="0" applyFont="1" applyFill="1" applyBorder="1" applyAlignment="1">
      <alignment horizontal="center" vertical="center" wrapText="1"/>
    </xf>
    <xf numFmtId="0" fontId="15" fillId="7" borderId="173" xfId="1" applyFont="1" applyFill="1" applyBorder="1" applyAlignment="1">
      <alignment horizontal="center" vertical="center" wrapText="1"/>
    </xf>
    <xf numFmtId="0" fontId="20" fillId="11" borderId="215" xfId="0" applyFont="1" applyFill="1" applyBorder="1" applyAlignment="1">
      <alignment horizontal="center" vertical="center" wrapText="1"/>
    </xf>
    <xf numFmtId="0" fontId="20" fillId="11" borderId="216" xfId="0" applyFont="1" applyFill="1" applyBorder="1" applyAlignment="1">
      <alignment horizontal="center" vertical="center" wrapText="1"/>
    </xf>
    <xf numFmtId="0" fontId="20" fillId="11" borderId="239" xfId="0" applyFont="1" applyFill="1" applyBorder="1" applyAlignment="1">
      <alignment horizontal="center" vertical="center" wrapText="1"/>
    </xf>
    <xf numFmtId="0" fontId="18" fillId="6" borderId="180" xfId="0" applyFont="1" applyFill="1" applyBorder="1" applyAlignment="1">
      <alignment horizontal="center" vertical="center"/>
    </xf>
    <xf numFmtId="0" fontId="20" fillId="12" borderId="215" xfId="0" applyFont="1" applyFill="1" applyBorder="1" applyAlignment="1">
      <alignment horizontal="center" vertical="center"/>
    </xf>
    <xf numFmtId="0" fontId="20" fillId="12" borderId="239" xfId="0" applyFont="1" applyFill="1" applyBorder="1" applyAlignment="1">
      <alignment horizontal="center" vertical="center"/>
    </xf>
    <xf numFmtId="0" fontId="20" fillId="13" borderId="319" xfId="0" applyFont="1" applyFill="1" applyBorder="1" applyAlignment="1">
      <alignment horizontal="center" vertical="center" wrapText="1"/>
    </xf>
    <xf numFmtId="0" fontId="20" fillId="13" borderId="239" xfId="0" applyFont="1" applyFill="1" applyBorder="1" applyAlignment="1">
      <alignment horizontal="center" vertical="center" wrapText="1"/>
    </xf>
    <xf numFmtId="0" fontId="19" fillId="4" borderId="249" xfId="0" applyFont="1" applyFill="1" applyBorder="1" applyAlignment="1">
      <alignment horizontal="center" vertical="center" wrapText="1"/>
    </xf>
    <xf numFmtId="0" fontId="19" fillId="4" borderId="274" xfId="0" applyFont="1" applyFill="1" applyBorder="1" applyAlignment="1">
      <alignment horizontal="center" vertical="center" wrapText="1"/>
    </xf>
    <xf numFmtId="0" fontId="20" fillId="14" borderId="239" xfId="0" applyFont="1" applyFill="1" applyBorder="1" applyAlignment="1">
      <alignment horizontal="center" vertical="center" wrapText="1"/>
    </xf>
    <xf numFmtId="0" fontId="19" fillId="14" borderId="179" xfId="0" applyFont="1" applyFill="1" applyBorder="1" applyAlignment="1">
      <alignment horizontal="center" vertical="center" wrapText="1"/>
    </xf>
    <xf numFmtId="0" fontId="19" fillId="4" borderId="292" xfId="0" applyFont="1" applyFill="1" applyBorder="1" applyAlignment="1">
      <alignment horizontal="center" vertical="center" wrapText="1"/>
    </xf>
    <xf numFmtId="0" fontId="19" fillId="4" borderId="293" xfId="0" applyFont="1" applyFill="1" applyBorder="1" applyAlignment="1">
      <alignment horizontal="center" vertical="center" wrapText="1"/>
    </xf>
    <xf numFmtId="0" fontId="20" fillId="8" borderId="215" xfId="0" applyFont="1" applyFill="1" applyBorder="1" applyAlignment="1">
      <alignment horizontal="center" vertical="center" wrapText="1"/>
    </xf>
    <xf numFmtId="0" fontId="28" fillId="8" borderId="319" xfId="0" applyFont="1" applyFill="1" applyBorder="1" applyAlignment="1">
      <alignment horizontal="center" vertical="center" wrapText="1"/>
    </xf>
    <xf numFmtId="0" fontId="19" fillId="4" borderId="190" xfId="0" applyFont="1" applyFill="1" applyBorder="1" applyAlignment="1">
      <alignment horizontal="center" vertical="center" wrapText="1"/>
    </xf>
    <xf numFmtId="0" fontId="28" fillId="8" borderId="239" xfId="0" applyFont="1" applyFill="1" applyBorder="1" applyAlignment="1">
      <alignment horizontal="center" vertical="center" wrapText="1"/>
    </xf>
    <xf numFmtId="0" fontId="20" fillId="8" borderId="212" xfId="0" applyFont="1" applyFill="1" applyBorder="1" applyAlignment="1">
      <alignment horizontal="center" vertical="center" wrapText="1"/>
    </xf>
    <xf numFmtId="0" fontId="20" fillId="8" borderId="167" xfId="0" applyFont="1" applyFill="1" applyBorder="1" applyAlignment="1">
      <alignment horizontal="center" vertical="center" wrapText="1"/>
    </xf>
    <xf numFmtId="0" fontId="20" fillId="8" borderId="268" xfId="0" applyFont="1" applyFill="1" applyBorder="1" applyAlignment="1">
      <alignment horizontal="center" vertical="center" wrapText="1"/>
    </xf>
    <xf numFmtId="0" fontId="20" fillId="7" borderId="189" xfId="0" applyFont="1" applyFill="1" applyBorder="1" applyAlignment="1">
      <alignment horizontal="center" vertical="center" wrapText="1"/>
    </xf>
    <xf numFmtId="0" fontId="20" fillId="7" borderId="183" xfId="0" applyFont="1" applyFill="1" applyBorder="1" applyAlignment="1">
      <alignment horizontal="center" vertical="center" wrapText="1"/>
    </xf>
    <xf numFmtId="0" fontId="20" fillId="7" borderId="190" xfId="0" applyFont="1" applyFill="1" applyBorder="1" applyAlignment="1">
      <alignment horizontal="center" vertical="center" wrapText="1"/>
    </xf>
    <xf numFmtId="0" fontId="18" fillId="0" borderId="188" xfId="0" applyFont="1" applyBorder="1" applyAlignment="1">
      <alignment horizontal="center" vertical="center" wrapText="1"/>
    </xf>
    <xf numFmtId="0" fontId="18" fillId="0" borderId="183" xfId="0" applyFont="1" applyBorder="1" applyAlignment="1">
      <alignment horizontal="center" vertical="center" wrapText="1"/>
    </xf>
    <xf numFmtId="0" fontId="15" fillId="0" borderId="176" xfId="0" applyFont="1" applyBorder="1" applyAlignment="1">
      <alignment horizontal="center"/>
    </xf>
    <xf numFmtId="0" fontId="18" fillId="0" borderId="190" xfId="0" applyFont="1" applyBorder="1" applyAlignment="1">
      <alignment horizontal="center" vertical="center" wrapText="1"/>
    </xf>
    <xf numFmtId="0" fontId="20" fillId="4" borderId="215" xfId="0" applyFont="1" applyFill="1" applyBorder="1" applyAlignment="1">
      <alignment horizontal="center" vertical="center" wrapText="1"/>
    </xf>
    <xf numFmtId="0" fontId="19" fillId="4" borderId="174" xfId="0" applyFont="1" applyFill="1" applyBorder="1" applyAlignment="1">
      <alignment horizontal="center" vertical="center" wrapText="1"/>
    </xf>
    <xf numFmtId="0" fontId="19" fillId="4" borderId="175" xfId="0" applyFont="1" applyFill="1" applyBorder="1" applyAlignment="1">
      <alignment horizontal="center" vertical="center" wrapText="1"/>
    </xf>
    <xf numFmtId="0" fontId="20" fillId="7" borderId="176" xfId="0" applyFont="1" applyFill="1" applyBorder="1" applyAlignment="1">
      <alignment horizontal="center" vertical="center" wrapText="1"/>
    </xf>
    <xf numFmtId="0" fontId="28" fillId="8" borderId="277" xfId="0" applyFont="1" applyFill="1" applyBorder="1" applyAlignment="1">
      <alignment horizontal="center" vertical="center" wrapText="1"/>
    </xf>
    <xf numFmtId="0" fontId="28" fillId="8" borderId="274" xfId="0" applyFont="1" applyFill="1" applyBorder="1" applyAlignment="1">
      <alignment horizontal="center" vertical="center" wrapText="1"/>
    </xf>
    <xf numFmtId="0" fontId="15" fillId="0" borderId="189" xfId="1" applyFont="1" applyBorder="1" applyAlignment="1">
      <alignment horizontal="center" vertical="center" wrapText="1"/>
    </xf>
    <xf numFmtId="0" fontId="15" fillId="7" borderId="189" xfId="1" applyFont="1" applyFill="1" applyBorder="1" applyAlignment="1">
      <alignment horizontal="center" vertical="center" wrapText="1"/>
    </xf>
    <xf numFmtId="0" fontId="19" fillId="13" borderId="215" xfId="0" applyFont="1" applyFill="1" applyBorder="1" applyAlignment="1">
      <alignment horizontal="center" vertical="center" wrapText="1"/>
    </xf>
    <xf numFmtId="0" fontId="19" fillId="14" borderId="197" xfId="0" applyFont="1" applyFill="1" applyBorder="1" applyAlignment="1">
      <alignment horizontal="center" vertical="center" wrapText="1"/>
    </xf>
    <xf numFmtId="0" fontId="28" fillId="8" borderId="293" xfId="0" applyFont="1" applyFill="1" applyBorder="1" applyAlignment="1">
      <alignment horizontal="center" vertical="center" wrapText="1"/>
    </xf>
    <xf numFmtId="0" fontId="15" fillId="6" borderId="198" xfId="1" applyFont="1" applyFill="1" applyBorder="1" applyAlignment="1">
      <alignment horizontal="center" vertical="center" wrapText="1"/>
    </xf>
    <xf numFmtId="0" fontId="15" fillId="0" borderId="180" xfId="0" applyFont="1" applyBorder="1" applyAlignment="1">
      <alignment horizontal="center"/>
    </xf>
    <xf numFmtId="0" fontId="11" fillId="6" borderId="204" xfId="0" applyFont="1" applyFill="1" applyBorder="1" applyAlignment="1">
      <alignment horizontal="center" vertical="center"/>
    </xf>
    <xf numFmtId="0" fontId="19" fillId="10" borderId="215" xfId="0" applyFont="1" applyFill="1" applyBorder="1" applyAlignment="1">
      <alignment horizontal="center" vertical="center" wrapText="1"/>
    </xf>
    <xf numFmtId="0" fontId="19" fillId="10" borderId="216" xfId="0" applyFont="1" applyFill="1" applyBorder="1" applyAlignment="1">
      <alignment horizontal="center" vertical="center" wrapText="1"/>
    </xf>
    <xf numFmtId="0" fontId="19" fillId="10" borderId="239" xfId="0" applyFont="1" applyFill="1" applyBorder="1" applyAlignment="1">
      <alignment horizontal="center" vertical="center" wrapText="1"/>
    </xf>
    <xf numFmtId="0" fontId="19" fillId="4" borderId="177" xfId="0" applyFont="1" applyFill="1" applyBorder="1" applyAlignment="1">
      <alignment horizontal="center" vertical="center" wrapText="1"/>
    </xf>
    <xf numFmtId="0" fontId="20" fillId="7" borderId="184" xfId="0" applyFont="1" applyFill="1" applyBorder="1" applyAlignment="1">
      <alignment horizontal="center" vertical="center" wrapText="1"/>
    </xf>
    <xf numFmtId="0" fontId="20" fillId="7" borderId="185" xfId="0" applyFont="1" applyFill="1" applyBorder="1" applyAlignment="1">
      <alignment horizontal="center" vertical="center" wrapText="1"/>
    </xf>
    <xf numFmtId="0" fontId="20" fillId="7" borderId="186" xfId="0" applyFont="1" applyFill="1" applyBorder="1" applyAlignment="1">
      <alignment horizontal="center" vertical="center" wrapText="1"/>
    </xf>
    <xf numFmtId="0" fontId="19" fillId="0" borderId="179" xfId="0" applyFont="1" applyBorder="1" applyAlignment="1">
      <alignment horizontal="center"/>
    </xf>
    <xf numFmtId="0" fontId="19" fillId="0" borderId="180" xfId="0" applyFont="1" applyBorder="1" applyAlignment="1">
      <alignment horizontal="center"/>
    </xf>
    <xf numFmtId="0" fontId="20" fillId="8" borderId="237" xfId="0" applyFont="1" applyFill="1" applyBorder="1" applyAlignment="1">
      <alignment horizontal="center" vertical="center" wrapText="1"/>
    </xf>
    <xf numFmtId="0" fontId="19" fillId="10" borderId="184" xfId="0" applyFont="1" applyFill="1" applyBorder="1" applyAlignment="1">
      <alignment horizontal="center" vertical="center"/>
    </xf>
    <xf numFmtId="0" fontId="19" fillId="10" borderId="185" xfId="0" applyFont="1" applyFill="1" applyBorder="1" applyAlignment="1">
      <alignment horizontal="center" vertical="center"/>
    </xf>
    <xf numFmtId="0" fontId="19" fillId="10" borderId="186" xfId="0" applyFont="1" applyFill="1" applyBorder="1" applyAlignment="1">
      <alignment horizontal="center" vertical="center"/>
    </xf>
    <xf numFmtId="0" fontId="11" fillId="6" borderId="89" xfId="0" applyFont="1" applyFill="1" applyBorder="1" applyAlignment="1">
      <alignment horizontal="center" vertical="center"/>
    </xf>
    <xf numFmtId="0" fontId="20" fillId="0" borderId="189" xfId="0" applyFont="1" applyBorder="1" applyAlignment="1">
      <alignment horizontal="center" vertical="center"/>
    </xf>
    <xf numFmtId="0" fontId="18" fillId="9" borderId="196" xfId="0" applyFont="1" applyFill="1" applyBorder="1" applyAlignment="1">
      <alignment horizontal="center" wrapText="1"/>
    </xf>
    <xf numFmtId="0" fontId="19" fillId="12" borderId="186" xfId="0" applyFont="1" applyFill="1" applyBorder="1" applyAlignment="1">
      <alignment horizontal="center" vertical="center"/>
    </xf>
    <xf numFmtId="0" fontId="20" fillId="0" borderId="183" xfId="0" applyFont="1" applyBorder="1" applyAlignment="1">
      <alignment horizontal="center" wrapText="1"/>
    </xf>
    <xf numFmtId="0" fontId="36" fillId="10" borderId="0" xfId="1" applyFont="1" applyFill="1" applyAlignment="1">
      <alignment horizontal="center" vertical="center"/>
    </xf>
  </cellXfs>
  <cellStyles count="8">
    <cellStyle name="Hipervínculo" xfId="1" builtinId="8"/>
    <cellStyle name="Incorrecto" xfId="5" builtinId="27"/>
    <cellStyle name="Millares" xfId="2" builtinId="3"/>
    <cellStyle name="Millares 3" xfId="6" xr:uid="{1320F471-AE99-4076-A776-F6EAC6F0F5C6}"/>
    <cellStyle name="Normal" xfId="0" builtinId="0"/>
    <cellStyle name="Normal 2" xfId="7" xr:uid="{28155F96-F710-487B-861C-5E98D63824ED}"/>
    <cellStyle name="Normal 4" xfId="4" xr:uid="{B05936C5-712C-4A2C-9DD4-B318782F232F}"/>
    <cellStyle name="Porcentaje" xfId="3" builtinId="5"/>
  </cellStyles>
  <dxfs count="1295">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ill>
        <patternFill>
          <bgColor theme="2" tint="-9.9948118533890809E-2"/>
        </patternFill>
      </fill>
    </dxf>
    <dxf>
      <fill>
        <patternFill>
          <bgColor theme="5" tint="0.59996337778862885"/>
        </patternFill>
      </fill>
    </dxf>
    <dxf>
      <fill>
        <patternFill>
          <bgColor theme="4" tint="0.59996337778862885"/>
        </patternFill>
      </fill>
    </dxf>
    <dxf>
      <fill>
        <patternFill>
          <bgColor theme="4" tint="0.39994506668294322"/>
        </patternFill>
      </fill>
    </dxf>
    <dxf>
      <fill>
        <patternFill>
          <bgColor theme="2"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2" tint="-9.9948118533890809E-2"/>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2"/>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auto="1"/>
      </font>
      <fill>
        <patternFill>
          <bgColor theme="2" tint="-9.9948118533890809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auto="1"/>
      </font>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2" tint="-9.9948118533890809E-2"/>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7E6E6"/>
      <color rgb="FF000000"/>
      <color rgb="FFFF8989"/>
      <color rgb="FFFFC7CE"/>
      <color rgb="FFFFFFFF"/>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jpg@01D9A2BB.B25A80C0" TargetMode="External"/><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246660</xdr:colOff>
      <xdr:row>0</xdr:row>
      <xdr:rowOff>584201</xdr:rowOff>
    </xdr:to>
    <xdr:pic>
      <xdr:nvPicPr>
        <xdr:cNvPr id="5" name="Imagen 4">
          <a:extLst>
            <a:ext uri="{FF2B5EF4-FFF2-40B4-BE49-F238E27FC236}">
              <a16:creationId xmlns:a16="http://schemas.microsoft.com/office/drawing/2014/main" id="{9E8FF7E5-C2EE-B9DC-4655-0F9D21B1E16A}"/>
            </a:ext>
          </a:extLst>
        </xdr:cNvPr>
        <xdr:cNvPicPr>
          <a:picLocks noChangeAspect="1"/>
        </xdr:cNvPicPr>
      </xdr:nvPicPr>
      <xdr:blipFill>
        <a:blip xmlns:r="http://schemas.openxmlformats.org/officeDocument/2006/relationships" r:embed="rId1"/>
        <a:stretch>
          <a:fillRect/>
        </a:stretch>
      </xdr:blipFill>
      <xdr:spPr>
        <a:xfrm>
          <a:off x="0" y="1"/>
          <a:ext cx="3231160" cy="584200"/>
        </a:xfrm>
        <a:prstGeom prst="rect">
          <a:avLst/>
        </a:prstGeom>
      </xdr:spPr>
    </xdr:pic>
    <xdr:clientData/>
  </xdr:twoCellAnchor>
  <xdr:twoCellAnchor editAs="oneCell">
    <xdr:from>
      <xdr:col>0</xdr:col>
      <xdr:colOff>101599</xdr:colOff>
      <xdr:row>0</xdr:row>
      <xdr:rowOff>12700</xdr:rowOff>
    </xdr:from>
    <xdr:to>
      <xdr:col>2</xdr:col>
      <xdr:colOff>667383</xdr:colOff>
      <xdr:row>1</xdr:row>
      <xdr:rowOff>50800</xdr:rowOff>
    </xdr:to>
    <xdr:pic>
      <xdr:nvPicPr>
        <xdr:cNvPr id="6" name="Picture 3" descr="Interfaz de usuario gráfica, Texto&#10;&#10;Descripción generada automáticamente con confianza media">
          <a:extLst>
            <a:ext uri="{FF2B5EF4-FFF2-40B4-BE49-F238E27FC236}">
              <a16:creationId xmlns:a16="http://schemas.microsoft.com/office/drawing/2014/main" id="{27802053-5B8E-496B-B64C-9D45549F6C84}"/>
            </a:ext>
          </a:extLst>
        </xdr:cNvPr>
        <xdr:cNvPicPr>
          <a:picLocks noChangeAspect="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01599" y="12700"/>
          <a:ext cx="3550284" cy="711200"/>
        </a:xfrm>
        <a:prstGeom prst="rect">
          <a:avLst/>
        </a:prstGeom>
        <a:noFill/>
        <a:ln>
          <a:noFill/>
        </a:ln>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infogram.com/1pnj9gly0drzk0hz6m9xx1yl1gimvejjjz3?live" TargetMode="External"/><Relationship Id="rId13" Type="http://schemas.openxmlformats.org/officeDocument/2006/relationships/hyperlink" Target="https://app.powerbi.com/view?r=eyJrIjoiODNhNjdhODctZjkyNy00ZGZlLTgyMzQtYWVkOTA1MDRhNjBiIiwidCI6ImI0NTMyYWE2LTE4OTUtNDk2NC1iOWMwLTIyYjE0NDQ0MjcxYiIsImMiOjl9" TargetMode="External"/><Relationship Id="rId18" Type="http://schemas.openxmlformats.org/officeDocument/2006/relationships/hyperlink" Target="https://app.powerbi.com/view?r=eyJrIjoiYmY5MTZlZWQtNTRkOC00YTIxLWFmY2EtMGFhYzkyNWJjN2Y1IiwidCI6ImI0NTMyYWE2LTE4OTUtNDk2NC1iOWMwLTIyYjE0NDQ0MjcxYiIsImMiOjl9" TargetMode="External"/><Relationship Id="rId3" Type="http://schemas.openxmlformats.org/officeDocument/2006/relationships/hyperlink" Target="https://app.powerbi.com/view?r=eyJrIjoiNzY3ZmNjMWQtYzNjZS00NTIyLThmYTktM2QwOTgxOGZmYTUwIiwidCI6ImI0NTMyYWE2LTE4OTUtNDk2NC1iOWMwLTIyYjE0NDQ0MjcxYiIsImMiOjl9" TargetMode="External"/><Relationship Id="rId21" Type="http://schemas.openxmlformats.org/officeDocument/2006/relationships/hyperlink" Target="https://app.powerbi.com/view?r=eyJrIjoiZDUwYmQzY2QtZTNkOC00YzcxLTlmOGEtMTBkYzU1ZjU0MTYwIiwidCI6ImI0NTMyYWE2LTE4OTUtNDk2NC1iOWMwLTIyYjE0NDQ0MjcxYiIsImMiOjl9" TargetMode="External"/><Relationship Id="rId7" Type="http://schemas.openxmlformats.org/officeDocument/2006/relationships/hyperlink" Target="https://app.powerbi.com/view?r=eyJrIjoiZGEyZTEwM2MtNjViZi00MWVkLThiMGYtYTQzZmQ4ODdhY2EwIiwidCI6ImI0NTMyYWE2LTE4OTUtNDk2NC1iOWMwLTIyYjE0NDQ0MjcxYiIsImMiOjl9" TargetMode="External"/><Relationship Id="rId12" Type="http://schemas.openxmlformats.org/officeDocument/2006/relationships/hyperlink" Target="https://app.powerbi.com/view?r=eyJrIjoiMTllN2M3MTgtNGVhNy00NWNiLTg0MDMtY2ZhYjdjNjZjYmE5IiwidCI6ImI0NTMyYWE2LTE4OTUtNDk2NC1iOWMwLTIyYjE0NDQ0MjcxYiIsImMiOjl9" TargetMode="External"/><Relationship Id="rId17" Type="http://schemas.openxmlformats.org/officeDocument/2006/relationships/hyperlink" Target="https://app.powerbi.com/view?r=eyJrIjoiMmQ4OTM3ZWYtNTdlZC00MjM0LWE3ZDctZTU5MjUwNTQxZTc2IiwidCI6ImI0NTMyYWE2LTE4OTUtNDk2NC1iOWMwLTIyYjE0NDQ0MjcxYiIsImMiOjl9" TargetMode="External"/><Relationship Id="rId25" Type="http://schemas.openxmlformats.org/officeDocument/2006/relationships/drawing" Target="../drawings/drawing1.xml"/><Relationship Id="rId2" Type="http://schemas.openxmlformats.org/officeDocument/2006/relationships/hyperlink" Target="https://infogram.com/1pwe3jl3qm5352bv0g5jv7m7j2i93l7ynnn?live" TargetMode="External"/><Relationship Id="rId16" Type="http://schemas.openxmlformats.org/officeDocument/2006/relationships/hyperlink" Target="https://app.powerbi.com/view?r=eyJrIjoiNGY5NDY4NjMtOWNhNS00MGU4LTk1YWYtNGRmNzg2ZjQ3YTBmIiwidCI6ImI0NTMyYWE2LTE4OTUtNDk2NC1iOWMwLTIyYjE0NDQ0MjcxYiIsImMiOjl9" TargetMode="External"/><Relationship Id="rId20" Type="http://schemas.openxmlformats.org/officeDocument/2006/relationships/hyperlink" Target="https://app.powerbi.com/view?r=eyJrIjoiODMxZTdkNzEtNmQyZC00ODQzLWEyZTktNDVkNWEyMTMyYTM3IiwidCI6ImI0NTMyYWE2LTE4OTUtNDk2NC1iOWMwLTIyYjE0NDQ0MjcxYiIsImMiOjl9" TargetMode="External"/><Relationship Id="rId1" Type="http://schemas.openxmlformats.org/officeDocument/2006/relationships/hyperlink" Target="https://app.powerbi.com/view?r=eyJrIjoiYTZjZGY1NjQtOGZkZS00MmQzLTlmYWItZmRlNjI2ODFjNWQ0IiwidCI6ImI0NTMyYWE2LTE4OTUtNDk2NC1iOWMwLTIyYjE0NDQ0MjcxYiIsImMiOjl9" TargetMode="External"/><Relationship Id="rId6" Type="http://schemas.openxmlformats.org/officeDocument/2006/relationships/hyperlink" Target="https://app.powerbi.com/view?r=eyJrIjoiZWJmMGQ5NmItN2I3Ny00NWRmLTk3ODEtYTZjZTYwM2JjYzU0IiwidCI6ImI0NTMyYWE2LTE4OTUtNDk2NC1iOWMwLTIyYjE0NDQ0MjcxYiIsImMiOjl9" TargetMode="External"/><Relationship Id="rId11" Type="http://schemas.openxmlformats.org/officeDocument/2006/relationships/hyperlink" Target="https://app.powerbi.com/view?r=eyJrIjoiMjcyNjA5YTMtZjM3MS00OTVlLThmYTEtNDY3YzRkNWY4NDVlIiwidCI6ImI0NTMyYWE2LTE4OTUtNDk2NC1iOWMwLTIyYjE0NDQ0MjcxYiIsImMiOjl9" TargetMode="External"/><Relationship Id="rId24" Type="http://schemas.openxmlformats.org/officeDocument/2006/relationships/printerSettings" Target="../printerSettings/printerSettings1.bin"/><Relationship Id="rId5" Type="http://schemas.openxmlformats.org/officeDocument/2006/relationships/hyperlink" Target="https://app.powerbi.com/view?r=eyJrIjoiOTM4Mjc3NjUtYWY4OC00ZWM1LThhZTMtNTgyM2I5MGVkYjI4IiwidCI6ImI0NTMyYWE2LTE4OTUtNDk2NC1iOWMwLTIyYjE0NDQ0MjcxYiIsImMiOjl9" TargetMode="External"/><Relationship Id="rId15" Type="http://schemas.openxmlformats.org/officeDocument/2006/relationships/hyperlink" Target="https://app.powerbi.com/view?r=eyJrIjoiNzZkOGNiZjctZGM3NC00ODEzLWFkNWMtOTk4MWZmOGY4ZDA4IiwidCI6ImI0NTMyYWE2LTE4OTUtNDk2NC1iOWMwLTIyYjE0NDQ0MjcxYiIsImMiOjl9" TargetMode="External"/><Relationship Id="rId23" Type="http://schemas.openxmlformats.org/officeDocument/2006/relationships/hyperlink" Target="https://app.powerbi.com/view?r=eyJrIjoiMjg4NTVlZmQtZjZmYy00ZmViLWIwZWQtNTMzZTc5MjAzZWM2IiwidCI6ImI0NTMyYWE2LTE4OTUtNDk2NC1iOWMwLTIyYjE0NDQ0MjcxYiIsImMiOjl9" TargetMode="External"/><Relationship Id="rId10" Type="http://schemas.openxmlformats.org/officeDocument/2006/relationships/hyperlink" Target="https://app.powerbi.com/view?r=eyJrIjoiNmFmYmM2N2QtZGVkYS00ZDZjLTkzYmYtMTIwNTI2MzA5ZTEwIiwidCI6ImI0NTMyYWE2LTE4OTUtNDk2NC1iOWMwLTIyYjE0NDQ0MjcxYiIsImMiOjl9" TargetMode="External"/><Relationship Id="rId19" Type="http://schemas.openxmlformats.org/officeDocument/2006/relationships/hyperlink" Target="https://app.powerbi.com/view?r=eyJrIjoiMzM5NWY1ZDMtMGYyMC00Y2Y2LTlkMWYtZTk5NWQzOGYzNWQ3IiwidCI6ImI0NTMyYWE2LTE4OTUtNDk2NC1iOWMwLTIyYjE0NDQ0MjcxYiIsImMiOjl9" TargetMode="External"/><Relationship Id="rId4" Type="http://schemas.openxmlformats.org/officeDocument/2006/relationships/hyperlink" Target="https://app.powerbi.com/view?r=eyJrIjoiNzdiODQ4NGMtMDdkNS00MGRmLTllNGEtZGU1ZmEzMzRkMGNkIiwidCI6ImI0NTMyYWE2LTE4OTUtNDk2NC1iOWMwLTIyYjE0NDQ0MjcxYiIsImMiOjl9" TargetMode="External"/><Relationship Id="rId9" Type="http://schemas.openxmlformats.org/officeDocument/2006/relationships/hyperlink" Target="https://app.powerbi.com/view?r=eyJrIjoiOGM2NmIwNGYtZjJmZi00ODQ5LWE5MjMtNzQxZDRmOGIwNjQ1IiwidCI6ImI0NTMyYWE2LTE4OTUtNDk2NC1iOWMwLTIyYjE0NDQ0MjcxYiIsImMiOjl9" TargetMode="External"/><Relationship Id="rId14" Type="http://schemas.openxmlformats.org/officeDocument/2006/relationships/hyperlink" Target="https://app.powerbi.com/links/9TinHhbh3p?ctid=b4532aa6-1895-4964-b9c0-22b14444271b&amp;pbi_source=linkShare" TargetMode="External"/><Relationship Id="rId22" Type="http://schemas.openxmlformats.org/officeDocument/2006/relationships/hyperlink" Target="https://app.powerbi.com/view?r=eyJrIjoiMzIyZWY2N2ItMjI4OS00OGM4LWE1MjMtNDE3ZmYzZjYzYzllIiwidCI6ImI0NTMyYWE2LTE4OTUtNDk2NC1iOWMwLTIyYjE0NDQ0MjcxYiIsImMiOjl9"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3" Type="http://schemas.openxmlformats.org/officeDocument/2006/relationships/hyperlink" Target="https://datos.madrid.es/sites/v/index.jsp?vgnextoid=5628ae43b6d85410VgnVCM100000333a5a0aRCRD&amp;vgnextchannel=374512b9ace9f310VgnVCM100000171f5a0aRCRD" TargetMode="External"/><Relationship Id="rId18" Type="http://schemas.openxmlformats.org/officeDocument/2006/relationships/hyperlink" Target="https://servpub.madrid.es/CSEBD_WBINTER/seleccionSerie.html?numSerie=0302010200241" TargetMode="External"/><Relationship Id="rId26" Type="http://schemas.openxmlformats.org/officeDocument/2006/relationships/hyperlink" Target="https://ine.es/censos2011/tablas/Inicio.do" TargetMode="External"/><Relationship Id="rId3" Type="http://schemas.openxmlformats.org/officeDocument/2006/relationships/hyperlink" Target="https://datos.madrid.es/portal/site/egob/menuitem.c05c1f754a33a9fbe4b2e4b284f1a5a0/?vgnextoid=8c936c7fe412b610VgnVCM2000001f4a900aRCRD&amp;vgnextchannel=374512b9ace9f310VgnVCM100000171f5a0aRCRD&amp;vgnextfmt=default" TargetMode="External"/><Relationship Id="rId21" Type="http://schemas.openxmlformats.org/officeDocument/2006/relationships/hyperlink" Target="https://servpub.madrid.es/CSEBD_WBINTER/seleccionSerie.html?numSerie=0302010200241" TargetMode="External"/><Relationship Id="rId34" Type="http://schemas.openxmlformats.org/officeDocument/2006/relationships/hyperlink" Target="https://servpub.madrid.es/CSEBD_WBINTER/seleccionSerie.html?numSerie=0702010000032" TargetMode="External"/><Relationship Id="rId7" Type="http://schemas.openxmlformats.org/officeDocument/2006/relationships/hyperlink" Target="https://estadisticas.educa.madrid.org/Report/ReportTemplate?ReportName=05_Alumnos_MatricBachilleratoModalidadSexo&amp;ReportDescription=Alumnos%20matriculados%20en%20Bachillerato%20por%20modalidad%20y%20sexo&amp;Width=100&amp;Height=650" TargetMode="External"/><Relationship Id="rId12" Type="http://schemas.openxmlformats.org/officeDocument/2006/relationships/hyperlink" Target="https://servpub.madrid.es/CSEBD_WBINTER/seleccionSerie.html?numSerie=0702010000031" TargetMode="External"/><Relationship Id="rId17" Type="http://schemas.openxmlformats.org/officeDocument/2006/relationships/hyperlink" Target="https://servpub.madrid.es/CSEBD_WBINTER/seleccionSerie.html?numSerie=0302010200242" TargetMode="External"/><Relationship Id="rId25" Type="http://schemas.openxmlformats.org/officeDocument/2006/relationships/hyperlink" Target="https://servpub.madrid.es/CSEBD_WBINTER/seleccionSerie.html?numSerie=0302010600091" TargetMode="External"/><Relationship Id="rId33" Type="http://schemas.openxmlformats.org/officeDocument/2006/relationships/hyperlink" Target="https://datos.madrid.es/portal/site/egob/menuitem.c05c1f754a33a9fbe4b2e4b284f1a5a0/?vgnextoid=710e760a581a7610VgnVCM1000001d4a900aRCRD&amp;vgnextchannel=374512b9ace9f310VgnVCM100000171f5a0aRCRD&amp;vgnextfmt=default" TargetMode="External"/><Relationship Id="rId2" Type="http://schemas.openxmlformats.org/officeDocument/2006/relationships/hyperlink" Target="https://servpub.madrid.es/CSEBD_WBINTER/seleccionSerie.html?numSerie=0403020300020" TargetMode="External"/><Relationship Id="rId16" Type="http://schemas.openxmlformats.org/officeDocument/2006/relationships/hyperlink" Target="https://servpub.madrid.es/CSEBD_WBINTER/seleccionSerie.html?numSerie=0302010200241" TargetMode="External"/><Relationship Id="rId20" Type="http://schemas.openxmlformats.org/officeDocument/2006/relationships/hyperlink" Target="https://servpub.madrid.es/CSEBD_WBINTER/seleccionSerie.html?numSerie=0302010200242" TargetMode="External"/><Relationship Id="rId29" Type="http://schemas.openxmlformats.org/officeDocument/2006/relationships/hyperlink" Target="https://servpub.madrid.es/CSEBD_WBINTER/seleccionSerie.html?numSerie=0904030200021" TargetMode="External"/><Relationship Id="rId1" Type="http://schemas.openxmlformats.org/officeDocument/2006/relationships/hyperlink" Target="https://ine.es/Censo2021/Inicio.do" TargetMode="External"/><Relationship Id="rId6" Type="http://schemas.openxmlformats.org/officeDocument/2006/relationships/hyperlink" Target="https://servpub.madrid.es/CSEBD_WBINTER/seleccionSerie.html?numSerie=0302010200010" TargetMode="External"/><Relationship Id="rId11" Type="http://schemas.openxmlformats.org/officeDocument/2006/relationships/hyperlink" Target="https://datos.madrid.es/portal/site/egob/menuitem.c05c1f754a33a9fbe4b2e4b284f1a5a0/?vgnextoid=6809077f3f4a4510VgnVCM1000001d4a900aRCRD&amp;vgnextchannel=374512b9ace9f310VgnVCM100000171f5a0aRCRD&amp;vgnextfmt=default" TargetMode="External"/><Relationship Id="rId24" Type="http://schemas.openxmlformats.org/officeDocument/2006/relationships/hyperlink" Target="https://servpub.madrid.es/CSEBD_WBINTER/seleccionSerie.html?numSerie=0302010600092" TargetMode="External"/><Relationship Id="rId32" Type="http://schemas.openxmlformats.org/officeDocument/2006/relationships/hyperlink" Target="https://datos.madrid.es/portal/site/egob/menuitem.c05c1f754a33a9fbe4b2e4b284f1a5a0/?vgnextoid=aa63864917e08610VgnVCM2000001f4a900aRCRD&amp;vgnextchannel=374512b9ace9f310VgnVCM100000171f5a0aRCRD&amp;vgnextfmt=default" TargetMode="External"/><Relationship Id="rId5" Type="http://schemas.openxmlformats.org/officeDocument/2006/relationships/hyperlink" Target="https://servpub.madrid.es/CSEBD_WBINTER/seleccionSerie.html?numSerie=1208000000060" TargetMode="External"/><Relationship Id="rId15" Type="http://schemas.openxmlformats.org/officeDocument/2006/relationships/hyperlink" Target="https://servpub.madrid.es/CSEBD_WBINTER/seleccionSerie.html?numSerie=0302010200242" TargetMode="External"/><Relationship Id="rId23" Type="http://schemas.openxmlformats.org/officeDocument/2006/relationships/hyperlink" Target="https://servpub.madrid.es/CSEBD_WBINTER/seleccionSerie.html?numSerie=0302010600091" TargetMode="External"/><Relationship Id="rId28" Type="http://schemas.openxmlformats.org/officeDocument/2006/relationships/hyperlink" Target="https://servpub.madrid.es/CSEBD_WBINTER/seleccionSerie.html?numSerie=0904030200070" TargetMode="External"/><Relationship Id="rId36" Type="http://schemas.openxmlformats.org/officeDocument/2006/relationships/printerSettings" Target="../printerSettings/printerSettings3.bin"/><Relationship Id="rId10" Type="http://schemas.openxmlformats.org/officeDocument/2006/relationships/hyperlink" Target="https://datos.madrid.es/portal/site/egob/menuitem.c05c1f754a33a9fbe4b2e4b284f1a5a0/?vgnextoid=3357843eb96f5610VgnVCM2000001f4a900aRCRD&amp;vgnextchannel=374512b9ace9f310VgnVCM100000171f5a0aRCRD&amp;vgnextfmt=default" TargetMode="External"/><Relationship Id="rId19" Type="http://schemas.openxmlformats.org/officeDocument/2006/relationships/hyperlink" Target="https://www.madrid.es/portales/munimadrid/es/Inicio/El-Ayuntamiento/Estadistica/Areas-de-informacion-estadistica/Demografia-y-poblacion/Cifras-de-poblacion/Padron-Municipal-de-Habitantes-explotacion-estadistica-/?vgnextfmt=default&amp;vgnextoid=e5613f8b73639210VgnVCM1000000b205a0aRCRD&amp;vgnextchannel=a4eba53620e1a210VgnVCM1000000b205a0aRCRD" TargetMode="External"/><Relationship Id="rId31" Type="http://schemas.openxmlformats.org/officeDocument/2006/relationships/hyperlink" Target="https://servpub.madrid.es/CSEBD_WBINTER/seleccionSerie.html?numSerie=0904010000014" TargetMode="External"/><Relationship Id="rId4" Type="http://schemas.openxmlformats.org/officeDocument/2006/relationships/hyperlink" Target="https://servpub.madrid.es/CSEBD_WBINTER/seleccionSerie.html?numSerie=0310000000010" TargetMode="External"/><Relationship Id="rId9" Type="http://schemas.openxmlformats.org/officeDocument/2006/relationships/hyperlink" Target="https://estadisticas.educa.madrid.org/Report/ReportTemplate?ReportName=13_Alumnos_MatricFPGSuperiorFamiliaSexo&amp;ReportDescription=Alumnos%20matriculados%20en%20Formaci%C3%B3n%20Profesional%20de%20Grado%20Superior%20por%20familias%20profesionales%20y%20sexo&amp;Width=100&amp;Height=650" TargetMode="External"/><Relationship Id="rId14" Type="http://schemas.openxmlformats.org/officeDocument/2006/relationships/hyperlink" Target="https://datos.madrid.es/portal/site/egob/menuitem.c05c1f754a33a9fbe4b2e4b284f1a5a0/?vgnextoid=7c2843010d9c3610VgnVCM2000001f4a900aRCRD&amp;vgnextchannel=374512b9ace9f310VgnVCM100000171f5a0aRCRD&amp;vgnextfmt=default" TargetMode="External"/><Relationship Id="rId22" Type="http://schemas.openxmlformats.org/officeDocument/2006/relationships/hyperlink" Target="https://servpub.madrid.es/CSEBD_WBINTER/seleccionSerie.html?numSerie=0302010600092" TargetMode="External"/><Relationship Id="rId27" Type="http://schemas.openxmlformats.org/officeDocument/2006/relationships/hyperlink" Target="https://servpub.madrid.es/CSEBD_WBINTER/seleccionSerie.html?numSerie=0403020200090" TargetMode="External"/><Relationship Id="rId30" Type="http://schemas.openxmlformats.org/officeDocument/2006/relationships/hyperlink" Target="https://servpub.madrid.es/CSEBD_WBINTER/seleccionSerie.html?numSerie=0904030200010" TargetMode="External"/><Relationship Id="rId35" Type="http://schemas.openxmlformats.org/officeDocument/2006/relationships/hyperlink" Target="https://estadisticas.educa.madrid.org/Report/ReportTemplate?ReportName=02_Alumnos_MatricEnsenanzasSexo&amp;ReportDescription=Alumnos%20matriculados%20en%20Ense%C3%B1anzas%20de%20R%C3%A9gimen%20General%20por%20sexo&amp;Width=100&amp;Height=650" TargetMode="External"/><Relationship Id="rId8" Type="http://schemas.openxmlformats.org/officeDocument/2006/relationships/hyperlink" Target="https://estadisticas.educa.madrid.org/Report/ReportTemplate?ReportName=11_Alumnos_MatricFPGMedioFamiliaSexo&amp;ReportDescription=Alumnos%20matriculados%20en%20Formaci%C3%B3n%20Profesional%20de%20Grado%20Medio%20por%20familias%20profesionales%20y%20sexo&amp;Width=100&amp;Height=650"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8BB6E-162A-44B3-BDBE-27DD657BE481}">
  <sheetPr codeName="Hoja1">
    <tabColor theme="8" tint="-0.499984740745262"/>
  </sheetPr>
  <dimension ref="A1:Y29"/>
  <sheetViews>
    <sheetView showGridLines="0" tabSelected="1" topLeftCell="A3" zoomScale="50" zoomScaleNormal="50" workbookViewId="0">
      <selection activeCell="AB30" sqref="AB30"/>
    </sheetView>
  </sheetViews>
  <sheetFormatPr baseColWidth="10" defaultColWidth="11.42578125" defaultRowHeight="15" x14ac:dyDescent="0.25"/>
  <cols>
    <col min="1" max="1" width="34.85546875" style="2" customWidth="1"/>
    <col min="2" max="2" width="7.85546875" style="2" bestFit="1" customWidth="1"/>
    <col min="3" max="3" width="59.85546875" style="2" customWidth="1"/>
    <col min="4" max="4" width="20" style="2" customWidth="1"/>
    <col min="5" max="24" width="17.42578125" style="5" customWidth="1"/>
    <col min="25" max="25" width="27.7109375" style="5" customWidth="1"/>
    <col min="26" max="16384" width="11.42578125" style="2"/>
  </cols>
  <sheetData>
    <row r="1" spans="1:25" ht="53.1" customHeight="1" x14ac:dyDescent="0.25"/>
    <row r="2" spans="1:25" customFormat="1" ht="28.5" customHeight="1" thickBot="1" x14ac:dyDescent="0.3">
      <c r="A2" s="1056" t="s">
        <v>611</v>
      </c>
      <c r="E2" s="1057"/>
      <c r="F2" s="1058"/>
    </row>
    <row r="3" spans="1:25" s="4" customFormat="1" ht="59.45" customHeight="1" thickBot="1" x14ac:dyDescent="0.3">
      <c r="A3" s="1085" t="s">
        <v>0</v>
      </c>
      <c r="B3" s="1086"/>
      <c r="C3" s="1086"/>
      <c r="D3" s="1086"/>
      <c r="E3" s="1083" t="s">
        <v>1</v>
      </c>
      <c r="F3" s="1084"/>
      <c r="G3" s="1084"/>
      <c r="H3" s="1084"/>
      <c r="I3" s="1084"/>
      <c r="J3" s="1084"/>
      <c r="K3" s="1084"/>
      <c r="L3" s="1084"/>
      <c r="M3" s="1084"/>
      <c r="N3" s="1084"/>
      <c r="O3" s="1084"/>
      <c r="P3" s="1084"/>
      <c r="Q3" s="1084"/>
      <c r="R3" s="1084"/>
      <c r="S3" s="1084"/>
      <c r="T3" s="1084"/>
      <c r="U3" s="1084"/>
      <c r="V3" s="1084"/>
      <c r="W3" s="1084"/>
      <c r="X3" s="1084"/>
      <c r="Y3" s="1084"/>
    </row>
    <row r="4" spans="1:25" ht="44.1" customHeight="1" thickBot="1" x14ac:dyDescent="0.3">
      <c r="A4" s="1063" t="s">
        <v>2</v>
      </c>
      <c r="B4" s="1022"/>
      <c r="C4" s="1022" t="s">
        <v>3</v>
      </c>
      <c r="D4" s="1022" t="s">
        <v>4</v>
      </c>
      <c r="E4" s="1079" t="s">
        <v>5</v>
      </c>
      <c r="F4" s="1023" t="s">
        <v>6</v>
      </c>
      <c r="G4" s="1023" t="s">
        <v>7</v>
      </c>
      <c r="H4" s="1023" t="s">
        <v>8</v>
      </c>
      <c r="I4" s="1023" t="s">
        <v>9</v>
      </c>
      <c r="J4" s="1023" t="s">
        <v>10</v>
      </c>
      <c r="K4" s="1023" t="s">
        <v>11</v>
      </c>
      <c r="L4" s="1023" t="s">
        <v>12</v>
      </c>
      <c r="M4" s="1023" t="s">
        <v>13</v>
      </c>
      <c r="N4" s="1023" t="s">
        <v>14</v>
      </c>
      <c r="O4" s="1023" t="s">
        <v>15</v>
      </c>
      <c r="P4" s="1023" t="s">
        <v>16</v>
      </c>
      <c r="Q4" s="1023" t="s">
        <v>17</v>
      </c>
      <c r="R4" s="1023" t="s">
        <v>18</v>
      </c>
      <c r="S4" s="1023" t="s">
        <v>19</v>
      </c>
      <c r="T4" s="1023" t="s">
        <v>20</v>
      </c>
      <c r="U4" s="1023" t="s">
        <v>21</v>
      </c>
      <c r="V4" s="1023" t="s">
        <v>22</v>
      </c>
      <c r="W4" s="1023" t="s">
        <v>23</v>
      </c>
      <c r="X4" s="1023" t="s">
        <v>24</v>
      </c>
      <c r="Y4" s="1023" t="s">
        <v>25</v>
      </c>
    </row>
    <row r="5" spans="1:25" ht="35.85" customHeight="1" thickBot="1" x14ac:dyDescent="0.3">
      <c r="A5" s="1082" t="s">
        <v>26</v>
      </c>
      <c r="B5" s="603">
        <v>1</v>
      </c>
      <c r="C5" s="604" t="s">
        <v>27</v>
      </c>
      <c r="D5" s="605" t="s">
        <v>28</v>
      </c>
      <c r="E5" s="605" t="s">
        <v>29</v>
      </c>
      <c r="F5" s="605" t="s">
        <v>29</v>
      </c>
      <c r="G5" s="605" t="s">
        <v>29</v>
      </c>
      <c r="H5" s="605" t="s">
        <v>29</v>
      </c>
      <c r="I5" s="605" t="s">
        <v>29</v>
      </c>
      <c r="J5" s="605" t="s">
        <v>29</v>
      </c>
      <c r="K5" s="605" t="s">
        <v>29</v>
      </c>
      <c r="L5" s="605" t="s">
        <v>29</v>
      </c>
      <c r="M5" s="605" t="s">
        <v>29</v>
      </c>
      <c r="N5" s="605" t="s">
        <v>29</v>
      </c>
      <c r="O5" s="605" t="s">
        <v>29</v>
      </c>
      <c r="P5" s="605" t="s">
        <v>29</v>
      </c>
      <c r="Q5" s="605" t="s">
        <v>29</v>
      </c>
      <c r="R5" s="605" t="s">
        <v>29</v>
      </c>
      <c r="S5" s="605" t="s">
        <v>29</v>
      </c>
      <c r="T5" s="605" t="s">
        <v>29</v>
      </c>
      <c r="U5" s="605" t="s">
        <v>29</v>
      </c>
      <c r="V5" s="605" t="s">
        <v>29</v>
      </c>
      <c r="W5" s="605" t="s">
        <v>29</v>
      </c>
      <c r="X5" s="605" t="s">
        <v>29</v>
      </c>
      <c r="Y5" s="605" t="s">
        <v>29</v>
      </c>
    </row>
    <row r="6" spans="1:25" ht="35.85" customHeight="1" thickBot="1" x14ac:dyDescent="0.3">
      <c r="A6" s="1082"/>
      <c r="B6" s="603">
        <v>2</v>
      </c>
      <c r="C6" s="607" t="s">
        <v>30</v>
      </c>
      <c r="D6" s="608" t="s">
        <v>28</v>
      </c>
      <c r="E6" s="609" t="s">
        <v>31</v>
      </c>
      <c r="F6" s="608" t="s">
        <v>31</v>
      </c>
      <c r="G6" s="608" t="s">
        <v>31</v>
      </c>
      <c r="H6" s="608" t="s">
        <v>31</v>
      </c>
      <c r="I6" s="608" t="s">
        <v>31</v>
      </c>
      <c r="J6" s="608" t="s">
        <v>31</v>
      </c>
      <c r="K6" s="608" t="s">
        <v>31</v>
      </c>
      <c r="L6" s="608" t="s">
        <v>31</v>
      </c>
      <c r="M6" s="608" t="s">
        <v>31</v>
      </c>
      <c r="N6" s="608" t="s">
        <v>31</v>
      </c>
      <c r="O6" s="608" t="s">
        <v>31</v>
      </c>
      <c r="P6" s="608" t="s">
        <v>31</v>
      </c>
      <c r="Q6" s="608" t="s">
        <v>31</v>
      </c>
      <c r="R6" s="608" t="s">
        <v>31</v>
      </c>
      <c r="S6" s="608" t="s">
        <v>31</v>
      </c>
      <c r="T6" s="608" t="s">
        <v>31</v>
      </c>
      <c r="U6" s="608" t="s">
        <v>31</v>
      </c>
      <c r="V6" s="608" t="s">
        <v>31</v>
      </c>
      <c r="W6" s="608" t="s">
        <v>31</v>
      </c>
      <c r="X6" s="608" t="s">
        <v>31</v>
      </c>
      <c r="Y6" s="608" t="s">
        <v>31</v>
      </c>
    </row>
    <row r="7" spans="1:25" ht="35.85" customHeight="1" thickBot="1" x14ac:dyDescent="0.3">
      <c r="A7" s="1082"/>
      <c r="B7" s="603">
        <v>3</v>
      </c>
      <c r="C7" s="604" t="s">
        <v>32</v>
      </c>
      <c r="D7" s="605" t="s">
        <v>28</v>
      </c>
      <c r="E7" s="605" t="s">
        <v>33</v>
      </c>
      <c r="F7" s="605" t="s">
        <v>33</v>
      </c>
      <c r="G7" s="605" t="s">
        <v>33</v>
      </c>
      <c r="H7" s="605" t="s">
        <v>33</v>
      </c>
      <c r="I7" s="605" t="s">
        <v>33</v>
      </c>
      <c r="J7" s="605" t="s">
        <v>33</v>
      </c>
      <c r="K7" s="605" t="s">
        <v>33</v>
      </c>
      <c r="L7" s="605" t="s">
        <v>33</v>
      </c>
      <c r="M7" s="605" t="s">
        <v>33</v>
      </c>
      <c r="N7" s="605" t="s">
        <v>33</v>
      </c>
      <c r="O7" s="605" t="s">
        <v>33</v>
      </c>
      <c r="P7" s="605" t="s">
        <v>33</v>
      </c>
      <c r="Q7" s="605" t="s">
        <v>33</v>
      </c>
      <c r="R7" s="605" t="s">
        <v>33</v>
      </c>
      <c r="S7" s="605" t="s">
        <v>33</v>
      </c>
      <c r="T7" s="605" t="s">
        <v>33</v>
      </c>
      <c r="U7" s="605" t="s">
        <v>33</v>
      </c>
      <c r="V7" s="605" t="s">
        <v>33</v>
      </c>
      <c r="W7" s="605" t="s">
        <v>33</v>
      </c>
      <c r="X7" s="605" t="s">
        <v>33</v>
      </c>
      <c r="Y7" s="605" t="s">
        <v>33</v>
      </c>
    </row>
    <row r="8" spans="1:25" ht="35.85" customHeight="1" thickBot="1" x14ac:dyDescent="0.3">
      <c r="A8" s="1082"/>
      <c r="B8" s="603">
        <v>4</v>
      </c>
      <c r="C8" s="607" t="s">
        <v>34</v>
      </c>
      <c r="D8" s="608" t="s">
        <v>28</v>
      </c>
      <c r="E8" s="608" t="s">
        <v>35</v>
      </c>
      <c r="F8" s="608" t="s">
        <v>35</v>
      </c>
      <c r="G8" s="608" t="s">
        <v>35</v>
      </c>
      <c r="H8" s="608" t="s">
        <v>35</v>
      </c>
      <c r="I8" s="608" t="s">
        <v>35</v>
      </c>
      <c r="J8" s="608" t="s">
        <v>35</v>
      </c>
      <c r="K8" s="608" t="s">
        <v>35</v>
      </c>
      <c r="L8" s="608" t="s">
        <v>35</v>
      </c>
      <c r="M8" s="608" t="s">
        <v>35</v>
      </c>
      <c r="N8" s="608" t="s">
        <v>35</v>
      </c>
      <c r="O8" s="608" t="s">
        <v>35</v>
      </c>
      <c r="P8" s="608" t="s">
        <v>35</v>
      </c>
      <c r="Q8" s="608" t="s">
        <v>35</v>
      </c>
      <c r="R8" s="608" t="s">
        <v>35</v>
      </c>
      <c r="S8" s="608" t="s">
        <v>35</v>
      </c>
      <c r="T8" s="608" t="s">
        <v>35</v>
      </c>
      <c r="U8" s="608" t="s">
        <v>35</v>
      </c>
      <c r="V8" s="608" t="s">
        <v>35</v>
      </c>
      <c r="W8" s="608" t="s">
        <v>35</v>
      </c>
      <c r="X8" s="608" t="s">
        <v>35</v>
      </c>
      <c r="Y8" s="608" t="s">
        <v>35</v>
      </c>
    </row>
    <row r="9" spans="1:25" ht="35.85" customHeight="1" thickBot="1" x14ac:dyDescent="0.3">
      <c r="A9" s="1082"/>
      <c r="B9" s="603">
        <v>5</v>
      </c>
      <c r="C9" s="604" t="s">
        <v>36</v>
      </c>
      <c r="D9" s="605" t="s">
        <v>28</v>
      </c>
      <c r="E9" s="605" t="s">
        <v>37</v>
      </c>
      <c r="F9" s="605" t="s">
        <v>37</v>
      </c>
      <c r="G9" s="605" t="s">
        <v>37</v>
      </c>
      <c r="H9" s="605" t="s">
        <v>37</v>
      </c>
      <c r="I9" s="605" t="s">
        <v>37</v>
      </c>
      <c r="J9" s="605" t="s">
        <v>37</v>
      </c>
      <c r="K9" s="605" t="s">
        <v>37</v>
      </c>
      <c r="L9" s="605" t="s">
        <v>37</v>
      </c>
      <c r="M9" s="605" t="s">
        <v>37</v>
      </c>
      <c r="N9" s="605" t="s">
        <v>37</v>
      </c>
      <c r="O9" s="605" t="s">
        <v>37</v>
      </c>
      <c r="P9" s="605" t="s">
        <v>37</v>
      </c>
      <c r="Q9" s="605" t="s">
        <v>37</v>
      </c>
      <c r="R9" s="605" t="s">
        <v>37</v>
      </c>
      <c r="S9" s="605" t="s">
        <v>37</v>
      </c>
      <c r="T9" s="605" t="s">
        <v>37</v>
      </c>
      <c r="U9" s="605" t="s">
        <v>37</v>
      </c>
      <c r="V9" s="605" t="s">
        <v>37</v>
      </c>
      <c r="W9" s="605" t="s">
        <v>37</v>
      </c>
      <c r="X9" s="605" t="s">
        <v>37</v>
      </c>
      <c r="Y9" s="605" t="s">
        <v>37</v>
      </c>
    </row>
    <row r="10" spans="1:25" ht="35.85" customHeight="1" thickBot="1" x14ac:dyDescent="0.3">
      <c r="A10" s="1082" t="s">
        <v>38</v>
      </c>
      <c r="B10" s="603">
        <v>6</v>
      </c>
      <c r="C10" s="607" t="s">
        <v>39</v>
      </c>
      <c r="D10" s="608" t="s">
        <v>28</v>
      </c>
      <c r="E10" s="608" t="s">
        <v>40</v>
      </c>
      <c r="F10" s="608" t="s">
        <v>40</v>
      </c>
      <c r="G10" s="608" t="s">
        <v>40</v>
      </c>
      <c r="H10" s="608" t="s">
        <v>40</v>
      </c>
      <c r="I10" s="608" t="s">
        <v>40</v>
      </c>
      <c r="J10" s="608" t="s">
        <v>40</v>
      </c>
      <c r="K10" s="608" t="s">
        <v>40</v>
      </c>
      <c r="L10" s="608" t="s">
        <v>40</v>
      </c>
      <c r="M10" s="608" t="s">
        <v>40</v>
      </c>
      <c r="N10" s="608" t="s">
        <v>40</v>
      </c>
      <c r="O10" s="608" t="s">
        <v>40</v>
      </c>
      <c r="P10" s="608" t="s">
        <v>40</v>
      </c>
      <c r="Q10" s="608" t="s">
        <v>40</v>
      </c>
      <c r="R10" s="608" t="s">
        <v>40</v>
      </c>
      <c r="S10" s="608" t="s">
        <v>40</v>
      </c>
      <c r="T10" s="608" t="s">
        <v>40</v>
      </c>
      <c r="U10" s="608" t="s">
        <v>40</v>
      </c>
      <c r="V10" s="608" t="s">
        <v>40</v>
      </c>
      <c r="W10" s="608" t="s">
        <v>40</v>
      </c>
      <c r="X10" s="608" t="s">
        <v>40</v>
      </c>
      <c r="Y10" s="608" t="s">
        <v>40</v>
      </c>
    </row>
    <row r="11" spans="1:25" ht="35.85" customHeight="1" thickBot="1" x14ac:dyDescent="0.3">
      <c r="A11" s="1082"/>
      <c r="B11" s="603">
        <v>7</v>
      </c>
      <c r="C11" s="604" t="s">
        <v>41</v>
      </c>
      <c r="D11" s="1924" t="s">
        <v>28</v>
      </c>
      <c r="E11" s="605" t="s">
        <v>42</v>
      </c>
      <c r="F11" s="605" t="s">
        <v>42</v>
      </c>
      <c r="G11" s="605" t="s">
        <v>42</v>
      </c>
      <c r="H11" s="605" t="s">
        <v>42</v>
      </c>
      <c r="I11" s="605" t="s">
        <v>42</v>
      </c>
      <c r="J11" s="605" t="s">
        <v>42</v>
      </c>
      <c r="K11" s="605" t="s">
        <v>42</v>
      </c>
      <c r="L11" s="605" t="s">
        <v>42</v>
      </c>
      <c r="M11" s="605" t="s">
        <v>42</v>
      </c>
      <c r="N11" s="605" t="s">
        <v>42</v>
      </c>
      <c r="O11" s="605" t="s">
        <v>42</v>
      </c>
      <c r="P11" s="605" t="s">
        <v>42</v>
      </c>
      <c r="Q11" s="605" t="s">
        <v>42</v>
      </c>
      <c r="R11" s="605" t="s">
        <v>42</v>
      </c>
      <c r="S11" s="605" t="s">
        <v>42</v>
      </c>
      <c r="T11" s="605" t="s">
        <v>42</v>
      </c>
      <c r="U11" s="605" t="s">
        <v>42</v>
      </c>
      <c r="V11" s="605" t="s">
        <v>42</v>
      </c>
      <c r="W11" s="605" t="s">
        <v>42</v>
      </c>
      <c r="X11" s="605" t="s">
        <v>42</v>
      </c>
      <c r="Y11" s="605" t="s">
        <v>42</v>
      </c>
    </row>
    <row r="12" spans="1:25" ht="35.85" customHeight="1" thickBot="1" x14ac:dyDescent="0.3">
      <c r="A12" s="1082"/>
      <c r="B12" s="603">
        <v>8</v>
      </c>
      <c r="C12" s="607" t="s">
        <v>43</v>
      </c>
      <c r="D12" s="1081" t="s">
        <v>610</v>
      </c>
      <c r="E12" s="608" t="s">
        <v>44</v>
      </c>
      <c r="F12" s="608" t="s">
        <v>44</v>
      </c>
      <c r="G12" s="608" t="s">
        <v>44</v>
      </c>
      <c r="H12" s="608" t="s">
        <v>44</v>
      </c>
      <c r="I12" s="608" t="s">
        <v>44</v>
      </c>
      <c r="J12" s="608" t="s">
        <v>44</v>
      </c>
      <c r="K12" s="608" t="s">
        <v>44</v>
      </c>
      <c r="L12" s="608" t="s">
        <v>44</v>
      </c>
      <c r="M12" s="608" t="s">
        <v>44</v>
      </c>
      <c r="N12" s="608" t="s">
        <v>44</v>
      </c>
      <c r="O12" s="608" t="s">
        <v>44</v>
      </c>
      <c r="P12" s="608" t="s">
        <v>44</v>
      </c>
      <c r="Q12" s="608" t="s">
        <v>44</v>
      </c>
      <c r="R12" s="608" t="s">
        <v>44</v>
      </c>
      <c r="S12" s="608" t="s">
        <v>44</v>
      </c>
      <c r="T12" s="608" t="s">
        <v>44</v>
      </c>
      <c r="U12" s="608" t="s">
        <v>44</v>
      </c>
      <c r="V12" s="608" t="s">
        <v>44</v>
      </c>
      <c r="W12" s="608" t="s">
        <v>44</v>
      </c>
      <c r="X12" s="608" t="s">
        <v>44</v>
      </c>
      <c r="Y12" s="608" t="s">
        <v>44</v>
      </c>
    </row>
    <row r="13" spans="1:25" ht="35.85" customHeight="1" thickBot="1" x14ac:dyDescent="0.3">
      <c r="A13" s="1082"/>
      <c r="B13" s="603">
        <v>9</v>
      </c>
      <c r="C13" s="604" t="s">
        <v>45</v>
      </c>
      <c r="D13" s="605" t="s">
        <v>28</v>
      </c>
      <c r="E13" s="605" t="s">
        <v>46</v>
      </c>
      <c r="F13" s="605" t="s">
        <v>46</v>
      </c>
      <c r="G13" s="605" t="s">
        <v>46</v>
      </c>
      <c r="H13" s="605" t="s">
        <v>46</v>
      </c>
      <c r="I13" s="605" t="s">
        <v>46</v>
      </c>
      <c r="J13" s="605" t="s">
        <v>46</v>
      </c>
      <c r="K13" s="605" t="s">
        <v>46</v>
      </c>
      <c r="L13" s="605" t="s">
        <v>46</v>
      </c>
      <c r="M13" s="605" t="s">
        <v>46</v>
      </c>
      <c r="N13" s="605" t="s">
        <v>46</v>
      </c>
      <c r="O13" s="605" t="s">
        <v>46</v>
      </c>
      <c r="P13" s="605" t="s">
        <v>46</v>
      </c>
      <c r="Q13" s="605" t="s">
        <v>46</v>
      </c>
      <c r="R13" s="605" t="s">
        <v>46</v>
      </c>
      <c r="S13" s="605" t="s">
        <v>46</v>
      </c>
      <c r="T13" s="605" t="s">
        <v>46</v>
      </c>
      <c r="U13" s="605" t="s">
        <v>46</v>
      </c>
      <c r="V13" s="605" t="s">
        <v>46</v>
      </c>
      <c r="W13" s="605" t="s">
        <v>46</v>
      </c>
      <c r="X13" s="605" t="s">
        <v>46</v>
      </c>
      <c r="Y13" s="605" t="s">
        <v>46</v>
      </c>
    </row>
    <row r="14" spans="1:25" ht="35.85" customHeight="1" thickBot="1" x14ac:dyDescent="0.3">
      <c r="A14" s="1082" t="s">
        <v>47</v>
      </c>
      <c r="B14" s="603">
        <v>10</v>
      </c>
      <c r="C14" s="607" t="s">
        <v>48</v>
      </c>
      <c r="D14" s="608" t="s">
        <v>610</v>
      </c>
      <c r="E14" s="608" t="s">
        <v>49</v>
      </c>
      <c r="F14" s="608" t="s">
        <v>49</v>
      </c>
      <c r="G14" s="608" t="s">
        <v>49</v>
      </c>
      <c r="H14" s="608" t="s">
        <v>49</v>
      </c>
      <c r="I14" s="608" t="s">
        <v>49</v>
      </c>
      <c r="J14" s="608" t="s">
        <v>49</v>
      </c>
      <c r="K14" s="608" t="s">
        <v>49</v>
      </c>
      <c r="L14" s="608" t="s">
        <v>49</v>
      </c>
      <c r="M14" s="608" t="s">
        <v>49</v>
      </c>
      <c r="N14" s="608" t="s">
        <v>49</v>
      </c>
      <c r="O14" s="608" t="s">
        <v>49</v>
      </c>
      <c r="P14" s="608" t="s">
        <v>49</v>
      </c>
      <c r="Q14" s="608" t="s">
        <v>49</v>
      </c>
      <c r="R14" s="608" t="s">
        <v>49</v>
      </c>
      <c r="S14" s="608" t="s">
        <v>49</v>
      </c>
      <c r="T14" s="608" t="s">
        <v>49</v>
      </c>
      <c r="U14" s="608" t="s">
        <v>49</v>
      </c>
      <c r="V14" s="608" t="s">
        <v>49</v>
      </c>
      <c r="W14" s="608" t="s">
        <v>49</v>
      </c>
      <c r="X14" s="608" t="s">
        <v>49</v>
      </c>
      <c r="Y14" s="608" t="s">
        <v>49</v>
      </c>
    </row>
    <row r="15" spans="1:25" ht="35.85" customHeight="1" thickBot="1" x14ac:dyDescent="0.3">
      <c r="A15" s="1082"/>
      <c r="B15" s="603">
        <v>11</v>
      </c>
      <c r="C15" s="604" t="s">
        <v>50</v>
      </c>
      <c r="D15" s="605" t="s">
        <v>28</v>
      </c>
      <c r="E15" s="605" t="s">
        <v>51</v>
      </c>
      <c r="F15" s="605" t="s">
        <v>51</v>
      </c>
      <c r="G15" s="605" t="s">
        <v>51</v>
      </c>
      <c r="H15" s="605" t="s">
        <v>51</v>
      </c>
      <c r="I15" s="605" t="s">
        <v>51</v>
      </c>
      <c r="J15" s="605" t="s">
        <v>51</v>
      </c>
      <c r="K15" s="605" t="s">
        <v>51</v>
      </c>
      <c r="L15" s="605" t="s">
        <v>51</v>
      </c>
      <c r="M15" s="605" t="s">
        <v>51</v>
      </c>
      <c r="N15" s="605" t="s">
        <v>51</v>
      </c>
      <c r="O15" s="605" t="s">
        <v>51</v>
      </c>
      <c r="P15" s="605" t="s">
        <v>51</v>
      </c>
      <c r="Q15" s="605" t="s">
        <v>51</v>
      </c>
      <c r="R15" s="605" t="s">
        <v>51</v>
      </c>
      <c r="S15" s="605" t="s">
        <v>51</v>
      </c>
      <c r="T15" s="605" t="s">
        <v>51</v>
      </c>
      <c r="U15" s="605" t="s">
        <v>51</v>
      </c>
      <c r="V15" s="605" t="s">
        <v>51</v>
      </c>
      <c r="W15" s="605" t="s">
        <v>51</v>
      </c>
      <c r="X15" s="605" t="s">
        <v>51</v>
      </c>
      <c r="Y15" s="605" t="s">
        <v>51</v>
      </c>
    </row>
    <row r="16" spans="1:25" ht="35.85" customHeight="1" thickBot="1" x14ac:dyDescent="0.3">
      <c r="A16" s="1082"/>
      <c r="B16" s="603">
        <v>12</v>
      </c>
      <c r="C16" s="607" t="s">
        <v>52</v>
      </c>
      <c r="D16" s="608" t="s">
        <v>28</v>
      </c>
      <c r="E16" s="608" t="s">
        <v>53</v>
      </c>
      <c r="F16" s="608" t="s">
        <v>53</v>
      </c>
      <c r="G16" s="608" t="s">
        <v>53</v>
      </c>
      <c r="H16" s="608" t="s">
        <v>53</v>
      </c>
      <c r="I16" s="608" t="s">
        <v>53</v>
      </c>
      <c r="J16" s="608" t="s">
        <v>53</v>
      </c>
      <c r="K16" s="608" t="s">
        <v>53</v>
      </c>
      <c r="L16" s="608" t="s">
        <v>53</v>
      </c>
      <c r="M16" s="608" t="s">
        <v>53</v>
      </c>
      <c r="N16" s="608" t="s">
        <v>53</v>
      </c>
      <c r="O16" s="608" t="s">
        <v>53</v>
      </c>
      <c r="P16" s="608" t="s">
        <v>53</v>
      </c>
      <c r="Q16" s="608" t="s">
        <v>53</v>
      </c>
      <c r="R16" s="608" t="s">
        <v>53</v>
      </c>
      <c r="S16" s="608" t="s">
        <v>53</v>
      </c>
      <c r="T16" s="608" t="s">
        <v>53</v>
      </c>
      <c r="U16" s="608" t="s">
        <v>53</v>
      </c>
      <c r="V16" s="608" t="s">
        <v>53</v>
      </c>
      <c r="W16" s="608" t="s">
        <v>53</v>
      </c>
      <c r="X16" s="608" t="s">
        <v>53</v>
      </c>
      <c r="Y16" s="608" t="s">
        <v>53</v>
      </c>
    </row>
    <row r="17" spans="1:25" ht="35.85" customHeight="1" thickBot="1" x14ac:dyDescent="0.3">
      <c r="A17" s="1082"/>
      <c r="B17" s="603">
        <v>13</v>
      </c>
      <c r="C17" s="604" t="s">
        <v>54</v>
      </c>
      <c r="D17" s="605" t="s">
        <v>28</v>
      </c>
      <c r="E17" s="605" t="s">
        <v>55</v>
      </c>
      <c r="F17" s="605" t="s">
        <v>55</v>
      </c>
      <c r="G17" s="605" t="s">
        <v>55</v>
      </c>
      <c r="H17" s="605" t="s">
        <v>55</v>
      </c>
      <c r="I17" s="605" t="s">
        <v>55</v>
      </c>
      <c r="J17" s="605" t="s">
        <v>55</v>
      </c>
      <c r="K17" s="605" t="s">
        <v>55</v>
      </c>
      <c r="L17" s="605" t="s">
        <v>55</v>
      </c>
      <c r="M17" s="605" t="s">
        <v>55</v>
      </c>
      <c r="N17" s="605" t="s">
        <v>55</v>
      </c>
      <c r="O17" s="605" t="s">
        <v>55</v>
      </c>
      <c r="P17" s="605" t="s">
        <v>55</v>
      </c>
      <c r="Q17" s="605" t="s">
        <v>55</v>
      </c>
      <c r="R17" s="605" t="s">
        <v>55</v>
      </c>
      <c r="S17" s="605" t="s">
        <v>55</v>
      </c>
      <c r="T17" s="605" t="s">
        <v>55</v>
      </c>
      <c r="U17" s="605" t="s">
        <v>55</v>
      </c>
      <c r="V17" s="605" t="s">
        <v>55</v>
      </c>
      <c r="W17" s="605" t="s">
        <v>55</v>
      </c>
      <c r="X17" s="605" t="s">
        <v>55</v>
      </c>
      <c r="Y17" s="605" t="s">
        <v>55</v>
      </c>
    </row>
    <row r="18" spans="1:25" ht="35.85" customHeight="1" thickBot="1" x14ac:dyDescent="0.3">
      <c r="A18" s="1082" t="s">
        <v>56</v>
      </c>
      <c r="B18" s="603">
        <v>14</v>
      </c>
      <c r="C18" s="607" t="s">
        <v>57</v>
      </c>
      <c r="D18" s="608" t="s">
        <v>28</v>
      </c>
      <c r="E18" s="608" t="s">
        <v>58</v>
      </c>
      <c r="F18" s="608" t="s">
        <v>58</v>
      </c>
      <c r="G18" s="608" t="s">
        <v>58</v>
      </c>
      <c r="H18" s="608" t="s">
        <v>58</v>
      </c>
      <c r="I18" s="608" t="s">
        <v>58</v>
      </c>
      <c r="J18" s="608" t="s">
        <v>58</v>
      </c>
      <c r="K18" s="608" t="s">
        <v>58</v>
      </c>
      <c r="L18" s="608" t="s">
        <v>58</v>
      </c>
      <c r="M18" s="608" t="s">
        <v>58</v>
      </c>
      <c r="N18" s="608" t="s">
        <v>58</v>
      </c>
      <c r="O18" s="608" t="s">
        <v>58</v>
      </c>
      <c r="P18" s="608" t="s">
        <v>58</v>
      </c>
      <c r="Q18" s="608" t="s">
        <v>58</v>
      </c>
      <c r="R18" s="608" t="s">
        <v>58</v>
      </c>
      <c r="S18" s="608" t="s">
        <v>58</v>
      </c>
      <c r="T18" s="608" t="s">
        <v>58</v>
      </c>
      <c r="U18" s="608" t="s">
        <v>58</v>
      </c>
      <c r="V18" s="608" t="s">
        <v>58</v>
      </c>
      <c r="W18" s="608" t="s">
        <v>58</v>
      </c>
      <c r="X18" s="608" t="s">
        <v>58</v>
      </c>
      <c r="Y18" s="608" t="s">
        <v>58</v>
      </c>
    </row>
    <row r="19" spans="1:25" ht="35.85" customHeight="1" thickBot="1" x14ac:dyDescent="0.3">
      <c r="A19" s="1082"/>
      <c r="B19" s="603">
        <v>15</v>
      </c>
      <c r="C19" s="604" t="s">
        <v>59</v>
      </c>
      <c r="D19" s="605" t="s">
        <v>28</v>
      </c>
      <c r="E19" s="605" t="s">
        <v>60</v>
      </c>
      <c r="F19" s="605" t="s">
        <v>60</v>
      </c>
      <c r="G19" s="605" t="s">
        <v>60</v>
      </c>
      <c r="H19" s="605" t="s">
        <v>60</v>
      </c>
      <c r="I19" s="605" t="s">
        <v>60</v>
      </c>
      <c r="J19" s="605" t="s">
        <v>60</v>
      </c>
      <c r="K19" s="605" t="s">
        <v>60</v>
      </c>
      <c r="L19" s="605" t="s">
        <v>60</v>
      </c>
      <c r="M19" s="605" t="s">
        <v>60</v>
      </c>
      <c r="N19" s="605" t="s">
        <v>60</v>
      </c>
      <c r="O19" s="605" t="s">
        <v>60</v>
      </c>
      <c r="P19" s="605" t="s">
        <v>60</v>
      </c>
      <c r="Q19" s="605" t="s">
        <v>60</v>
      </c>
      <c r="R19" s="605" t="s">
        <v>60</v>
      </c>
      <c r="S19" s="605" t="s">
        <v>60</v>
      </c>
      <c r="T19" s="605" t="s">
        <v>60</v>
      </c>
      <c r="U19" s="605" t="s">
        <v>60</v>
      </c>
      <c r="V19" s="605" t="s">
        <v>60</v>
      </c>
      <c r="W19" s="605" t="s">
        <v>60</v>
      </c>
      <c r="X19" s="605" t="s">
        <v>60</v>
      </c>
      <c r="Y19" s="605" t="s">
        <v>60</v>
      </c>
    </row>
    <row r="20" spans="1:25" ht="35.85" customHeight="1" thickBot="1" x14ac:dyDescent="0.3">
      <c r="A20" s="1064" t="s">
        <v>61</v>
      </c>
      <c r="B20" s="603">
        <v>16</v>
      </c>
      <c r="C20" s="607" t="s">
        <v>62</v>
      </c>
      <c r="D20" s="608" t="s">
        <v>28</v>
      </c>
      <c r="E20" s="608" t="s">
        <v>63</v>
      </c>
      <c r="F20" s="608" t="s">
        <v>63</v>
      </c>
      <c r="G20" s="608" t="s">
        <v>63</v>
      </c>
      <c r="H20" s="608" t="s">
        <v>63</v>
      </c>
      <c r="I20" s="608" t="s">
        <v>63</v>
      </c>
      <c r="J20" s="608" t="s">
        <v>63</v>
      </c>
      <c r="K20" s="608" t="s">
        <v>63</v>
      </c>
      <c r="L20" s="608" t="s">
        <v>63</v>
      </c>
      <c r="M20" s="608" t="s">
        <v>63</v>
      </c>
      <c r="N20" s="608" t="s">
        <v>63</v>
      </c>
      <c r="O20" s="608" t="s">
        <v>63</v>
      </c>
      <c r="P20" s="608" t="s">
        <v>63</v>
      </c>
      <c r="Q20" s="608" t="s">
        <v>63</v>
      </c>
      <c r="R20" s="608" t="s">
        <v>63</v>
      </c>
      <c r="S20" s="608" t="s">
        <v>63</v>
      </c>
      <c r="T20" s="608" t="s">
        <v>63</v>
      </c>
      <c r="U20" s="608" t="s">
        <v>63</v>
      </c>
      <c r="V20" s="608" t="s">
        <v>63</v>
      </c>
      <c r="W20" s="608" t="s">
        <v>63</v>
      </c>
      <c r="X20" s="608" t="s">
        <v>63</v>
      </c>
      <c r="Y20" s="608" t="s">
        <v>63</v>
      </c>
    </row>
    <row r="21" spans="1:25" ht="35.85" customHeight="1" thickBot="1" x14ac:dyDescent="0.3">
      <c r="A21" s="1082" t="s">
        <v>64</v>
      </c>
      <c r="B21" s="603">
        <v>17</v>
      </c>
      <c r="C21" s="604" t="s">
        <v>65</v>
      </c>
      <c r="D21" s="605" t="s">
        <v>28</v>
      </c>
      <c r="E21" s="605" t="s">
        <v>66</v>
      </c>
      <c r="F21" s="605" t="s">
        <v>66</v>
      </c>
      <c r="G21" s="605" t="s">
        <v>66</v>
      </c>
      <c r="H21" s="605" t="s">
        <v>66</v>
      </c>
      <c r="I21" s="605" t="s">
        <v>66</v>
      </c>
      <c r="J21" s="605" t="s">
        <v>66</v>
      </c>
      <c r="K21" s="605" t="s">
        <v>66</v>
      </c>
      <c r="L21" s="605" t="s">
        <v>66</v>
      </c>
      <c r="M21" s="605" t="s">
        <v>66</v>
      </c>
      <c r="N21" s="605" t="s">
        <v>66</v>
      </c>
      <c r="O21" s="605" t="s">
        <v>66</v>
      </c>
      <c r="P21" s="605" t="s">
        <v>66</v>
      </c>
      <c r="Q21" s="605" t="s">
        <v>66</v>
      </c>
      <c r="R21" s="605" t="s">
        <v>66</v>
      </c>
      <c r="S21" s="605" t="s">
        <v>66</v>
      </c>
      <c r="T21" s="605" t="s">
        <v>66</v>
      </c>
      <c r="U21" s="605" t="s">
        <v>66</v>
      </c>
      <c r="V21" s="605" t="s">
        <v>66</v>
      </c>
      <c r="W21" s="605" t="s">
        <v>66</v>
      </c>
      <c r="X21" s="605" t="s">
        <v>66</v>
      </c>
      <c r="Y21" s="605" t="s">
        <v>66</v>
      </c>
    </row>
    <row r="22" spans="1:25" ht="35.85" customHeight="1" thickBot="1" x14ac:dyDescent="0.3">
      <c r="A22" s="1082"/>
      <c r="B22" s="603">
        <v>18</v>
      </c>
      <c r="C22" s="607" t="s">
        <v>67</v>
      </c>
      <c r="D22" s="608" t="s">
        <v>28</v>
      </c>
      <c r="E22" s="608" t="s">
        <v>68</v>
      </c>
      <c r="F22" s="610" t="s">
        <v>68</v>
      </c>
      <c r="G22" s="608" t="s">
        <v>68</v>
      </c>
      <c r="H22" s="608" t="s">
        <v>68</v>
      </c>
      <c r="I22" s="608" t="s">
        <v>68</v>
      </c>
      <c r="J22" s="608" t="s">
        <v>68</v>
      </c>
      <c r="K22" s="608" t="s">
        <v>68</v>
      </c>
      <c r="L22" s="608" t="s">
        <v>68</v>
      </c>
      <c r="M22" s="608" t="s">
        <v>68</v>
      </c>
      <c r="N22" s="1080" t="s">
        <v>68</v>
      </c>
      <c r="O22" s="608" t="s">
        <v>68</v>
      </c>
      <c r="P22" s="608" t="s">
        <v>68</v>
      </c>
      <c r="Q22" s="608" t="s">
        <v>68</v>
      </c>
      <c r="R22" s="608" t="s">
        <v>68</v>
      </c>
      <c r="S22" s="608" t="s">
        <v>68</v>
      </c>
      <c r="T22" s="608" t="s">
        <v>68</v>
      </c>
      <c r="U22" s="608" t="s">
        <v>68</v>
      </c>
      <c r="V22" s="608" t="s">
        <v>68</v>
      </c>
      <c r="W22" s="608" t="s">
        <v>68</v>
      </c>
      <c r="X22" s="608" t="s">
        <v>68</v>
      </c>
      <c r="Y22" s="608" t="s">
        <v>68</v>
      </c>
    </row>
    <row r="23" spans="1:25" ht="35.85" customHeight="1" thickBot="1" x14ac:dyDescent="0.3">
      <c r="A23" s="1082"/>
      <c r="B23" s="603">
        <v>19</v>
      </c>
      <c r="C23" s="604" t="s">
        <v>69</v>
      </c>
      <c r="D23" s="605" t="s">
        <v>28</v>
      </c>
      <c r="E23" s="605" t="s">
        <v>70</v>
      </c>
      <c r="F23" s="605" t="s">
        <v>70</v>
      </c>
      <c r="G23" s="605" t="s">
        <v>70</v>
      </c>
      <c r="H23" s="605" t="s">
        <v>70</v>
      </c>
      <c r="I23" s="605" t="s">
        <v>70</v>
      </c>
      <c r="J23" s="605" t="s">
        <v>70</v>
      </c>
      <c r="K23" s="605" t="s">
        <v>70</v>
      </c>
      <c r="L23" s="605" t="s">
        <v>70</v>
      </c>
      <c r="M23" s="605" t="s">
        <v>70</v>
      </c>
      <c r="N23" s="605" t="s">
        <v>70</v>
      </c>
      <c r="O23" s="605" t="s">
        <v>70</v>
      </c>
      <c r="P23" s="605" t="s">
        <v>70</v>
      </c>
      <c r="Q23" s="605" t="s">
        <v>70</v>
      </c>
      <c r="R23" s="605" t="s">
        <v>70</v>
      </c>
      <c r="S23" s="605" t="s">
        <v>70</v>
      </c>
      <c r="T23" s="605" t="s">
        <v>70</v>
      </c>
      <c r="U23" s="605" t="s">
        <v>70</v>
      </c>
      <c r="V23" s="605" t="s">
        <v>70</v>
      </c>
      <c r="W23" s="605" t="s">
        <v>70</v>
      </c>
      <c r="X23" s="605" t="s">
        <v>70</v>
      </c>
      <c r="Y23" s="605" t="s">
        <v>70</v>
      </c>
    </row>
    <row r="24" spans="1:25" ht="35.85" customHeight="1" thickBot="1" x14ac:dyDescent="0.3">
      <c r="A24" s="1082"/>
      <c r="B24" s="603">
        <v>20</v>
      </c>
      <c r="C24" s="607" t="s">
        <v>71</v>
      </c>
      <c r="D24" s="608" t="s">
        <v>28</v>
      </c>
      <c r="E24" s="611" t="s">
        <v>72</v>
      </c>
      <c r="F24" s="608" t="s">
        <v>72</v>
      </c>
      <c r="G24" s="608" t="s">
        <v>72</v>
      </c>
      <c r="H24" s="608" t="s">
        <v>72</v>
      </c>
      <c r="I24" s="608" t="s">
        <v>72</v>
      </c>
      <c r="J24" s="608" t="s">
        <v>72</v>
      </c>
      <c r="K24" s="608" t="s">
        <v>72</v>
      </c>
      <c r="L24" s="608" t="s">
        <v>72</v>
      </c>
      <c r="M24" s="608" t="s">
        <v>72</v>
      </c>
      <c r="N24" s="608" t="s">
        <v>72</v>
      </c>
      <c r="O24" s="608" t="s">
        <v>72</v>
      </c>
      <c r="P24" s="608" t="s">
        <v>72</v>
      </c>
      <c r="Q24" s="608" t="s">
        <v>72</v>
      </c>
      <c r="R24" s="608" t="s">
        <v>72</v>
      </c>
      <c r="S24" s="608" t="s">
        <v>72</v>
      </c>
      <c r="T24" s="608" t="s">
        <v>72</v>
      </c>
      <c r="U24" s="608" t="s">
        <v>72</v>
      </c>
      <c r="V24" s="608" t="s">
        <v>72</v>
      </c>
      <c r="W24" s="608" t="s">
        <v>72</v>
      </c>
      <c r="X24" s="608" t="s">
        <v>72</v>
      </c>
      <c r="Y24" s="608" t="s">
        <v>72</v>
      </c>
    </row>
    <row r="25" spans="1:25" ht="35.85" customHeight="1" thickBot="1" x14ac:dyDescent="0.3">
      <c r="A25" s="1082" t="s">
        <v>73</v>
      </c>
      <c r="B25" s="603">
        <v>21</v>
      </c>
      <c r="C25" s="604" t="s">
        <v>74</v>
      </c>
      <c r="D25" s="605" t="s">
        <v>28</v>
      </c>
      <c r="E25" s="608" t="s">
        <v>75</v>
      </c>
      <c r="F25" s="608" t="s">
        <v>75</v>
      </c>
      <c r="G25" s="608" t="s">
        <v>75</v>
      </c>
      <c r="H25" s="608" t="s">
        <v>75</v>
      </c>
      <c r="I25" s="608" t="s">
        <v>75</v>
      </c>
      <c r="J25" s="608" t="s">
        <v>75</v>
      </c>
      <c r="K25" s="608" t="s">
        <v>75</v>
      </c>
      <c r="L25" s="608" t="s">
        <v>75</v>
      </c>
      <c r="M25" s="608" t="s">
        <v>75</v>
      </c>
      <c r="N25" s="608" t="s">
        <v>75</v>
      </c>
      <c r="O25" s="608" t="s">
        <v>75</v>
      </c>
      <c r="P25" s="608" t="s">
        <v>75</v>
      </c>
      <c r="Q25" s="608" t="s">
        <v>75</v>
      </c>
      <c r="R25" s="608" t="s">
        <v>75</v>
      </c>
      <c r="S25" s="608" t="s">
        <v>75</v>
      </c>
      <c r="T25" s="608" t="s">
        <v>75</v>
      </c>
      <c r="U25" s="608" t="s">
        <v>75</v>
      </c>
      <c r="V25" s="608" t="s">
        <v>75</v>
      </c>
      <c r="W25" s="608" t="s">
        <v>75</v>
      </c>
      <c r="X25" s="608" t="s">
        <v>75</v>
      </c>
      <c r="Y25" s="608" t="s">
        <v>75</v>
      </c>
    </row>
    <row r="26" spans="1:25" ht="35.85" customHeight="1" thickBot="1" x14ac:dyDescent="0.3">
      <c r="A26" s="1082"/>
      <c r="B26" s="603">
        <v>22</v>
      </c>
      <c r="C26" s="607" t="s">
        <v>76</v>
      </c>
      <c r="D26" s="608" t="s">
        <v>28</v>
      </c>
      <c r="E26" s="605" t="s">
        <v>77</v>
      </c>
      <c r="F26" s="605" t="s">
        <v>77</v>
      </c>
      <c r="G26" s="605" t="s">
        <v>77</v>
      </c>
      <c r="H26" s="605" t="s">
        <v>77</v>
      </c>
      <c r="I26" s="605" t="s">
        <v>77</v>
      </c>
      <c r="J26" s="605" t="s">
        <v>77</v>
      </c>
      <c r="K26" s="605" t="s">
        <v>77</v>
      </c>
      <c r="L26" s="605" t="s">
        <v>77</v>
      </c>
      <c r="M26" s="605" t="s">
        <v>77</v>
      </c>
      <c r="N26" s="605" t="s">
        <v>77</v>
      </c>
      <c r="O26" s="605" t="s">
        <v>77</v>
      </c>
      <c r="P26" s="605" t="s">
        <v>77</v>
      </c>
      <c r="Q26" s="605" t="s">
        <v>77</v>
      </c>
      <c r="R26" s="605" t="s">
        <v>77</v>
      </c>
      <c r="S26" s="605" t="s">
        <v>77</v>
      </c>
      <c r="T26" s="605" t="s">
        <v>77</v>
      </c>
      <c r="U26" s="605" t="s">
        <v>77</v>
      </c>
      <c r="V26" s="605" t="s">
        <v>77</v>
      </c>
      <c r="W26" s="605" t="s">
        <v>77</v>
      </c>
      <c r="X26" s="606" t="s">
        <v>77</v>
      </c>
      <c r="Y26" s="605" t="s">
        <v>77</v>
      </c>
    </row>
    <row r="27" spans="1:25" ht="35.85" customHeight="1" thickBot="1" x14ac:dyDescent="0.3">
      <c r="A27" s="1064" t="s">
        <v>78</v>
      </c>
      <c r="B27" s="603">
        <v>23</v>
      </c>
      <c r="C27" s="604" t="s">
        <v>79</v>
      </c>
      <c r="D27" s="605" t="s">
        <v>28</v>
      </c>
      <c r="E27" s="608" t="s">
        <v>80</v>
      </c>
      <c r="F27" s="608" t="s">
        <v>80</v>
      </c>
      <c r="G27" s="608" t="s">
        <v>80</v>
      </c>
      <c r="H27" s="608" t="s">
        <v>80</v>
      </c>
      <c r="I27" s="608" t="s">
        <v>80</v>
      </c>
      <c r="J27" s="608" t="s">
        <v>80</v>
      </c>
      <c r="K27" s="608" t="s">
        <v>80</v>
      </c>
      <c r="L27" s="608" t="s">
        <v>80</v>
      </c>
      <c r="M27" s="608" t="s">
        <v>80</v>
      </c>
      <c r="N27" s="608" t="s">
        <v>80</v>
      </c>
      <c r="O27" s="608" t="s">
        <v>80</v>
      </c>
      <c r="P27" s="608" t="s">
        <v>80</v>
      </c>
      <c r="Q27" s="608" t="s">
        <v>80</v>
      </c>
      <c r="R27" s="608" t="s">
        <v>80</v>
      </c>
      <c r="S27" s="608" t="s">
        <v>80</v>
      </c>
      <c r="T27" s="608" t="s">
        <v>80</v>
      </c>
      <c r="U27" s="608" t="s">
        <v>80</v>
      </c>
      <c r="V27" s="608" t="s">
        <v>80</v>
      </c>
      <c r="W27" s="608" t="s">
        <v>80</v>
      </c>
      <c r="X27" s="608" t="s">
        <v>80</v>
      </c>
      <c r="Y27" s="608" t="s">
        <v>80</v>
      </c>
    </row>
    <row r="29" spans="1:25" x14ac:dyDescent="0.25">
      <c r="D29" s="1078"/>
    </row>
  </sheetData>
  <mergeCells count="8">
    <mergeCell ref="A18:A19"/>
    <mergeCell ref="A21:A24"/>
    <mergeCell ref="E3:Y3"/>
    <mergeCell ref="A25:A26"/>
    <mergeCell ref="A5:A9"/>
    <mergeCell ref="A10:A13"/>
    <mergeCell ref="A14:A17"/>
    <mergeCell ref="A3:D3"/>
  </mergeCells>
  <hyperlinks>
    <hyperlink ref="D15" r:id="rId1" xr:uid="{A3DE1D64-4C6A-4A39-9CE5-74CA85248A94}"/>
    <hyperlink ref="D17" r:id="rId2" xr:uid="{2C35952F-ECBD-4671-8CC6-36C9C0EC07B4}"/>
    <hyperlink ref="D16" r:id="rId3" xr:uid="{BD401A35-B1CD-4157-B059-6D6F63B323E3}"/>
    <hyperlink ref="D19" r:id="rId4" xr:uid="{26D6E4E8-FFA6-4F4E-8D27-1517B16B7470}"/>
    <hyperlink ref="D25" r:id="rId5" xr:uid="{1FC69794-BA80-44C8-8ABF-249BF0862749}"/>
    <hyperlink ref="D26" r:id="rId6" xr:uid="{66C5ED07-7A87-47AA-AF9E-11DBCE0DA5FD}"/>
    <hyperlink ref="D27" r:id="rId7" xr:uid="{71D30647-D20C-4D82-8A96-771D3F0B2410}"/>
    <hyperlink ref="E5" location="CENTRO!B3" display="I.1" xr:uid="{6FF35879-D954-4B58-BE8A-6B7C0C8E8A07}"/>
    <hyperlink ref="E7" location="CENTRO!B31" display="I.3" xr:uid="{2C7F279C-5104-471A-B750-0B867BC74A05}"/>
    <hyperlink ref="E8" location="CENTRO!B36" display="I.4" xr:uid="{9A3D4A72-CA66-4024-8B6B-351FB5081EDB}"/>
    <hyperlink ref="E9" location="CENTRO!B41" display="I.5" xr:uid="{860EC0D8-7126-4A82-8228-D59E7DBA3AE4}"/>
    <hyperlink ref="E10" location="CENTRO!B47" display="I.6" xr:uid="{361AD98A-7465-4646-BCA0-594A11E8BDBD}"/>
    <hyperlink ref="E11" location="CENTRO!B52" display="I.7" xr:uid="{FD11BF5C-31D3-4E7D-ACFF-ABD2560E6F05}"/>
    <hyperlink ref="E13" location="CENTRO!B62" display="I.9" xr:uid="{F03DA659-5F72-40DF-B6E4-A97F2BE98079}"/>
    <hyperlink ref="E14" location="CENTRO!B317" display="I.10." xr:uid="{07661F84-E3BC-432A-9D39-8F25361AD4DD}"/>
    <hyperlink ref="E15" location="CENTRO!B322" display="I.11" xr:uid="{DDE2C5E4-84C0-4E61-96B1-A03F79625B19}"/>
    <hyperlink ref="E16" location="CENTRO!B327" display="I.12" xr:uid="{8FA610FE-0F6B-4213-9B6C-75C557E4EAF9}"/>
    <hyperlink ref="E17" location="CENTRO!B337" display="I.13" xr:uid="{9E89D38C-FD59-44C2-96C7-20DCD8F09251}"/>
    <hyperlink ref="E18" location="CENTRO!B343" display="I.14" xr:uid="{4D07DEBE-B2F2-4BAA-9CB9-E5F454338002}"/>
    <hyperlink ref="E19" location="CENTRO!B347" display="I.15" xr:uid="{3F5770F7-E727-4D70-967E-72BF2CB0A966}"/>
    <hyperlink ref="E20" location="CENTRO!B352" display="I.16" xr:uid="{ACCD3055-1FFF-4610-81C5-22A9A873C218}"/>
    <hyperlink ref="E21" location="CENTRO!B362" display="I.17" xr:uid="{27A8492E-26C5-4DA9-B653-2615F33B7F34}"/>
    <hyperlink ref="E22" location="CENTRO!B372" display="I.18" xr:uid="{3C54E31C-2F15-4D39-B3C0-E40263747A2A}"/>
    <hyperlink ref="E23" location="CENTRO!B408" display="I.19" xr:uid="{ED73EE67-017A-48B2-BF76-31133B3701F0}"/>
    <hyperlink ref="F5" location="ARGANZUELA!B3" display="I.1" xr:uid="{78110EAC-5171-4E49-9DFC-28A6A96CF04F}"/>
    <hyperlink ref="F6" location="ARGANZUELA!B8" display="I.2" xr:uid="{11C704AD-6EAF-47D9-9CED-939D2C797300}"/>
    <hyperlink ref="F7" location="ARGANZUELA!B31" display="I.3" xr:uid="{E0E94F9E-F213-47CB-8FDA-B7A67F535243}"/>
    <hyperlink ref="F8" location="ARGANZUELA!B36" display="I.4" xr:uid="{FC0F709F-6537-4402-9517-36C717F16CE3}"/>
    <hyperlink ref="F9" location="ARGANZUELA!B41" display="I.5" xr:uid="{1B574C4F-57E6-40C2-850F-CAAF8E09229D}"/>
    <hyperlink ref="F10" location="ARGANZUELA!B47" display="I.6" xr:uid="{9F82ED99-727C-408F-8946-E1A0B7BADADC}"/>
    <hyperlink ref="F11" location="ARGANZUELA!B52" display="I.7" xr:uid="{C67945CE-76C3-4FA6-9A4B-4A53C1929799}"/>
    <hyperlink ref="F12" location="ARGANZUELA!B56" display="I.8" xr:uid="{681F2023-82BC-4CFA-A3E8-1FF7629B2815}"/>
    <hyperlink ref="F13" location="ARGANZUELA!B62" display="I.9" xr:uid="{3CBF1B73-D76E-49C7-A501-81617606DAD2}"/>
    <hyperlink ref="F14" location="ARGANZUELA!B317" display="I.10." xr:uid="{FD68DDCF-D4FA-433D-A07B-49E246A8E548}"/>
    <hyperlink ref="F15" location="ARGANZUELA!B322" display="I.11" xr:uid="{A8FEAF9A-AAE7-439B-AC05-A8CEBB7FB424}"/>
    <hyperlink ref="F16" location="ARGANZUELA!B327" display="I.12" xr:uid="{3654CBCC-F98F-4412-8379-283D67D3F2BC}"/>
    <hyperlink ref="F17" location="ARGANZUELA!B337" display="I.13" xr:uid="{4F229CEF-37FE-48F1-B67E-F5E505F93BF6}"/>
    <hyperlink ref="F18" location="ARGANZUELA!B343" display="I.14" xr:uid="{66954058-9261-4119-9D09-9CDC6C0F770D}"/>
    <hyperlink ref="F19" location="ARGANZUELA!B347" display="I.15" xr:uid="{2FE9534B-86D2-4594-A5CB-78247D18E12F}"/>
    <hyperlink ref="F20" location="ARGANZUELA!B352" display="I.16" xr:uid="{1A157279-DEEB-499E-B671-5748586A355C}"/>
    <hyperlink ref="F21" location="ARGANZUELA!B362" display="I.17" xr:uid="{3CB78887-AABF-4000-A691-73C24C8AEA7E}"/>
    <hyperlink ref="F23" location="ARGANZUELA!B416" display="I.19" xr:uid="{1202B85B-EB35-4091-8885-31C074614E72}"/>
    <hyperlink ref="F24" location="ARGANZUELA!B472" display="I.20" xr:uid="{F7BC1D39-A6C6-465C-A446-4D7AD6C0BBBA}"/>
    <hyperlink ref="F25" location="ARGANZUELA!B480" display="I.21" xr:uid="{F6D22031-B225-4578-A013-AE46673730B4}"/>
    <hyperlink ref="F26" location="ARGANZUELA!B485" display="I.22" xr:uid="{59250E2C-CE9E-43F1-9473-530BF34BB0BE}"/>
    <hyperlink ref="F27" location="ARGANZUELA!B489" display="I.23" xr:uid="{5BAD4835-9080-4153-8AB9-8526B1847D21}"/>
    <hyperlink ref="F22" location="ARGANZUELA!B372" display="I.18" xr:uid="{617E5035-746C-4D53-80F6-F001CC97D569}"/>
    <hyperlink ref="G5" location="RETIRO!B3" display="I.1" xr:uid="{0AEADA0E-B601-439B-B5B3-A4A1A344FC48}"/>
    <hyperlink ref="G6" location="RETIRO!B8" display="I.2" xr:uid="{81FBB94C-4F0E-4E30-9826-1EAC668137B8}"/>
    <hyperlink ref="G7" location="RETIRO!B31" display="I.3" xr:uid="{E1DB4FB7-A7E0-4514-8095-298C43ADBFDC}"/>
    <hyperlink ref="G8" location="RETIRO!B36" display="I.4" xr:uid="{BC57D543-FEA8-4FC5-AB4B-28E342D33D0F}"/>
    <hyperlink ref="G9" location="RETIRO!B41" display="I.5" xr:uid="{59C53A1F-A0F4-45B4-94D1-40D6605273B9}"/>
    <hyperlink ref="G10" location="RETIRO!B47" display="I.6" xr:uid="{44DDEB83-DE77-430C-97B6-4E9E647D5CC9}"/>
    <hyperlink ref="G11" location="RETIRO!B52" display="I.7" xr:uid="{07DADA8B-F574-42BF-970A-AE758061AD91}"/>
    <hyperlink ref="G12" location="RETIRO!B56" display="I.8" xr:uid="{FA7DCB3B-D3DB-4694-8349-6929C385718E}"/>
    <hyperlink ref="G13" location="RETIRO!B62" display="I.9" xr:uid="{61C7232B-1438-4322-B25E-A8F093520BD2}"/>
    <hyperlink ref="G14" location="RETIRO!B317" display="I.10." xr:uid="{9740CB34-93E6-4473-B9DA-392D045A2512}"/>
    <hyperlink ref="G15" location="RETIRO!B322" display="I.11" xr:uid="{48B9BF77-9659-4A20-A295-80ED6A5E8BA1}"/>
    <hyperlink ref="G16" location="RETIRO!B327" display="I.12" xr:uid="{755C307D-C7F2-4C85-827E-3E0B6AD1F945}"/>
    <hyperlink ref="G17" location="RETIRO!B337" display="I.13" xr:uid="{070B17E9-06D1-430C-9CC7-B88C5550BCD4}"/>
    <hyperlink ref="G18" location="RETIRO!B343" display="I.14" xr:uid="{3228D0AA-7CFD-4397-9304-E97D5B8C6925}"/>
    <hyperlink ref="G19" location="RETIRO!B347" display="I.15" xr:uid="{A3FFA71A-6CA1-44BC-A116-E2E3CE2BEB39}"/>
    <hyperlink ref="G20" location="RETIRO!B352" display="I.16" xr:uid="{90A45BB4-7570-4942-99DE-16C60E4486AC}"/>
    <hyperlink ref="G21" location="RETIRO!B362" display="I.17" xr:uid="{52FC4246-0305-4DEC-A819-D33047EFC8E1}"/>
    <hyperlink ref="G22" location="RETIRO!B371" display="I.18" xr:uid="{A331EB69-A2FC-428E-8C75-A13B05003CE5}"/>
    <hyperlink ref="G23" location="RETIRO!B383" display="I.19" xr:uid="{2245FF41-81E7-424D-B690-3A2AB6A7AC80}"/>
    <hyperlink ref="G24" location="RETIRO!B403" display="I.20" xr:uid="{CB48E31D-19A4-4A91-AA1A-E789954D9C92}"/>
    <hyperlink ref="G25" location="RETIRO!B411" display="I.21" xr:uid="{792F2592-C71C-4D37-8C80-F041DD9961D4}"/>
    <hyperlink ref="G26" location="RETIRO!B416" display="I.22" xr:uid="{359B732D-EE68-4DA5-BE39-100868553421}"/>
    <hyperlink ref="G27" location="RETIRO!B420" display="I.23" xr:uid="{DAB84915-12A2-4D5F-AA63-ABB53C8D5EBD}"/>
    <hyperlink ref="H5" location="SALAMANCA!B3" display="I.1" xr:uid="{32DE3C90-62A3-4A7E-90DE-10D2613A9773}"/>
    <hyperlink ref="H6" location="SALAMANCA!B8" display="I.2" xr:uid="{10D34346-4C24-43D9-A6D7-E2FB54A4CE0F}"/>
    <hyperlink ref="H7" location="SALAMANCA!B31" display="I.3" xr:uid="{7AEBE587-21C5-411F-8A96-A566275A9643}"/>
    <hyperlink ref="H8" location="SALAMANCA!B36" display="I.4" xr:uid="{1914C5BE-EDB4-4958-B650-B51586EA2019}"/>
    <hyperlink ref="H9" location="SALAMANCA!B41" display="I.5" xr:uid="{8CF1D48B-AA14-4479-AD8B-17A0234D032E}"/>
    <hyperlink ref="H10" location="SALAMANCA!B47" display="I.6" xr:uid="{97659AF2-E4D4-4362-96D4-A5683764909B}"/>
    <hyperlink ref="H11" location="SALAMANCA!B52" display="I.7" xr:uid="{0AD97534-B131-4463-AD3B-C1F89DB71453}"/>
    <hyperlink ref="H12" location="SALAMANCA!B56" display="I.8" xr:uid="{C2AD3CC5-9991-4608-8EA2-F8D02DE09446}"/>
    <hyperlink ref="H13" location="SALAMANCA!B62" display="I.9" xr:uid="{DBE63670-4CCA-4526-AFDF-63B37E1DF6F9}"/>
    <hyperlink ref="H14" location="SALAMANCA!B317" display="I.10." xr:uid="{C80A6CC0-12CC-452B-B02F-2529A2F08BF7}"/>
    <hyperlink ref="H15" location="SALAMANCA!B322" display="I.11" xr:uid="{40EB18F8-3A91-4228-B6B1-F9417324999D}"/>
    <hyperlink ref="H16" location="SALAMANCA!B327" display="I.12" xr:uid="{62811774-9325-4C80-91CA-74D764EBD575}"/>
    <hyperlink ref="H17" location="SALAMANCA!B337" display="I.13" xr:uid="{47F92917-F54F-4808-BC00-80E7E0DC1E5C}"/>
    <hyperlink ref="H18" location="SALAMANCA!B343" display="I.14" xr:uid="{23841DCD-C594-4030-AAA4-DF84B6488D4B}"/>
    <hyperlink ref="H19" location="SALAMANCA!B347" display="I.15" xr:uid="{3CE89537-4015-422F-80EB-B51B85C3FB95}"/>
    <hyperlink ref="H20" location="SALAMANCA!B352" display="I.16" xr:uid="{EDC6EDC8-BD30-4611-87E8-E1F633619C98}"/>
    <hyperlink ref="H21" location="SALAMANCA!B362" display="I.17" xr:uid="{4689D629-F4DE-4F89-96D1-5BA105154027}"/>
    <hyperlink ref="H22" location="SALAMANCA!B371" display="I.18" xr:uid="{2F219769-94C3-4CA8-8D34-A141721A96A4}"/>
    <hyperlink ref="H23" location="SALAMANCA!B399" display="I.19" xr:uid="{E01CDFFB-6B09-4EF3-930C-E34148F0BCB3}"/>
    <hyperlink ref="H24" location="SALAMANCA!B439" display="I.20" xr:uid="{C5A6FB43-45F0-455B-B003-865EF251C3E0}"/>
    <hyperlink ref="H25" location="SALAMANCA!B447" display="I.21" xr:uid="{22DDE834-1D86-4743-9AEB-74B5694E0E44}"/>
    <hyperlink ref="H26" location="SALAMANCA!B452" display="I.22" xr:uid="{EE260937-3557-4149-9F05-E20B3335DF99}"/>
    <hyperlink ref="H27" location="SALAMANCA!B456" display="I.23" xr:uid="{68F4A460-9ADD-41B5-817E-611C1A74257B}"/>
    <hyperlink ref="I5" location="CHAMARTÍN!B3" display="I.1" xr:uid="{585AE7A9-FF5B-4CC4-9323-7B9CB66DD153}"/>
    <hyperlink ref="I6" location="CHAMARTÍN!B8" display="I.2" xr:uid="{1BE33808-463B-412B-B8D8-77489C593A70}"/>
    <hyperlink ref="I7" location="CHAMARTÍN!B31" display="I.3" xr:uid="{C5599429-0732-4196-ABFB-EF41A390910D}"/>
    <hyperlink ref="I8" location="CHAMARTÍN!B36" display="I.4" xr:uid="{2A9B8BC5-3687-4227-8F24-68705066C7E0}"/>
    <hyperlink ref="I9" location="CHAMARTÍN!B41" display="I.5" xr:uid="{79C210B3-37A3-4F7A-9067-11107FF4ED4A}"/>
    <hyperlink ref="I10" location="CHAMARTÍN!B47" display="I.6" xr:uid="{5A82D3D9-AAEA-4A2C-BF65-75A98F7DB1D3}"/>
    <hyperlink ref="I11" location="CHAMARTÍN!B52" display="I.7" xr:uid="{D52B8A68-2FB3-4144-B6F1-6FE6EC880887}"/>
    <hyperlink ref="I12" location="CHAMARTÍN!B56" display="I.8" xr:uid="{36EC4CAF-C0E4-49E0-BF3D-4EC4C812FFE2}"/>
    <hyperlink ref="I13" location="CHAMARTÍN!B62" display="I.9" xr:uid="{7A7168C2-C867-4F39-84F5-C418B2C354A0}"/>
    <hyperlink ref="I14" location="CHAMARTÍN!B317" display="I.10." xr:uid="{8FB44D4C-36DD-4300-84C6-B9858FC1E76D}"/>
    <hyperlink ref="I15" location="CHAMARTÍN!B322" display="I.11" xr:uid="{04C6D89B-58C1-44A3-BC98-79CE1612F46F}"/>
    <hyperlink ref="I16" location="CHAMARTÍN!B327" display="I.12" xr:uid="{DC7C8E1C-6A31-4DCA-BE4C-EE623E3FD483}"/>
    <hyperlink ref="I17" location="CHAMARTÍN!B337" display="I.13" xr:uid="{BB0D003E-A33B-4FE2-9FEC-BAFE78CCFDCD}"/>
    <hyperlink ref="I18" location="CHAMARTÍN!B343" display="I.14" xr:uid="{41D54583-8B1B-4AFA-A920-17F533BFEA1A}"/>
    <hyperlink ref="I19" location="CHAMARTÍN!B347" display="I.15" xr:uid="{49BC5ADB-7D3B-4460-8F30-41BA7193D961}"/>
    <hyperlink ref="I20" location="CHAMARTÍN!B352" display="I.16" xr:uid="{AAC1BE82-54C3-44F1-ABD5-0CDC97AE2F9F}"/>
    <hyperlink ref="I21" location="CHAMARTÍN!B362" display="I.17" xr:uid="{D4B60125-8429-41C6-9FF5-02EA7F047B8B}"/>
    <hyperlink ref="I22" location="CHAMARTÍN!B371" display="I.18" xr:uid="{77A13B72-4F93-41B2-AA05-B52919C8FBE6}"/>
    <hyperlink ref="I23" location="CHAMARTÍN!B396" display="I.19" xr:uid="{BA5B1CED-7727-4E17-872B-0DA912D7437F}"/>
    <hyperlink ref="I24" location="CHAMARTÍN!B423" display="I.20" xr:uid="{9658A578-19A3-4AEC-8D60-A480AD095484}"/>
    <hyperlink ref="I25" location="CHAMARTÍN!B431" display="I.21" xr:uid="{061617A0-6EB5-4A60-B228-B63B5AC57C87}"/>
    <hyperlink ref="I26" location="CHAMARTÍN!B437" display="I.22" xr:uid="{ADBF58D1-EE9A-4283-808E-58BF2307B7D8}"/>
    <hyperlink ref="I27" location="CHAMARTÍN!B440" display="I.23" xr:uid="{BF26752F-C963-420A-B7EF-3AC7BDD197F5}"/>
    <hyperlink ref="J5" location="TETUÁN!B3" display="I.1" xr:uid="{E287A2CC-142D-439E-8416-A4D000DCBD36}"/>
    <hyperlink ref="J6" location="TETUÁN!B8" display="I.2" xr:uid="{46F62079-40CD-4376-9ECC-A7AED1090FC2}"/>
    <hyperlink ref="J7" location="TETUÁN!B31" display="I.3" xr:uid="{4069416D-44CF-4F9A-9916-93C3DE40ECBC}"/>
    <hyperlink ref="J8" location="TETUÁN!B36" display="I.4" xr:uid="{4F094DDF-195B-4C78-99F6-EDFA63D88DE0}"/>
    <hyperlink ref="J9" location="TETUÁN!B41" display="I.5" xr:uid="{D18FBF2C-E1EE-424E-8A03-6FA2B2904440}"/>
    <hyperlink ref="J10" location="TETUÁN!B47" display="I.6" xr:uid="{83854D70-5644-4D4A-9333-784E7A537786}"/>
    <hyperlink ref="J11" location="TETUÁN!B52" display="I.7" xr:uid="{AB334FA0-3E45-48F1-95E0-623D2BEECBC5}"/>
    <hyperlink ref="J12" location="TETUÁN!B56" display="I.8" xr:uid="{D03A8C85-24F7-4923-9ED0-709D34B8B303}"/>
    <hyperlink ref="J13" location="TETUÁN!B62" display="I.9" xr:uid="{3A800B29-B968-4ADE-BA99-ED44829CEF4D}"/>
    <hyperlink ref="J14" location="TETUÁN!B317" display="I.10." xr:uid="{36393C94-1541-4B5C-92B7-73A5D4314E08}"/>
    <hyperlink ref="J15" location="TETUÁN!B322" display="I.11" xr:uid="{4EC27463-8F02-428A-9CA4-DBF4E6E093A5}"/>
    <hyperlink ref="J16" location="TETUÁN!B327" display="I.12" xr:uid="{1B3C198A-4D2E-49A9-A426-249506D5B9EF}"/>
    <hyperlink ref="J17" location="TETUÁN!B337" display="I.13" xr:uid="{0B3DCB94-8792-4E3A-9A62-0E5E87513B78}"/>
    <hyperlink ref="J18" location="TETUÁN!B343" display="I.14" xr:uid="{9D9FEEC4-2B89-4F96-8ADD-E0E3B3B58957}"/>
    <hyperlink ref="J19" location="TETUÁN!B347" display="I.15" xr:uid="{5B6D58BC-6B52-4BB0-8B70-3A0D554F2D4A}"/>
    <hyperlink ref="J20" location="TETUÁN!B352" display="I.16" xr:uid="{EAAEBE8A-F4C6-4F38-9423-2E54B1B6233C}"/>
    <hyperlink ref="J21" location="TETUÁN!B362" display="I.17" xr:uid="{71882CA1-47A2-45C9-A72E-481ABBD86BE8}"/>
    <hyperlink ref="J22" location="TETUÁN!B371" display="I.18" xr:uid="{741908A2-5F95-4326-8890-21DA1EF27360}"/>
    <hyperlink ref="J23" location="TETUÁN!B399" display="I.19" xr:uid="{F97ABB73-A661-40A7-8109-E51417C1A0E7}"/>
    <hyperlink ref="J24" location="TETUÁN!B435" display="I.20" xr:uid="{968D135D-1211-4A0F-B38A-8E1FB9379331}"/>
    <hyperlink ref="J25" location="TETUÁN!B443" display="I.21" xr:uid="{9BBA832A-0F66-4085-AF11-39C25CF4C90A}"/>
    <hyperlink ref="J26" location="TETUÁN!B448" display="I.22" xr:uid="{2827CF0B-DDE4-4832-93C1-53E2A553E5F6}"/>
    <hyperlink ref="J27" location="TETUÁN!B452" display="I.23" xr:uid="{41BC143E-2B30-471C-9B04-4EBA67A85A11}"/>
    <hyperlink ref="K5" location="CHAMBERÍ!B3" display="I.1" xr:uid="{70737910-594E-4B8A-9BC9-8A298F41DECF}"/>
    <hyperlink ref="K6" location="CHAMBERÍ!B8" display="I.2" xr:uid="{E40325D7-022B-41AB-A3F0-E9A264A09C54}"/>
    <hyperlink ref="K7" location="CHAMBERÍ!B31" display="I.3" xr:uid="{8A285C47-5DF2-4552-96B1-76EE4523D2AE}"/>
    <hyperlink ref="K8" location="CHAMBERÍ!B36" display="I.4" xr:uid="{B40111EA-A40A-4488-879D-2FD1D0EEE700}"/>
    <hyperlink ref="K9" location="CHAMBERÍ!B41" display="I.5" xr:uid="{D943BABB-BA74-4A96-8E42-8D7171407E2F}"/>
    <hyperlink ref="K10" location="CHAMBERÍ!B47" display="I.6" xr:uid="{CAD1ED60-66BF-4569-9B60-5DB8BAF1C8A6}"/>
    <hyperlink ref="K11" location="CHAMBERÍ!B52" display="I.7" xr:uid="{9BB397E6-DF12-427C-B48F-156B59320F51}"/>
    <hyperlink ref="K12" location="CHAMBERÍ!B56" display="I.8" xr:uid="{4489B348-31F4-4D84-8DC5-A46960821610}"/>
    <hyperlink ref="K13" location="CHAMBERÍ!B62" display="I.9" xr:uid="{F3E03B4F-AE4B-4D15-B69D-5EA9A3E21097}"/>
    <hyperlink ref="K14" location="CHAMBERÍ!B317" display="I.10." xr:uid="{42A070DB-5136-4C64-9040-273944B091B3}"/>
    <hyperlink ref="K15" location="CHAMBERÍ!B322" display="I.11" xr:uid="{7E65D5C4-B498-4CDD-82E8-B66EF2862AF5}"/>
    <hyperlink ref="K16" location="CHAMBERÍ!B327" display="I.12" xr:uid="{E96CECBA-374D-40C4-ABA0-0BA80A2F95C7}"/>
    <hyperlink ref="K17" location="CHAMBERÍ!B337" display="I.13" xr:uid="{5BD134AE-E40A-4DD4-9E9D-8A61C520260B}"/>
    <hyperlink ref="K18" location="CHAMBERÍ!B343" display="I.14" xr:uid="{66AD5EF3-BB3B-499C-B68A-D2F076AE38EA}"/>
    <hyperlink ref="K19" location="CHAMBERÍ!B347" display="I.15" xr:uid="{7AFF0BCD-F7CC-4E93-ADB4-13BA3F207847}"/>
    <hyperlink ref="K20" location="CHAMBERÍ!B352" display="I.16" xr:uid="{96117147-75E4-4DA3-A9CA-F75E250B859F}"/>
    <hyperlink ref="K21" location="CHAMBERÍ!B362" display="I.17" xr:uid="{03EB66BD-5971-443B-99C0-606145744FA4}"/>
    <hyperlink ref="K22" location="CHAMBERÍ!B372" display="I.18" xr:uid="{EA3444E0-4E6A-4848-8E57-990C0C71CFB0}"/>
    <hyperlink ref="K23" location="CHAMBERÍ!B419" display="I.19" xr:uid="{FD9C33DD-3F2B-4C4C-BFA0-88861223A518}"/>
    <hyperlink ref="K24" location="CHAMBERÍ!B475" display="I.20" xr:uid="{9C5A5FD6-36D3-4E2D-A590-DE7C04562AFA}"/>
    <hyperlink ref="K25" location="CHAMBERÍ!B483" display="I.21" xr:uid="{596E5001-19D8-42E9-90F4-CE70D4E08BC8}"/>
    <hyperlink ref="K26" location="CHAMBERÍ!B488" display="I.22" xr:uid="{1F60602C-DFD9-4F47-864E-5B5F7A64C0F4}"/>
    <hyperlink ref="K27" location="CHAMBERÍ!B492" display="I.23" xr:uid="{9F0EB24D-662A-4868-8987-0BB11299E722}"/>
    <hyperlink ref="L5" location="'FUENCARRAL-EL PARDO'!B3" display="I.1" xr:uid="{9F5837E9-7895-4CF7-80DA-1934934BA725}"/>
    <hyperlink ref="L6" location="'FUENCARRAL-EL PARDO'!B8" display="I.2" xr:uid="{E7A2F7E5-1DCC-4C1F-B453-3030CD2CF9D1}"/>
    <hyperlink ref="L7" location="'FUENCARRAL-EL PARDO'!B31" display="I.3" xr:uid="{D9CD5C38-4A7E-4F4C-ADFB-DA78B8F655FB}"/>
    <hyperlink ref="L8" location="'FUENCARRAL-EL PARDO'!B36" display="I.4" xr:uid="{414EEFD2-A086-407D-8F80-221C78533046}"/>
    <hyperlink ref="L9" location="'FUENCARRAL-EL PARDO'!B41" display="I.5" xr:uid="{9396832A-F2A2-4BBA-ADD9-FEAB00D654DC}"/>
    <hyperlink ref="L10" location="'FUENCARRAL-EL PARDO'!B47" display="I.6" xr:uid="{041ABB5C-9A1F-48CF-B4BA-14F70AC1ECC6}"/>
    <hyperlink ref="L11" location="'FUENCARRAL-EL PARDO'!B52" display="I.7" xr:uid="{3DCC1A13-A08A-4822-925F-407584C4CB74}"/>
    <hyperlink ref="L12" location="'FUENCARRAL-EL PARDO'!B56" display="I.8" xr:uid="{51F04654-5D6C-4AD5-9902-E222AD05DA63}"/>
    <hyperlink ref="L13" location="'FUENCARRAL-EL PARDO'!B62" display="I.9" xr:uid="{5762500A-ABB8-46D5-98EE-F054E4D9719D}"/>
    <hyperlink ref="L14" location="'FUENCARRAL-EL PARDO'!B317" display="I.10." xr:uid="{0FD63055-0EEF-48C4-A02A-91FECB1E2648}"/>
    <hyperlink ref="L15" location="'FUENCARRAL-EL PARDO'!B322" display="I.11" xr:uid="{1188BF7B-CFF7-4E08-B503-CCF6292FB1FB}"/>
    <hyperlink ref="L16" location="'FUENCARRAL-EL PARDO'!B327" display="I.12" xr:uid="{4727004E-6C0F-4C69-AAE9-5CBBDC719526}"/>
    <hyperlink ref="L17" location="'FUENCARRAL-EL PARDO'!B337" display="I.13" xr:uid="{DC433BE5-9DE5-46DB-9FE4-C63611D9F052}"/>
    <hyperlink ref="L18" location="'FUENCARRAL-EL PARDO'!B343" display="I.14" xr:uid="{63A39C26-2489-4B5B-92F3-2C7465331DEE}"/>
    <hyperlink ref="L19" location="'FUENCARRAL-EL PARDO'!B347" display="I.15" xr:uid="{96A40C81-4039-4357-BF3E-0D833547C020}"/>
    <hyperlink ref="L20" location="'FUENCARRAL-EL PARDO'!B352" display="I.16" xr:uid="{4BC71A1C-9162-4BBF-803C-C2E37826E371}"/>
    <hyperlink ref="L21" location="'FUENCARRAL-EL PARDO'!B362" display="I.17" xr:uid="{0953A8E2-F745-4283-A2A7-7CA8E8FAC0C3}"/>
    <hyperlink ref="L22" location="'FUENCARRAL-EL PARDO'!B372" display="I.18" xr:uid="{14988FBD-8D82-4573-9E66-667A6BD3F9CC}"/>
    <hyperlink ref="L23" location="'FUENCARRAL-EL PARDO'!B439" display="I.19" xr:uid="{DA42C155-75F8-4E5C-98DC-0244034F02A6}"/>
    <hyperlink ref="L24" location="'FUENCARRAL-EL PARDO'!B509" display="I.20" xr:uid="{62D22B23-308A-4A39-BA5F-E56265870E9B}"/>
    <hyperlink ref="L25" location="'FUENCARRAL-EL PARDO'!B515" display="I.21" xr:uid="{D7969487-B53D-4562-8C99-0CDB0D198860}"/>
    <hyperlink ref="L26" location="'FUENCARRAL-EL PARDO'!B520" display="I.22" xr:uid="{EB2B45E7-4D5B-4957-88E3-5CD8C1BC57B9}"/>
    <hyperlink ref="L27" location="'FUENCARRAL-EL PARDO'!B524" display="I.23" xr:uid="{0399A332-B5C2-43FC-8005-78A276C964BA}"/>
    <hyperlink ref="M5" location="'MONCLOA-ARAVACA'!B3" display="I.1" xr:uid="{D3DCCBF0-C11B-43AB-988D-9BD6DE452AFE}"/>
    <hyperlink ref="M6" location="'MONCLOA-ARAVACA'!B8" display="I.2" xr:uid="{5390AF66-46E3-4B09-88B5-551FAA4F6680}"/>
    <hyperlink ref="M7" location="'MONCLOA-ARAVACA'!B31" display="I.3" xr:uid="{89AB286F-5BD8-4AD7-83AF-4F87E952D391}"/>
    <hyperlink ref="M8" location="'MONCLOA-ARAVACA'!B36" display="I.4" xr:uid="{EDEE29F5-E32D-44AB-906A-DFB63896C642}"/>
    <hyperlink ref="M9" location="'MONCLOA-ARAVACA'!B41" display="I.5" xr:uid="{46C960C9-EC51-401A-82AC-E8FC2D7C755D}"/>
    <hyperlink ref="M10" location="'MONCLOA-ARAVACA'!B47" display="I.6" xr:uid="{B9963B0E-0392-43D3-B546-06E8BC12A927}"/>
    <hyperlink ref="M11" location="'MONCLOA-ARAVACA'!B52" display="I.7" xr:uid="{2C4D5BA1-3B60-44CE-9A8B-57030F629DDE}"/>
    <hyperlink ref="M12" location="'MONCLOA-ARAVACA'!B56" display="I.8" xr:uid="{DA23EBB8-EA0C-4036-9E90-47DA18D733EA}"/>
    <hyperlink ref="M13" location="'MONCLOA-ARAVACA'!B62" display="I.9" xr:uid="{4655AE93-DB00-4FD5-8781-9C92334B86E1}"/>
    <hyperlink ref="M14" location="'MONCLOA-ARAVACA'!B317" display="I.10." xr:uid="{593D9069-2F5A-4199-BB5A-78086F82BA9D}"/>
    <hyperlink ref="M15" location="'MONCLOA-ARAVACA'!B322" display="I.11" xr:uid="{58A1DB0E-BAC9-4C47-BF02-90EB765CC9A7}"/>
    <hyperlink ref="M16" location="'MONCLOA-ARAVACA'!B327" display="I.12" xr:uid="{369AE9F1-EA14-4E2A-9163-E81C387BE17C}"/>
    <hyperlink ref="M17" location="'MONCLOA-ARAVACA'!B337" display="I.13" xr:uid="{7E6F79E2-E020-4816-882F-C74A2A921B99}"/>
    <hyperlink ref="M18" location="'MONCLOA-ARAVACA'!B343" display="I.14" xr:uid="{87D486EB-CAB3-447A-B35B-4EEED5E94995}"/>
    <hyperlink ref="M19" location="'MONCLOA-ARAVACA'!B347" display="I.15" xr:uid="{470DCCFA-1ECE-401A-859D-E1764F977670}"/>
    <hyperlink ref="M20" location="'MONCLOA-ARAVACA'!B352" display="I.16" xr:uid="{27A78E9D-1C26-4152-9060-561D4E53A670}"/>
    <hyperlink ref="M21" location="'MONCLOA-ARAVACA'!B362" display="I.17" xr:uid="{835A11AC-1364-4E0A-8A14-EE950F7BA122}"/>
    <hyperlink ref="M22" location="'MONCLOA-ARAVACA'!B372" display="I.18" xr:uid="{E66FE761-234D-4DF6-91F1-86D5DBF82796}"/>
    <hyperlink ref="M23" location="'MONCLOA-ARAVACA'!B443" display="I.19" xr:uid="{351E7D0D-1B0C-46F8-AAA1-3085E4E4CA28}"/>
    <hyperlink ref="M24" location="'MONCLOA-ARAVACA'!B531" display="I.20" xr:uid="{1CAF698B-9FB6-4832-ABAC-43F934E67549}"/>
    <hyperlink ref="M25" location="'MONCLOA-ARAVACA'!B539" display="I.21" xr:uid="{91A389D4-2220-4458-BBF5-AB3C17E2E7A3}"/>
    <hyperlink ref="M26" location="'MONCLOA-ARAVACA'!B544" display="I.22" xr:uid="{010BA225-BC21-41B0-AD29-DDE8C5278EFB}"/>
    <hyperlink ref="M27" location="'MONCLOA-ARAVACA'!B548" display="I.23" xr:uid="{8EDBF77E-050B-408F-97DA-AC3034039E25}"/>
    <hyperlink ref="N5" location="LATINA!B3" display="I.1" xr:uid="{EBECAAD4-723E-46E2-A752-400B968C3F71}"/>
    <hyperlink ref="N6" location="LATINA!B8" display="I.2" xr:uid="{0D039A79-9B45-4260-A31F-D0A9DE13937C}"/>
    <hyperlink ref="N7" location="LATINA!B31" display="I.3" xr:uid="{F65F1272-7AC0-4450-A0F9-C90862A7CAA0}"/>
    <hyperlink ref="N8" location="LATINA!B36" display="I.4" xr:uid="{6D22650C-B33F-4F98-9098-189B96780D21}"/>
    <hyperlink ref="N9" location="LATINA!B41" display="I.5" xr:uid="{3501E053-712C-4C92-863D-37A293EB499D}"/>
    <hyperlink ref="N10" location="LATINA!B47" display="I.6" xr:uid="{AA5FF739-599C-4887-8E27-03C778C0C2B3}"/>
    <hyperlink ref="N11" location="LATINA!B52" display="I.7" xr:uid="{2E50EEFD-5116-455C-9D43-1592728D545A}"/>
    <hyperlink ref="N12" location="LATINA!B56" display="I.8" xr:uid="{3ED3C916-64ED-4DE8-8895-6787E3A1F436}"/>
    <hyperlink ref="N13" location="LATINA!B62" display="I.9" xr:uid="{06F56850-740F-4111-A5CF-6CC1FF387404}"/>
    <hyperlink ref="N14" location="LATINA!B317" display="I.10." xr:uid="{CAA1A31B-B757-4F2B-8892-759E50C2D451}"/>
    <hyperlink ref="N15" location="LATINA!B322" display="I.11" xr:uid="{CAB87BED-79A5-44F7-A575-10A92DF6B1E1}"/>
    <hyperlink ref="N16" location="LATINA!B327" display="I.12" xr:uid="{4E5302A2-CF5D-442C-AE60-447C08FAEC02}"/>
    <hyperlink ref="N17" location="LATINA!B337" display="I.13" xr:uid="{2F2F6593-73B0-4674-A58B-97DCD0ABDEDD}"/>
    <hyperlink ref="N18" location="LATINA!B343" display="I.14" xr:uid="{6C79B3FC-0BC5-4162-B6DC-724B7C924326}"/>
    <hyperlink ref="N19" location="LATINA!B347" display="I.15" xr:uid="{B006F354-26DE-4589-ADE2-9E3A47F65BF4}"/>
    <hyperlink ref="N20" location="LATINA!B352" display="I.16" xr:uid="{B02381F6-0A60-4F9B-846C-99F5C3D90E8D}"/>
    <hyperlink ref="N21" location="LATINA!B362" display="I.17" xr:uid="{4F7B6994-B459-4D00-B523-04BC3989A117}"/>
    <hyperlink ref="N23" location="LATINA!B431" display="I.19" xr:uid="{67FE4C5C-2E3C-485A-A6BA-D764909095D2}"/>
    <hyperlink ref="N24" location="LATINA!B483" display="I.20" xr:uid="{9447732D-CA5C-4336-BDD4-D069CE2DA19F}"/>
    <hyperlink ref="N26" location="LATINA!B596" display="I.22" xr:uid="{836CF0D1-9F43-45E5-BE5C-5033E04EDFDA}"/>
    <hyperlink ref="O5" location="CARABANCHEL!B3" display="I.1" xr:uid="{A57BA1A2-E5C5-413D-A910-825C1F269DC6}"/>
    <hyperlink ref="O6" location="CARABANCHEL!B8" display="I.2" xr:uid="{C1CDC3FC-E00F-4E81-8960-64F09F165B01}"/>
    <hyperlink ref="O7" location="CARABANCHEL!B31" display="I.3" xr:uid="{C0874828-83D8-45E0-AEE3-8C8123710A56}"/>
    <hyperlink ref="O8" location="CARABANCHEL!B36" display="I.4" xr:uid="{9305BEDA-FA72-45C1-B624-9AC8D1F88296}"/>
    <hyperlink ref="O9" location="CARABANCHEL!B41" display="I.5" xr:uid="{612F0522-1E16-45EA-B4A4-90D1EFBB4307}"/>
    <hyperlink ref="O10" location="CARABANCHEL!B47" display="I.6" xr:uid="{4C73F7AB-655C-4470-A1A1-05844AD25BB3}"/>
    <hyperlink ref="O11" location="CARABANCHEL!B52" display="I.7" xr:uid="{A295CF87-3967-4549-9B8B-C61AF9FC80B4}"/>
    <hyperlink ref="O12" location="CARABANCHEL!B56" display="I.8" xr:uid="{7344AD6E-3EF8-4983-B304-C9BEEECD884D}"/>
    <hyperlink ref="O13" location="CARABANCHEL!B62" display="I.9" xr:uid="{27278964-045F-4AB4-B2EB-643D9ED9EBB0}"/>
    <hyperlink ref="O14" location="CARABANCHEL!B317" display="I.10." xr:uid="{1EF73F49-AE88-4BE3-982D-F5D280A4132A}"/>
    <hyperlink ref="O15" location="CARABANCHEL!B322" display="I.11" xr:uid="{471FF9BD-7C2D-4AA2-959C-F7F515C54E70}"/>
    <hyperlink ref="O16" location="CARABANCHEL!B327" display="I.12" xr:uid="{61701A29-5EBC-4AC2-8131-96C7B15BA0A4}"/>
    <hyperlink ref="O17" location="CARABANCHEL!B337" display="I.13" xr:uid="{52AC74D7-34B8-46BD-AE14-EC32E72E38C9}"/>
    <hyperlink ref="O18" location="CARABANCHEL!B343" display="I.14" xr:uid="{C0A2C1B0-8E63-42E6-8CD8-69A33B9C8C2C}"/>
    <hyperlink ref="O19" location="CARABANCHEL!B347" display="I.15" xr:uid="{3897865D-7980-4108-9E9A-6D48CC3848D9}"/>
    <hyperlink ref="O20" location="CARABANCHEL!B352" display="I.16" xr:uid="{3E49CF24-6205-4CEA-B070-807B1D32B119}"/>
    <hyperlink ref="O21" location="CARABANCHEL!B362" display="I.17" xr:uid="{6BD218DA-E11B-4987-A099-B9145AA282D2}"/>
    <hyperlink ref="O22" location="CARABANCHEL!B372" display="I.18" xr:uid="{57E027B1-3768-4C51-815B-8B08C0BC375A}"/>
    <hyperlink ref="O23" location="CARABANCHEL!B431" display="I.19" xr:uid="{CAC685CF-0112-4D51-A9DB-574864BEFF22}"/>
    <hyperlink ref="O24" location="CARABANCHEL!B491" display="I.20" xr:uid="{E62A788E-1C95-4361-B627-EF3139FD53B5}"/>
    <hyperlink ref="O25" location="CARABANCHEL!B499" display="I.21" xr:uid="{CC424001-0E48-484B-B6A4-E9F5F20C88CF}"/>
    <hyperlink ref="O26" location="CARABANCHEL!B504" display="I.22" xr:uid="{DCFC9125-5415-440C-AC9C-E3B7BEA88597}"/>
    <hyperlink ref="O27" location="CARABANCHEL!B508" display="I.23" xr:uid="{E4F2CD81-39DF-45E1-8A95-3F24629C4623}"/>
    <hyperlink ref="P5" location="USERA!B3" display="I.1" xr:uid="{99BA6E95-42CA-4FF0-AF36-DFB9181BD843}"/>
    <hyperlink ref="P6" location="USERA!B8" display="I.2" xr:uid="{28DA6FC2-02B8-4F9B-9C79-34FAFD828906}"/>
    <hyperlink ref="P7" location="USERA!B31" display="I.3" xr:uid="{70D2DDE2-BFDB-47B3-9EF1-E5B308B3C504}"/>
    <hyperlink ref="P8" location="USERA!B36" display="I.4" xr:uid="{8F0A5CFF-30E2-418E-9822-7CF8C26AB762}"/>
    <hyperlink ref="P9" location="USERA!B41" display="I.5" xr:uid="{BAB1AE87-E1AC-4A64-BCDE-A979EDABBA43}"/>
    <hyperlink ref="P10" location="USERA!B47" display="I.6" xr:uid="{0AC030A5-425F-4B1A-AC7C-59FFCA6F1FA7}"/>
    <hyperlink ref="P11" location="USERA!B52" display="I.7" xr:uid="{EA480527-EBA5-4DE9-AE62-604C25C5D410}"/>
    <hyperlink ref="P12" location="USERA!B56" display="I.8" xr:uid="{90A50C94-2075-4E76-8BD2-F4A5997E3098}"/>
    <hyperlink ref="P13" location="USERA!B62" display="I.9" xr:uid="{248A337F-0BDC-4577-95CB-43908108C115}"/>
    <hyperlink ref="P14" location="USERA!B317" display="I.10." xr:uid="{514AC96B-D4BD-455C-A580-DC056961E4BD}"/>
    <hyperlink ref="P15" location="USERA!B322" display="I.11" xr:uid="{0583C797-8771-4B86-94DC-01D35295EDA1}"/>
    <hyperlink ref="P16" location="USERA!B327" display="I.12" xr:uid="{1EBE2567-D434-4B9B-BEAB-B2959C3DD4E6}"/>
    <hyperlink ref="P17" location="USERA!B337" display="I.13" xr:uid="{413D71ED-619B-4452-A389-1FDE4FA807F3}"/>
    <hyperlink ref="P18" location="USERA!B343" display="I.14" xr:uid="{E5AD03B5-4125-4F4B-8BAA-135DF3D3A55C}"/>
    <hyperlink ref="P19" location="USERA!B347" display="I.15" xr:uid="{1278180E-553F-47AD-974C-F836E7BC470E}"/>
    <hyperlink ref="P20" location="USERA!B352" display="I.16" xr:uid="{CB320219-2424-47AB-B84D-AE07CD4C573E}"/>
    <hyperlink ref="P21" location="USERA!B362" display="I.17" xr:uid="{2A2E7D7B-F99F-4921-8BB2-5E31B9420BC6}"/>
    <hyperlink ref="P22" location="USERA!B372" display="I.18" xr:uid="{88E2C966-89D5-44F9-8418-8344720AFA69}"/>
    <hyperlink ref="P23" location="USERA!B427" display="I.19" xr:uid="{B9008866-93C5-42A1-B17D-CAC8BB28B1F3}"/>
    <hyperlink ref="P24" location="USERA!B481" display="I.20" xr:uid="{5342AE7B-46B2-41BF-A147-32F8507BC123}"/>
    <hyperlink ref="P25" location="USERA!B483" display="I.21" xr:uid="{AF05D43D-9410-4550-8ACC-FDC07EA2A825}"/>
    <hyperlink ref="P26" location="USERA!B488" display="I.22" xr:uid="{46C4AAD0-CD69-4F68-98A2-209927EE9721}"/>
    <hyperlink ref="P27" location="USERA!B488" display="I.23" xr:uid="{C61E2D5B-F353-412B-8DC8-EE1A79985758}"/>
    <hyperlink ref="Q5" location="'PUENTE DE VALLECAS'!B3" display="I.1" xr:uid="{37E587D2-35DC-4E5F-B7CF-B662F0021F16}"/>
    <hyperlink ref="Q6" location="'PUENTE DE VALLECAS'!B8" display="I.2" xr:uid="{8E377208-10E9-462E-A03F-4E56FD00CBC5}"/>
    <hyperlink ref="Q7" location="'PUENTE DE VALLECAS'!B31" display="I.3" xr:uid="{356DFDBC-607A-4908-9D9E-210F046F9C4F}"/>
    <hyperlink ref="Q8" location="'PUENTE DE VALLECAS'!B36" display="I.4" xr:uid="{0D83A0E7-8C90-4EFB-9C86-A61853F8ECA2}"/>
    <hyperlink ref="Q9" location="'PUENTE DE VALLECAS'!B41" display="I.5" xr:uid="{4BB74B8A-B418-4DBB-99C9-AD568C16F0F7}"/>
    <hyperlink ref="Q10" location="'PUENTE DE VALLECAS'!B47" display="I.6" xr:uid="{C28A357B-1D23-47E9-A087-3E84AC1B3AFE}"/>
    <hyperlink ref="Q11" location="'PUENTE DE VALLECAS'!B52" display="I.7" xr:uid="{836D2E7A-CA7F-4CAE-9F76-23DB113632BB}"/>
    <hyperlink ref="Q12" location="'PUENTE DE VALLECAS'!B56" display="I.8" xr:uid="{2EC2F178-161F-463F-9A1D-2A1A7DFB87DE}"/>
    <hyperlink ref="Q13" location="'PUENTE DE VALLECAS'!B62" display="I.9" xr:uid="{C5F0E9D2-2D93-47BC-B977-08737248FB69}"/>
    <hyperlink ref="Q14" location="'PUENTE DE VALLECAS'!B317" display="I.10." xr:uid="{C0DBA8AC-DEC1-4A47-B75E-93177D87AF36}"/>
    <hyperlink ref="Q15" location="'PUENTE DE VALLECAS'!B322" display="I.11" xr:uid="{117C879B-6B86-4BB3-A579-3035FE0B11D7}"/>
    <hyperlink ref="Q16" location="'PUENTE DE VALLECAS'!B327" display="I.12" xr:uid="{BE9420EC-3D50-4268-874E-7F334A4D2375}"/>
    <hyperlink ref="Q17" location="'PUENTE DE VALLECAS'!B337" display="I.13" xr:uid="{712C5B32-4349-4EF8-838A-611C3F7FF0FB}"/>
    <hyperlink ref="Q18" location="'PUENTE DE VALLECAS'!B343" display="I.14" xr:uid="{A822462C-7FF5-43FF-8D01-4B588097E1F6}"/>
    <hyperlink ref="Q19" location="'PUENTE DE VALLECAS'!B347" display="I.15" xr:uid="{C07B6520-7E86-45AE-88E6-5D99D059008E}"/>
    <hyperlink ref="Q20" location="'PUENTE DE VALLECAS'!B352" display="I.16" xr:uid="{CAC28320-9B99-4FA7-BF1A-BDF99356D19E}"/>
    <hyperlink ref="Q21" location="'PUENTE DE VALLECAS'!B362" display="I.17" xr:uid="{58405D7E-6500-40BA-927F-D4A57AD83836}"/>
    <hyperlink ref="Q22" location="'PUENTE DE VALLECAS'!B371" display="I.18" xr:uid="{56253CB9-7B84-4525-BFB4-35CA5A74720B}"/>
    <hyperlink ref="Q23" location="'PUENTE DE VALLECAS'!B415" display="I.19" xr:uid="{33315B4D-6397-4EAC-8185-BC63BCD395E4}"/>
    <hyperlink ref="Q24" location="'PUENTE DE VALLECAS'!B471" display="I.20" xr:uid="{754A58A2-E95B-4098-8109-1E23B7ACCEA9}"/>
    <hyperlink ref="Q25" location="'PUENTE DE VALLECAS'!B479" display="I.21" xr:uid="{4B83B92A-03AB-441B-B6AD-BEE5654371AD}"/>
    <hyperlink ref="Q26" location="'PUENTE DE VALLECAS'!B484" display="I.22" xr:uid="{8C01BD8D-8824-4F45-AED5-BF066C2EC485}"/>
    <hyperlink ref="Q27" location="'PUENTE DE VALLECAS'!B488" display="I.23" xr:uid="{3F729849-D7F9-4806-899D-BB8AD4DAF838}"/>
    <hyperlink ref="R5" location="MORATALAZ!B3" display="I.1" xr:uid="{C0233E27-9E08-45D3-8E42-2EAA4D6C5EF4}"/>
    <hyperlink ref="R6" location="MORATALAZ!B8" display="I.2" xr:uid="{B7165BDC-6EFA-4E72-A863-85F63788EF1B}"/>
    <hyperlink ref="R7" location="MORATALAZ!B31" display="I.3" xr:uid="{94C6BBF2-5489-4F52-A35B-0C5FDCD2C1E1}"/>
    <hyperlink ref="R8" location="MORATALAZ!B36" display="I.4" xr:uid="{330863F3-9057-423B-8474-36B95894C726}"/>
    <hyperlink ref="R9" location="MORATALAZ!B41" display="I.5" xr:uid="{CD9DD865-78D9-4D76-9D30-CA936169C1ED}"/>
    <hyperlink ref="R10" location="MORATALAZ!B47" display="I.6" xr:uid="{01BCE3F1-6F22-4C83-9315-D3378CA2D036}"/>
    <hyperlink ref="R11" location="MORATALAZ!B52" display="I.7" xr:uid="{E6B34C4F-9507-404C-BE86-014694DC4B10}"/>
    <hyperlink ref="R12" location="MORATALAZ!B56" display="I.8" xr:uid="{846A7661-809F-46E9-9603-5323E9A6C45C}"/>
    <hyperlink ref="R13" location="MORATALAZ!B62" display="I.9" xr:uid="{53247610-C3C3-40CC-9611-FEC80DE33319}"/>
    <hyperlink ref="R14" location="MORATALAZ!B317" display="I.10." xr:uid="{BF4B5218-7928-4F6F-B6CC-1C1464EA0FB1}"/>
    <hyperlink ref="R15" location="MORATALAZ!B322" display="I.11" xr:uid="{42D4AC67-4CF0-4C75-967C-F96DE2E89974}"/>
    <hyperlink ref="R16" location="MORATALAZ!B327" display="I.12" xr:uid="{08EADECF-D48D-4F86-B178-1D83FD6DCD4F}"/>
    <hyperlink ref="R17" location="MORATALAZ!B337" display="I.13" xr:uid="{CD4E8B8D-677B-41AA-8EAD-FA8B7A77723F}"/>
    <hyperlink ref="R18" location="MORATALAZ!B343" display="I.14" xr:uid="{C3A03CF8-4297-46EE-9356-7268C81F12E5}"/>
    <hyperlink ref="R19" location="MORATALAZ!B347" display="I.15" xr:uid="{1F3C41F5-9042-41AC-AAC8-7403EFB46E61}"/>
    <hyperlink ref="R20" location="MORATALAZ!B352" display="I.16" xr:uid="{34124754-A5C7-4130-9393-480A9EB2B71F}"/>
    <hyperlink ref="R21" location="MORATALAZ!B362" display="I.17" xr:uid="{4F4CAAFF-5443-44F6-BD82-81513D424078}"/>
    <hyperlink ref="R22" location="MORATALAZ!B371" display="I.18" xr:uid="{CA756574-3FAC-4AB3-ADC0-8A9FFEEF6195}"/>
    <hyperlink ref="R23" location="MORATALAZ!B399" display="I.19" xr:uid="{5CBCC0A9-B909-4580-BF05-AE7251F8EDE6}"/>
    <hyperlink ref="R24" location="MORATALAZ!B427" display="I.20" xr:uid="{5DE1C1A9-BEC6-44F7-B058-75E21FA5C72F}"/>
    <hyperlink ref="R25" location="MORATALAZ!B435" display="I.21" xr:uid="{F41AB05C-5BBC-4027-819D-7B9C15DF9F0A}"/>
    <hyperlink ref="R26" location="MORATALAZ!B440" display="I.22" xr:uid="{A6F5C887-F816-4C9A-B201-640E0BF236F5}"/>
    <hyperlink ref="R27" location="MORATALAZ!B444" display="I.23" xr:uid="{D545B2A7-FD90-4D40-B67B-C2338CF7FFAE}"/>
    <hyperlink ref="S5" location="'CIUDAD LINEAL'!B3" display="I.1" xr:uid="{C621F384-E04D-422C-8998-50312342D5BD}"/>
    <hyperlink ref="S6" location="'CIUDAD LINEAL'!B8" display="I.2" xr:uid="{27087970-111C-4200-BB03-FA465F7F87A4}"/>
    <hyperlink ref="S7" location="'CIUDAD LINEAL'!B31" display="I.3" xr:uid="{70A7CA16-58FE-4106-94B7-79A289956EFD}"/>
    <hyperlink ref="S8" location="'CIUDAD LINEAL'!B36" display="I.4" xr:uid="{8DB8013D-55FD-42FC-9ED3-38FAA96A1770}"/>
    <hyperlink ref="S9" location="'CIUDAD LINEAL'!B41" display="I.5" xr:uid="{574D5AD7-D4B0-49C6-A5D3-8F1D420CF297}"/>
    <hyperlink ref="S10" location="'CIUDAD LINEAL'!B47" display="I.6" xr:uid="{B564709B-E7B9-4FA8-9622-B3985288FDA4}"/>
    <hyperlink ref="S11" location="'CIUDAD LINEAL'!B52" display="I.7" xr:uid="{54902B68-7E76-4261-A457-BF06FFD0B589}"/>
    <hyperlink ref="S12" location="'CIUDAD LINEAL'!B56" display="I.8" xr:uid="{6CD517C7-4699-46F2-BEE2-5C652E8C71EA}"/>
    <hyperlink ref="S13" location="'CIUDAD LINEAL'!B62" display="I.9" xr:uid="{730D3D48-63C6-4386-A522-18E37500C393}"/>
    <hyperlink ref="S14" location="'CIUDAD LINEAL'!B317" display="I.10." xr:uid="{1702A0BF-1B11-44B5-9A60-D9B7B688106A}"/>
    <hyperlink ref="S15" location="'CIUDAD LINEAL'!B322" display="I.11" xr:uid="{9A6B15E1-3430-4379-BB23-AA417CAA5BEB}"/>
    <hyperlink ref="S16" location="'CIUDAD LINEAL'!B327" display="I.12" xr:uid="{D02CA907-029B-4AD1-A6E7-CF9D38698099}"/>
    <hyperlink ref="S17" location="'CIUDAD LINEAL'!B337" display="I.13" xr:uid="{78556877-8B00-4242-9C6A-683661582C5D}"/>
    <hyperlink ref="S18" location="'CIUDAD LINEAL'!B343" display="I.14" xr:uid="{8BBF0811-7318-4587-AC60-1093AE257557}"/>
    <hyperlink ref="S19" location="'CIUDAD LINEAL'!B347" display="I.15" xr:uid="{5F6B7CF3-4CA0-4B59-AAE0-07EFE88DF9BA}"/>
    <hyperlink ref="S20" location="'CIUDAD LINEAL'!B352" display="I.16" xr:uid="{191DB0C3-FAB5-4C29-80B1-67128155D200}"/>
    <hyperlink ref="S21" location="'CIUDAD LINEAL'!B362" display="I.17" xr:uid="{027ACAAC-140F-4E78-AAF9-D191476D814F}"/>
    <hyperlink ref="S22" location="'CIUDAD LINEAL'!B371" display="I.18" xr:uid="{A72FB5C5-8DEA-4A4F-AE3B-353B9DFB6622}"/>
    <hyperlink ref="S23" location="'CIUDAD LINEAL'!B419" display="I.19" xr:uid="{2657FFA1-D31A-4DE9-B753-3A62512433C0}"/>
    <hyperlink ref="S24" location="'CIUDAD LINEAL'!B479" display="I.20" xr:uid="{E749CACD-C75C-4BD0-A772-43DC1F9D3410}"/>
    <hyperlink ref="S25" location="'CIUDAD LINEAL'!B487" display="I.21" xr:uid="{7175BF62-F3D3-4398-8F24-A92946BB16EB}"/>
    <hyperlink ref="S26" location="'CIUDAD LINEAL'!B492" display="I.22" xr:uid="{090C6300-F26C-4234-A41F-F5A2A5FB949B}"/>
    <hyperlink ref="S27" location="'CIUDAD LINEAL'!B496" display="I.23" xr:uid="{75BF55F8-73E8-4628-B41C-3EBF3C9EA43D}"/>
    <hyperlink ref="T5" location="HORTALEZA!B3" display="I.1" xr:uid="{2B1042BE-DF93-4BF3-AC36-B31880FAFBAC}"/>
    <hyperlink ref="T6" location="HORTALEZA!B8" display="I.2" xr:uid="{E876BFA1-9AC3-45FE-992A-43DDDF5FB1F7}"/>
    <hyperlink ref="T7" location="HORTALEZA!B31" display="I.3" xr:uid="{E6AB7842-89BD-40D2-A44E-7C4E05D91304}"/>
    <hyperlink ref="T8" location="HORTALEZA!B36" display="I.4" xr:uid="{77A9FE22-07D0-4C1C-B2EF-B344A3AA0415}"/>
    <hyperlink ref="T9" location="HORTALEZA!B41" display="I.5" xr:uid="{35E99069-CCF6-4E5D-B783-CBD1182C715B}"/>
    <hyperlink ref="T10" location="HORTALEZA!B47" display="I.6" xr:uid="{EC553F89-E2DA-46DA-8BDF-732DBA545379}"/>
    <hyperlink ref="T11" location="HORTALEZA!B52" display="I.7" xr:uid="{E8D465E6-58E3-4900-A1AF-00C010B410E3}"/>
    <hyperlink ref="T12" location="HORTALEZA!B56" display="I.8" xr:uid="{0DCB143F-121A-4743-9878-12EFED6D6483}"/>
    <hyperlink ref="T13" location="HORTALEZA!B62" display="I.9" xr:uid="{3DAA81F9-C07F-4DC6-8D66-926AC209C6ED}"/>
    <hyperlink ref="T14" location="HORTALEZA!B317" display="I.10." xr:uid="{2ED99369-86D5-4416-AFBB-762AB747AD66}"/>
    <hyperlink ref="T15" location="HORTALEZA!B322" display="I.11" xr:uid="{88931D97-AF25-4F43-8BD5-07376447098C}"/>
    <hyperlink ref="T16" location="HORTALEZA!B327" display="I.12" xr:uid="{2D91871F-9897-49E0-9521-045E2ADCCC5C}"/>
    <hyperlink ref="T17" location="HORTALEZA!B337" display="I.13" xr:uid="{DB711BAA-7368-46DE-A77E-E2016948F7D7}"/>
    <hyperlink ref="T18" location="HORTALEZA!B343" display="I.14" xr:uid="{2ADC1EAA-B324-4FA2-9631-CC989F643AEB}"/>
    <hyperlink ref="T19" location="HORTALEZA!B347" display="I.15" xr:uid="{C68E6A14-2B92-4A98-AAE3-5C712F3039FD}"/>
    <hyperlink ref="T20" location="HORTALEZA!B352" display="I.16" xr:uid="{945E3670-0347-4BA9-B55B-2C4C655612F9}"/>
    <hyperlink ref="T21" location="HORTALEZA!B362" display="I.17" xr:uid="{70FCA55C-35B4-4A8A-9A91-EDD308AC2900}"/>
    <hyperlink ref="T22" location="HORTALEZA!B371" display="I.18" xr:uid="{2B21EC2C-E2CD-4332-9CE9-FE463A6F0F81}"/>
    <hyperlink ref="T23" location="HORTALEZA!B411" display="I.19" xr:uid="{B70C1D72-7FBC-4B3B-9694-749D2222BFC0}"/>
    <hyperlink ref="T24" location="HORTALEZA!B459" display="I.20" xr:uid="{1922C672-A557-45C6-B772-0AD67368DD80}"/>
    <hyperlink ref="T25" location="HORTALEZA!B467" display="I.21" xr:uid="{9B2FA5A5-CDA4-495E-AD00-EC7BD2ABC9B8}"/>
    <hyperlink ref="T26" location="HORTALEZA!B472" display="I.22" xr:uid="{AA127B3B-66FB-404E-AD87-73F9E425D615}"/>
    <hyperlink ref="T27" location="HORTALEZA!B476" display="I.23" xr:uid="{1DD4092E-D0F3-4A5C-8068-03C2427C2512}"/>
    <hyperlink ref="U5" location="VILLAVERDE!B3" display="I.1" xr:uid="{BAFAF816-1A46-47BA-BB32-323277F9D9D9}"/>
    <hyperlink ref="U6" location="VILLAVERDE!B8" display="I.2" xr:uid="{87F9DD46-DE90-4D3D-8DBF-930093CA322B}"/>
    <hyperlink ref="U7" location="VILLAVERDE!B31" display="I.3" xr:uid="{6E3E7615-75D9-47A5-819D-6CE3073DB8D6}"/>
    <hyperlink ref="U8" location="VILLAVERDE!B36" display="I.4" xr:uid="{657170F5-288E-4E00-808C-6FFE235762F0}"/>
    <hyperlink ref="U9" location="VILLAVERDE!B41" display="I.5" xr:uid="{7BC01845-7836-426B-9A95-08101186C9A6}"/>
    <hyperlink ref="U10" location="VILLAVERDE!B47" display="I.6" xr:uid="{56843BD5-0D17-407D-90FC-CB515C28ED9E}"/>
    <hyperlink ref="U11" location="VILLAVERDE!B52" display="I.7" xr:uid="{D3DD00FF-61C4-486C-A645-4727D5ADCEFE}"/>
    <hyperlink ref="U12" location="VILLAVERDE!B56" display="I.8" xr:uid="{BA4D5CFD-74B3-4D95-A411-9958DA44B389}"/>
    <hyperlink ref="U13" location="VILLAVERDE!B62" display="I.9" xr:uid="{17F45684-8E34-4956-9F8E-F2844A306EA0}"/>
    <hyperlink ref="V13" location="'VILLA DE VALLECAS'!B62" display="I.9" xr:uid="{82843F49-DAB0-47C7-ABB2-37EEAFA1E73B}"/>
    <hyperlink ref="W13" location="VICÁLVARO!B62" display="I.9" xr:uid="{61015958-6E41-4280-AC8C-A2BC3F07CF25}"/>
    <hyperlink ref="X13" location="'SAN BLAS-CANILLEJAS'!B62" display="I.9" xr:uid="{50185FA5-A0BD-4E79-BDAF-0C41AC11D78D}"/>
    <hyperlink ref="Y13" location="BARAJAS!B62" display="I.9" xr:uid="{BECBC3AD-BDFC-496B-90AC-84C2C8CEC45F}"/>
    <hyperlink ref="U14" location="VILLAVERDE!B317" display="I.10." xr:uid="{0A0C6004-01B6-47C5-804D-A577FC945977}"/>
    <hyperlink ref="V14" location="'VILLA DE VALLECAS'!B317" display="I.10." xr:uid="{267423BD-61F4-40A0-94E7-DC58E4FE8A28}"/>
    <hyperlink ref="W14" location="VICÁLVARO!B317" display="I.10." xr:uid="{4B565E5B-4E67-462E-BC08-CA44993E13CB}"/>
    <hyperlink ref="X14" location="'SAN BLAS-CANILLEJAS'!B317" display="I.10." xr:uid="{E439610A-740B-4032-B76D-AECFCB3AA1FF}"/>
    <hyperlink ref="Y14" location="BARAJAS!B317" display="I.10." xr:uid="{5FB09ACE-3A67-4EA9-90B1-B74F8E1EA5E1}"/>
    <hyperlink ref="U15" location="VILLAVERDE!B322" display="I.11" xr:uid="{84F451F5-A4AB-44D1-80DE-287A02D0F427}"/>
    <hyperlink ref="V15" location="'VILLA DE VALLECAS'!B322" display="I.11" xr:uid="{801EEA7D-7394-401C-85DA-5CD095FE92DB}"/>
    <hyperlink ref="W15" location="VICÁLVARO!B322" display="I.11" xr:uid="{C1D2FA0D-530E-433D-8DC1-5715AA07E631}"/>
    <hyperlink ref="X15" location="'SAN BLAS-CANILLEJAS'!B322" display="I.11" xr:uid="{8C0720D0-D52C-427E-9753-0DA88F11F51B}"/>
    <hyperlink ref="Y15" location="BARAJAS!B322" display="I.11" xr:uid="{0147229F-EB4B-40F7-B779-93AE413880AE}"/>
    <hyperlink ref="U16" location="VILLAVERDE!B327" display="I.12" xr:uid="{6ECC6858-08C9-4B65-B2C5-D4E9B9CA87DA}"/>
    <hyperlink ref="V16" location="'VILLA DE VALLECAS'!B327" display="I.12" xr:uid="{628C5919-58B6-4287-B9E0-232A77582827}"/>
    <hyperlink ref="W16" location="VICÁLVARO!B327" display="I.12" xr:uid="{0FE62314-2E08-428C-B89A-F17720692200}"/>
    <hyperlink ref="X16" location="'SAN BLAS-CANILLEJAS'!B327" display="I.12" xr:uid="{21E05201-2259-44F3-A020-3C0D08D43496}"/>
    <hyperlink ref="Y16" location="BARAJAS!B327" display="I.12" xr:uid="{2E3F9849-ED6E-4DB7-9740-F75D5286206D}"/>
    <hyperlink ref="U17" location="VILLAVERDE!B337" display="I.13" xr:uid="{4928CAB3-6FEF-4081-882C-C7A1F2D7CDED}"/>
    <hyperlink ref="V17" location="'VILLA DE VALLECAS'!B337" display="I.13" xr:uid="{0B321072-A0BD-41EE-BF3D-5D4AA839D3F1}"/>
    <hyperlink ref="W17" location="VICÁLVARO!B337" display="I.13" xr:uid="{9946C5DB-0911-4CB3-BE47-B2C9F018C982}"/>
    <hyperlink ref="X17" location="'SAN BLAS-CANILLEJAS'!B337" display="I.13" xr:uid="{4A472372-7F4A-408D-B09E-B427E1279916}"/>
    <hyperlink ref="Y17" location="BARAJAS!B337" display="I.13" xr:uid="{82183422-BDF0-4492-9C96-53FDAAC7CD99}"/>
    <hyperlink ref="U18" location="VILLAVERDE!B343" display="I.14" xr:uid="{F63002CA-4DED-4786-8BD3-093C83899D55}"/>
    <hyperlink ref="V18" location="'VILLA DE VALLECAS'!B343" display="I.14" xr:uid="{8B31985D-205C-4E94-8E61-A7C4CD915B75}"/>
    <hyperlink ref="W18" location="VICÁLVARO!B343" display="I.14" xr:uid="{4B9D2EF9-60D3-4F6B-923B-93E8019EA083}"/>
    <hyperlink ref="X18" location="'SAN BLAS-CANILLEJAS'!B343" display="I.14" xr:uid="{76CE6E4E-96B3-4C07-978D-F2CA43AD8746}"/>
    <hyperlink ref="Y18" location="BARAJAS!B343" display="I.14" xr:uid="{933B7BAB-B344-4926-AF00-2BEBA7465024}"/>
    <hyperlink ref="U19" location="VILLAVERDE!B347" display="I.15" xr:uid="{07281220-AA41-456F-BA7D-C6664D126D84}"/>
    <hyperlink ref="V19" location="'VILLA DE VALLECAS'!B347" display="I.15" xr:uid="{0DA1C2C8-F558-4802-883F-E42528372009}"/>
    <hyperlink ref="W19" location="VICÁLVARO!B347" display="I.15" xr:uid="{D9DF3E74-0C01-4DBD-92F4-3366F693FCAD}"/>
    <hyperlink ref="X19" location="'SAN BLAS-CANILLEJAS'!B347" display="I.15" xr:uid="{76975FA3-16DD-43D5-8C75-6F711C3ACBE5}"/>
    <hyperlink ref="Y19" location="BARAJAS!B347" display="I.15" xr:uid="{29AC0204-AE1E-4EA6-8F0B-D5465F5E83CD}"/>
    <hyperlink ref="U20" location="VILLAVERDE!B352" display="I.16" xr:uid="{1E8EE271-CB7F-4F0C-9060-50C61934056F}"/>
    <hyperlink ref="V20" location="'VILLA DE VALLECAS'!B352" display="I.16" xr:uid="{90FA40B8-70B6-4064-B4C6-87E71F010177}"/>
    <hyperlink ref="W20" location="VICÁLVARO!B352" display="I.16" xr:uid="{03FB5D1D-4841-4333-9C45-4F2CF2A33F93}"/>
    <hyperlink ref="X20" location="'SAN BLAS-CANILLEJAS'!B352" display="I.16" xr:uid="{446F0DA5-E09D-4E51-8417-2246C6CA7FC2}"/>
    <hyperlink ref="Y20" location="BARAJAS!B352" display="I.16" xr:uid="{E7A5CBFC-2CCD-4791-81E5-F34D94B419AC}"/>
    <hyperlink ref="U21" location="VILLAVERDE!B362" display="I.17" xr:uid="{F943503D-88C7-48EE-B20A-31DBBF3B8271}"/>
    <hyperlink ref="V21" location="'VILLA DE VALLECAS'!B362" display="I.17" xr:uid="{E451A658-CE8C-4931-B64D-806E27B716DD}"/>
    <hyperlink ref="W21" location="VICÁLVARO!B362" display="I.17" xr:uid="{BFD12908-071F-4D71-92AF-192AE7CF8146}"/>
    <hyperlink ref="X21" location="'SAN BLAS-CANILLEJAS'!B362" display="I.17" xr:uid="{105BC3D1-BDC5-49EC-9980-1BB5E7B46354}"/>
    <hyperlink ref="Y21" location="BARAJAS!B362" display="I.17" xr:uid="{F9F58A74-1999-4280-974A-C15E81A22432}"/>
    <hyperlink ref="U22" location="VILLAVERDE!B371" display="I.18" xr:uid="{7A59E089-0B74-4C29-9EBF-B1D457701D5D}"/>
    <hyperlink ref="V22" location="'VILLA DE VALLECAS'!B371" display="I.18" xr:uid="{7B8F9799-1C6E-45AC-8AA2-E7AA0F1F413C}"/>
    <hyperlink ref="W22" location="VICÁLVARO!B371" display="I.18" xr:uid="{7B0C4349-D5E2-445D-B7C0-88A008DD2E81}"/>
    <hyperlink ref="X22" location="'SAN BLAS-CANILLEJAS'!B372" display="I.18" xr:uid="{A28E28E7-DDB2-457D-A94B-834AF573D151}"/>
    <hyperlink ref="Y22" location="BARAJAS!B371" display="I.18" xr:uid="{F34782CE-00D6-4082-8DEC-EAD35EE9ABDD}"/>
    <hyperlink ref="U23" location="VILLAVERDE!B400" display="I.19" xr:uid="{52938A38-719B-4F89-AB82-A674342D06C5}"/>
    <hyperlink ref="V23" location="'VILLA DE VALLECAS'!B403" display="I.19" xr:uid="{CEBC0B13-91EC-48B2-85FC-5677146265D2}"/>
    <hyperlink ref="W23" location="VICÁLVARO!B400" display="I.19" xr:uid="{E8E48438-5A7A-4C20-96BE-61247EB9880E}"/>
    <hyperlink ref="X23" location="'SAN BLAS-CANILLEJAS'!B452" display="I.19" xr:uid="{BB4BD6A1-D586-4536-9D78-DDEAC03F22E8}"/>
    <hyperlink ref="Y23" location="BARAJAS!B400" display="I.19" xr:uid="{33A42EBC-2081-4291-A568-F255A6C6D74B}"/>
    <hyperlink ref="U24" location="VILLAVERDE!B427" display="I.20" xr:uid="{B5816A80-C83E-4CD2-9913-88FF050B2B4A}"/>
    <hyperlink ref="V24" location="'VILLA DE VALLECAS'!B431" display="I.20" xr:uid="{54822B88-4648-4A5B-8589-5A6C9747E290}"/>
    <hyperlink ref="W24" location="VICÁLVARO!B419" display="I.20" xr:uid="{38A38148-1D77-442E-90DF-FA25B1697F8B}"/>
    <hyperlink ref="X24" location="'SAN BLAS-CANILLEJAS'!B480" display="I.20" xr:uid="{2CC02C92-2386-4E9F-B097-4FC03047FA74}"/>
    <hyperlink ref="Y24" location="BARAJAS!B423" display="I.20" xr:uid="{B4924DF2-AD6E-40D3-A7C9-6C4F77906787}"/>
    <hyperlink ref="U25" location="VILLAVERDE!B435" display="I.21" xr:uid="{E453B6C3-B4E3-4772-AFD0-864DD9FD8BCD}"/>
    <hyperlink ref="V25" location="'VILLA DE VALLECAS'!B439" display="I.21" xr:uid="{1BD555D4-9EAD-4C86-AE18-7135B0F545FB}"/>
    <hyperlink ref="W25" location="VICÁLVARO!B427" display="I.21" xr:uid="{5A29393A-5A8E-4FE8-B865-C7F0E7758251}"/>
    <hyperlink ref="X25" location="'SAN BLAS-CANILLEJAS'!B488" display="I.21" xr:uid="{56F6E7D3-3DB4-48AE-99EB-5D1DCB8BBDD7}"/>
    <hyperlink ref="Y25" location="BARAJAS!B431" display="I.21" xr:uid="{379F4728-B62F-4BEC-B3EE-76AF8EE3BD0F}"/>
    <hyperlink ref="Y27" location="BARAJAS!B440" display="I.23" xr:uid="{4081C2A4-51F7-4AD1-BC32-179D8586DD9D}"/>
    <hyperlink ref="X27" location="'SAN BLAS-CANILLEJAS'!B497" display="I.23" xr:uid="{58F49925-EE37-4A2E-A49B-0E237611A0AA}"/>
    <hyperlink ref="W27" location="VICÁLVARO!B436" display="I.23" xr:uid="{9BF4D615-ADD2-4D09-B77D-211155BC57A7}"/>
    <hyperlink ref="V27" location="'VILLA DE VALLECAS'!B448" display="I.23" xr:uid="{C79F2907-D9F3-49D1-935F-D10EAD0C5F3D}"/>
    <hyperlink ref="U27" location="VILLAVERDE!B444" display="I.23" xr:uid="{371D5207-97C7-488C-A93A-9108DB41BA31}"/>
    <hyperlink ref="V5" location="'VILLA DE VALLECAS'!B3" display="I.1" xr:uid="{83FC86A7-272A-4D21-88A3-5C5BB400B3FF}"/>
    <hyperlink ref="W5" location="VICÁLVARO!B3" display="I.1" xr:uid="{0F0993EA-25AD-47F2-BFB9-6348B573114C}"/>
    <hyperlink ref="X5" location="'SAN BLAS-CANILLEJAS'!B3" display="I.1" xr:uid="{93C209A2-A1EC-4DB3-A931-22FE41B1DB9F}"/>
    <hyperlink ref="Y5" location="BARAJAS!B3" display="I.1" xr:uid="{F53D8883-B738-4EBB-B4C2-96D56E4CB04F}"/>
    <hyperlink ref="V6" location="'VILLA DE VALLECAS'!B8" display="I.2" xr:uid="{26379E21-B7F3-410B-B7D7-BE82598B1A87}"/>
    <hyperlink ref="W6" location="VICÁLVARO!B8" display="I.2" xr:uid="{238AABD8-1760-4DA2-B5FF-66AA224C7EEE}"/>
    <hyperlink ref="X6" location="'SAN BLAS-CANILLEJAS'!B8" display="I.2" xr:uid="{0BB6DA04-F636-4F84-AEC5-7C49F9AFE44D}"/>
    <hyperlink ref="Y6" location="BARAJAS!B8" display="I.2" xr:uid="{84DCB324-E84D-44AE-865C-1C970F846E59}"/>
    <hyperlink ref="V7" location="'VILLA DE VALLECAS'!B31" display="I.3" xr:uid="{5C9BD771-C153-4FFE-BBF1-C477F053D9F3}"/>
    <hyperlink ref="W7" location="VICÁLVARO!B31" display="I.3" xr:uid="{7F3945F4-7024-49FC-8104-451E97706D54}"/>
    <hyperlink ref="X7" location="'SAN BLAS-CANILLEJAS'!B31" display="I.3" xr:uid="{E6D16B6A-E131-4E86-BFDA-6273BEBF9B3D}"/>
    <hyperlink ref="Y7" location="BARAJAS!B31" display="I.3" xr:uid="{CF410FE0-BE4A-452E-9BE7-66F92002C2DC}"/>
    <hyperlink ref="V8" location="'VILLA DE VALLECAS'!B36" display="I.4" xr:uid="{44632A4A-0683-4E72-B9C5-4E3B483ED9CA}"/>
    <hyperlink ref="W8" location="VICÁLVARO!B36" display="I.4" xr:uid="{1F41ADCB-45DF-4164-B88A-EC2F56D9735E}"/>
    <hyperlink ref="V9" location="'VILLA DE VALLECAS'!B41" display="I.5" xr:uid="{D79CF594-9576-4FB6-A1CA-9698D05ADA82}"/>
    <hyperlink ref="W9" location="VICÁLVARO!B41" display="I.5" xr:uid="{D62ED3D1-657C-4060-AD2E-BE99097F94EA}"/>
    <hyperlink ref="X9" location="'SAN BLAS-CANILLEJAS'!B41" display="I.5" xr:uid="{575A1BBE-E720-48C3-A97D-67871142617C}"/>
    <hyperlink ref="Y9" location="BARAJAS!B41" display="I.5" xr:uid="{7E4E7952-AD60-4B73-AD0C-E72017F9A780}"/>
    <hyperlink ref="X8" location="'SAN BLAS-CANILLEJAS'!B36" display="I.4" xr:uid="{636B640E-6BAB-4443-A505-A331B9D91346}"/>
    <hyperlink ref="Y8" location="BARAJAS!B36" display="I.4" xr:uid="{FB1CEAA6-58BC-4888-A363-B08D6AE70B0E}"/>
    <hyperlink ref="V10" location="'VILLA DE VALLECAS'!B47" display="I.6" xr:uid="{CB44ED47-AAFA-41E7-B416-BB02D7D90441}"/>
    <hyperlink ref="W10" location="VICÁLVARO!B47" display="I.6" xr:uid="{42265E20-9666-40B4-9885-419091EFCAEF}"/>
    <hyperlink ref="X10" location="'SAN BLAS-CANILLEJAS'!B47" display="I.6" xr:uid="{E070A0A6-7033-4447-96A6-F6C1F8EE5C29}"/>
    <hyperlink ref="Y10" location="BARAJAS!B47" display="I.6" xr:uid="{A8FC93D1-529F-4792-A557-403742F52A2D}"/>
    <hyperlink ref="V11" location="'VILLA DE VALLECAS'!B52" display="I.7" xr:uid="{84E65C81-951F-45EC-ABA4-65F4B9A7FAE5}"/>
    <hyperlink ref="W11" location="VICÁLVARO!B52" display="I.7" xr:uid="{C501284F-AEB2-4524-8CD0-C7EE0F95B118}"/>
    <hyperlink ref="X11" location="'SAN BLAS-CANILLEJAS'!B52" display="I.7" xr:uid="{E92D90A8-7411-48FE-909A-CA50327951F7}"/>
    <hyperlink ref="Y11" location="BARAJAS!B52" display="I.7" xr:uid="{141C9AB2-D2DA-4C7A-8F9E-E3D112B37926}"/>
    <hyperlink ref="V12" location="'VILLA DE VALLECAS'!B56" display="I.8" xr:uid="{CD35D2EB-8A38-4392-8087-570EB417044F}"/>
    <hyperlink ref="W12" location="VICÁLVARO!B56" display="I.8" xr:uid="{63D11794-2CB6-4AEC-9464-5EB3EEB3104A}"/>
    <hyperlink ref="X12" location="'SAN BLAS-CANILLEJAS'!B56" display="I.8" xr:uid="{3D63A327-C2AB-473F-97C4-C2A8CDBA92F5}"/>
    <hyperlink ref="Y12" location="BARAJAS!B56" display="I.8" xr:uid="{4677D7DC-F50D-4DB4-967F-860CFCF2721C}"/>
    <hyperlink ref="U26" location="VILLAVERDE!B440" display="I.22" xr:uid="{3156678C-160D-48F9-8E2B-0CB2791F8708}"/>
    <hyperlink ref="V26" location="'VILLA DE VALLECAS'!B444" display="I.22" xr:uid="{22AD08B5-5C1F-4212-97AA-EF9A2A54FEC0}"/>
    <hyperlink ref="W26" location="VICÁLVARO!B432" display="I.22" xr:uid="{593A8C53-98AC-43F4-A185-02C33210A772}"/>
    <hyperlink ref="X26" location="'SAN BLAS-CANILLEJAS'!B493" display="I.22" xr:uid="{2DFA1CFF-1B3E-4324-86C0-2BB4D24539C2}"/>
    <hyperlink ref="Y26" location="BARAJAS!B432" display="I.22" xr:uid="{6FD4E950-DECA-4086-8AA4-ABA28D599462}"/>
    <hyperlink ref="N27" location="LATINA!B500" display="I.23" xr:uid="{A051BDEC-F786-48C0-97A9-B7EDFE2B5ECE}"/>
    <hyperlink ref="N25" location="LATINA!B491" display="I.21" xr:uid="{2F35967F-9D30-472A-A3BD-2769002FE755}"/>
    <hyperlink ref="E6" location="CENTRO!B9" display="I.2" xr:uid="{2A9745CC-45DD-47B2-B953-5020473EF870}"/>
    <hyperlink ref="E12" location="CENTRO!B52" display="I.7" xr:uid="{325BEE7F-676E-462A-93B2-90BD89373193}"/>
    <hyperlink ref="E24" location="CENTRO!B460" display="I.20" xr:uid="{2F3DE7B6-F922-410B-8807-CAA8804F2854}"/>
    <hyperlink ref="E26" location="CENTRO!B475" display="I.22" xr:uid="{FA3DB9BF-9BB7-4092-9D85-D4E1102515BF}"/>
    <hyperlink ref="E27" location="CENTRO!B478" display="I.23" xr:uid="{1DE93229-5B3A-41BE-9295-EA6DBF34638F}"/>
    <hyperlink ref="D13" r:id="rId8" xr:uid="{CF42D97C-B867-44B6-B5FE-CCCDCD2A3262}"/>
    <hyperlink ref="D20" r:id="rId9" xr:uid="{64BDAF4D-F578-4B31-8126-4549A4E15ABD}"/>
    <hyperlink ref="D21" r:id="rId10" xr:uid="{AF8A1CF2-12FF-4CE0-9991-91D1A176BEE4}"/>
    <hyperlink ref="D22" r:id="rId11" xr:uid="{6826A636-25D0-48C4-8988-6375B08AC950}"/>
    <hyperlink ref="D23" r:id="rId12" xr:uid="{68A647BF-D11E-4600-8754-35E7A7A069A5}"/>
    <hyperlink ref="D24" r:id="rId13" xr:uid="{4712079C-587B-45E3-B35D-3D0FEF6FDFE9}"/>
    <hyperlink ref="C5" location="'FICHA TÉCNICA'!A3" display="Población total de mujeres y hombres" xr:uid="{DEACC987-DBE8-4AB3-871F-51AF16087011}"/>
    <hyperlink ref="C6" location="'FICHA TÉCNICA'!A9" display="Población por grandes grupos de edad" xr:uid="{E65AC291-6069-4E92-93F7-C7894C3764E5}"/>
    <hyperlink ref="C7" location="'FICHA TÉCNICA'!A17" display="Población extranjera" xr:uid="{5E0D547B-D5AC-4BAC-A645-1D6562205405}"/>
    <hyperlink ref="C8" location="'FICHA TÉCNICA'!A23" display="Hogares unipersonales (65 y + años) " xr:uid="{E6F3E48A-4694-4EB7-8CDE-12DEC3688E29}"/>
    <hyperlink ref="C9" location="'FICHA TÉCNICA'!A29" display="Tasa de monomarentalidad " xr:uid="{4A555505-9E27-4439-A2F3-007E6AABE184}"/>
    <hyperlink ref="C10" location="'FICHA TÉCNICA'!A36" display="Paro registrado" xr:uid="{938B0446-B29E-4462-89C9-C734AF73269E}"/>
    <hyperlink ref="C11" location="'FICHA TÉCNICA'!A43" display="Tasa absoluta de paro" xr:uid="{075E6F25-2300-402C-A67D-331C808C986A}"/>
    <hyperlink ref="C12" location="'FICHA TÉCNICA'!A48" display="Personas inscritas en la Agencia para el Empleo" xr:uid="{1E2D27AD-2CA8-47F5-9046-05D58B8B5DD9}"/>
    <hyperlink ref="C13" location="'FICHA TÉCNICA'!A53" display="Población ocupada según tipo de ocupación" xr:uid="{1D54511D-5BEC-4105-9C7F-004AAF61FE47}"/>
    <hyperlink ref="C14" location="'FICHA TÉCNICA'!A61" display="Importe medio mensual de pensiones contributivas (€)" xr:uid="{C12C7E50-F5D9-4E2F-A134-2302D7A80BAC}"/>
    <hyperlink ref="C15" location="'FICHA TÉCNICA'!A67" display="Porcentaje de la población parada que percibe prestación por desempleo" xr:uid="{B621E717-1893-45CD-B036-FEB33EAE4846}"/>
    <hyperlink ref="C16" location="'FICHA TÉCNICA'!A72" display="Titulares de la Renta Mínima Inserción " xr:uid="{F0EB7935-C53B-46F4-9401-668ACDBE6F1D}"/>
    <hyperlink ref="C17" location="'FICHA TÉCNICA'!A77" display="Personas atendidas en Atención Social Primaria de Centros de Servicios Sociales" xr:uid="{F8E34001-5D2E-4947-83F4-FB808BD85DD8}"/>
    <hyperlink ref="C18" location="'FICHA TÉCNICA'!A83" display="Esperanza de vida al nacer" xr:uid="{62E742A0-4DC2-4A69-9DDA-7D44283ABAC8}"/>
    <hyperlink ref="C19" location="'FICHA TÉCNICA'!A89" display="Personas con discapacidad reconocida" xr:uid="{2149C96F-62C4-4A2F-9C4E-8E6178341CED}"/>
    <hyperlink ref="C20" location="'FICHA TÉCNICA'!A96" display="Población escolarizada en educación infantil de primero y segundo ciclo" xr:uid="{1FF30DB6-2E6E-4E3A-BAE2-F99F8555FC2A}"/>
    <hyperlink ref="C21" location="'FICHA TÉCNICA'!A103" display="Alumnado matriculado en bachillerato de ciencias y tecnología" xr:uid="{0FC24394-43BA-4410-B7DD-0AF5AA46FB33}"/>
    <hyperlink ref="C22" location="'FICHA TÉCNICA'!A108" display="Alumnado matriculado en formación profesional de grado medio por familias profesionales" xr:uid="{FC86CC29-D0F6-498B-8A6E-15AC3A071647}"/>
    <hyperlink ref="C23" location="'FICHA TÉCNICA'!A113" display="Alumnado matriculado en formación profesional de grado superior por familias profesionales" xr:uid="{65DBF4A8-ACFA-4705-A848-B18D25C6E4C1}"/>
    <hyperlink ref="C24" location="'FICHA TÉCNICA'!A118" display="Participantes en escuelas de promoción deportiva" xr:uid="{A6152222-8BD6-4F48-B188-811D7DDF443A}"/>
    <hyperlink ref="C25" location="'FICHA TÉCNICA'!A126" display="Personas inscritas en el Cuerpo de Voluntarios y Voluntarias del Ayuntamiento de Madrid" xr:uid="{01C35916-042F-4367-9152-F9D6B1253A53}"/>
    <hyperlink ref="C26" location="'FICHA TÉCNICA'!A131" display="Ratio de asociaciones de mujeres (%)" xr:uid="{324A0BC8-BC1B-4FD8-93B6-F2338CF6169E}"/>
    <hyperlink ref="C27" location="'FICHA TÉCNICA'!A139" display="Personas implicadas en accidentes de tráfico en la ciudad de Madrid" xr:uid="{7AB4D067-DF0C-4732-AFB7-E641208DDA45}"/>
    <hyperlink ref="E25" location="CENTRO!B468" display="I.21" xr:uid="{F08A912F-ED2D-4575-992B-6565C1CB7CF7}"/>
    <hyperlink ref="D14" r:id="rId14" display="https://app.powerbi.com/links/9TinHhbh3p?ctid=b4532aa6-1895-4964-b9c0-22b14444271b&amp;pbi_source=linkShare" xr:uid="{C643C7F9-87E8-4C4E-B5AB-F01A9EB813B5}"/>
    <hyperlink ref="D18" r:id="rId15" xr:uid="{AC465005-607D-440C-BF83-D517FDA8EFEA}"/>
    <hyperlink ref="D10" r:id="rId16" xr:uid="{81BE0281-3F7C-4A4B-94CE-BC1690F41072}"/>
    <hyperlink ref="D8" r:id="rId17" xr:uid="{C55E3C58-E193-4182-8334-56335EFB9928}"/>
    <hyperlink ref="D9" r:id="rId18" xr:uid="{3D8D5277-B3F4-478D-A887-4748C35F9A7F}"/>
    <hyperlink ref="D6" r:id="rId19" xr:uid="{DE156F5B-89D2-447D-9601-1A0FBE35E353}"/>
    <hyperlink ref="D5" r:id="rId20" xr:uid="{4CBCC991-C52A-44D9-96C9-A56F092174D7}"/>
    <hyperlink ref="D7" r:id="rId21" xr:uid="{BE6032D8-665A-42BF-A2F0-3B2C648E2671}"/>
    <hyperlink ref="N22" location="LATINA!B372" display="I.18" xr:uid="{521B2D13-BB38-4540-BE3C-7ECE1604CACB}"/>
    <hyperlink ref="D11" r:id="rId22" xr:uid="{C4E99EE4-948B-4BEE-8373-60A40E69C127}"/>
    <hyperlink ref="D12" r:id="rId23" xr:uid="{F68C5F64-B981-4805-81D6-67FE26076388}"/>
  </hyperlinks>
  <pageMargins left="0.7" right="0.7" top="0.75" bottom="0.75" header="0.3" footer="0.3"/>
  <pageSetup paperSize="9" orientation="portrait" r:id="rId24"/>
  <drawing r:id="rId2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ACD2E-50D2-4BEC-9284-2C1B3618BFE4}">
  <sheetPr codeName="Hoja10">
    <tabColor theme="8" tint="-0.249977111117893"/>
  </sheetPr>
  <dimension ref="A1:R502"/>
  <sheetViews>
    <sheetView showGridLines="0" topLeftCell="B1" zoomScale="70" zoomScaleNormal="70" workbookViewId="0">
      <pane ySplit="2" topLeftCell="A479" activePane="bottomLeft" state="frozen"/>
      <selection activeCell="F334" sqref="F334"/>
      <selection pane="bottomLeft" activeCell="L489" sqref="L489"/>
    </sheetView>
  </sheetViews>
  <sheetFormatPr baseColWidth="10" defaultColWidth="11.42578125" defaultRowHeight="15.75" x14ac:dyDescent="0.25"/>
  <cols>
    <col min="1" max="1" width="26.5703125" style="205" customWidth="1"/>
    <col min="2" max="2" width="50.5703125" style="205" customWidth="1"/>
    <col min="3" max="4" width="30.5703125" style="205" customWidth="1"/>
    <col min="5" max="12" width="13.5703125" style="205" customWidth="1"/>
    <col min="13" max="13" width="14.5703125" style="11" customWidth="1"/>
    <col min="14" max="14" width="3.42578125" style="11" customWidth="1"/>
    <col min="15" max="15" width="14.5703125" style="11" customWidth="1"/>
    <col min="16" max="16384" width="11.42578125" style="205"/>
  </cols>
  <sheetData>
    <row r="1" spans="1:15" ht="30" customHeight="1" thickTop="1" thickBot="1" x14ac:dyDescent="0.3">
      <c r="A1" s="1044" t="s">
        <v>554</v>
      </c>
      <c r="B1" s="1045"/>
      <c r="C1" s="1045"/>
      <c r="D1" s="1045"/>
      <c r="E1" s="1045"/>
      <c r="F1" s="1045"/>
      <c r="G1" s="1045"/>
      <c r="H1" s="1045"/>
      <c r="I1" s="1045"/>
      <c r="J1" s="1045"/>
      <c r="K1" s="1045"/>
      <c r="L1" s="751"/>
      <c r="M1" s="483" t="s">
        <v>246</v>
      </c>
      <c r="N1" s="480"/>
      <c r="O1" s="481" t="s">
        <v>247</v>
      </c>
    </row>
    <row r="2" spans="1:15" ht="18" customHeight="1" thickTop="1" thickBot="1" x14ac:dyDescent="0.3">
      <c r="A2" s="725" t="s">
        <v>248</v>
      </c>
      <c r="B2" s="725" t="s">
        <v>249</v>
      </c>
      <c r="C2" s="1640"/>
      <c r="D2" s="1641"/>
      <c r="E2" s="754">
        <v>2005</v>
      </c>
      <c r="F2" s="754">
        <v>2010</v>
      </c>
      <c r="G2" s="754">
        <v>2015</v>
      </c>
      <c r="H2" s="754">
        <v>2020</v>
      </c>
      <c r="I2" s="754">
        <v>2021</v>
      </c>
      <c r="J2" s="754">
        <v>2022</v>
      </c>
      <c r="K2" s="754">
        <v>2023</v>
      </c>
      <c r="L2" s="755">
        <v>2024</v>
      </c>
    </row>
    <row r="3" spans="1:15" s="516" customFormat="1" x14ac:dyDescent="0.25">
      <c r="A3" s="1312" t="s">
        <v>26</v>
      </c>
      <c r="B3" s="1202" t="s">
        <v>250</v>
      </c>
      <c r="C3" s="1319" t="s">
        <v>251</v>
      </c>
      <c r="D3" s="1299"/>
      <c r="E3" s="531">
        <v>150714</v>
      </c>
      <c r="F3" s="531">
        <v>145144</v>
      </c>
      <c r="G3" s="531">
        <v>137286</v>
      </c>
      <c r="H3" s="531">
        <v>140866</v>
      </c>
      <c r="I3" s="531">
        <v>138667</v>
      </c>
      <c r="J3" s="531">
        <v>137287</v>
      </c>
      <c r="K3" s="531">
        <v>138204</v>
      </c>
      <c r="L3" s="546">
        <v>141984</v>
      </c>
      <c r="M3" s="11"/>
      <c r="N3" s="64"/>
      <c r="O3" s="64"/>
    </row>
    <row r="4" spans="1:15" x14ac:dyDescent="0.25">
      <c r="A4" s="1312"/>
      <c r="B4" s="1203"/>
      <c r="C4" s="1304" t="s">
        <v>257</v>
      </c>
      <c r="D4" s="1213"/>
      <c r="E4" s="518">
        <v>65304</v>
      </c>
      <c r="F4" s="518">
        <v>62796</v>
      </c>
      <c r="G4" s="518">
        <v>59736</v>
      </c>
      <c r="H4" s="518">
        <v>62136</v>
      </c>
      <c r="I4" s="518">
        <v>61313</v>
      </c>
      <c r="J4" s="518">
        <v>60867</v>
      </c>
      <c r="K4" s="518">
        <v>61149</v>
      </c>
      <c r="L4" s="523">
        <v>62918</v>
      </c>
    </row>
    <row r="5" spans="1:15" x14ac:dyDescent="0.25">
      <c r="A5" s="1312"/>
      <c r="B5" s="1203"/>
      <c r="C5" s="1304" t="s">
        <v>263</v>
      </c>
      <c r="D5" s="1213"/>
      <c r="E5" s="518">
        <v>85410</v>
      </c>
      <c r="F5" s="518">
        <v>82348</v>
      </c>
      <c r="G5" s="518">
        <v>77550</v>
      </c>
      <c r="H5" s="518">
        <v>78730</v>
      </c>
      <c r="I5" s="518">
        <v>77354</v>
      </c>
      <c r="J5" s="518">
        <v>76420</v>
      </c>
      <c r="K5" s="518">
        <v>77055</v>
      </c>
      <c r="L5" s="523">
        <v>79066</v>
      </c>
    </row>
    <row r="6" spans="1:15" x14ac:dyDescent="0.25">
      <c r="A6" s="1312"/>
      <c r="B6" s="1638"/>
      <c r="C6" s="1425" t="s">
        <v>269</v>
      </c>
      <c r="D6" s="1215"/>
      <c r="E6" s="519">
        <f>+E5-E4</f>
        <v>20106</v>
      </c>
      <c r="F6" s="519">
        <f t="shared" ref="F6:L6" si="0">+F5-F4</f>
        <v>19552</v>
      </c>
      <c r="G6" s="519">
        <f t="shared" si="0"/>
        <v>17814</v>
      </c>
      <c r="H6" s="519">
        <f t="shared" si="0"/>
        <v>16594</v>
      </c>
      <c r="I6" s="519">
        <f t="shared" si="0"/>
        <v>16041</v>
      </c>
      <c r="J6" s="519">
        <f t="shared" si="0"/>
        <v>15553</v>
      </c>
      <c r="K6" s="519">
        <f t="shared" si="0"/>
        <v>15906</v>
      </c>
      <c r="L6" s="524">
        <f t="shared" si="0"/>
        <v>16148</v>
      </c>
    </row>
    <row r="7" spans="1:15" ht="16.5" thickBot="1" x14ac:dyDescent="0.3">
      <c r="A7" s="1312"/>
      <c r="B7" s="1639"/>
      <c r="C7" s="1353" t="s">
        <v>270</v>
      </c>
      <c r="D7" s="1178"/>
      <c r="E7" s="525">
        <f>E5/E3*100</f>
        <v>56.670249611847602</v>
      </c>
      <c r="F7" s="525">
        <f t="shared" ref="F7:L7" si="1">F5/F3*100</f>
        <v>56.73538003637767</v>
      </c>
      <c r="G7" s="525">
        <f t="shared" si="1"/>
        <v>56.487915737948512</v>
      </c>
      <c r="H7" s="525">
        <f t="shared" si="1"/>
        <v>55.889994746780623</v>
      </c>
      <c r="I7" s="525">
        <f t="shared" si="1"/>
        <v>55.784000519229529</v>
      </c>
      <c r="J7" s="525">
        <f t="shared" si="1"/>
        <v>55.664411051301286</v>
      </c>
      <c r="K7" s="525">
        <f t="shared" si="1"/>
        <v>55.754536771728745</v>
      </c>
      <c r="L7" s="526">
        <f t="shared" si="1"/>
        <v>55.68655623168808</v>
      </c>
    </row>
    <row r="8" spans="1:15" x14ac:dyDescent="0.25">
      <c r="A8" s="1312"/>
      <c r="B8" s="1202" t="s">
        <v>271</v>
      </c>
      <c r="C8" s="1300" t="s">
        <v>257</v>
      </c>
      <c r="D8" s="168" t="s">
        <v>272</v>
      </c>
      <c r="E8" s="521">
        <v>65304</v>
      </c>
      <c r="F8" s="521">
        <v>62796</v>
      </c>
      <c r="G8" s="521">
        <v>59736</v>
      </c>
      <c r="H8" s="521">
        <v>62136</v>
      </c>
      <c r="I8" s="521">
        <v>61313</v>
      </c>
      <c r="J8" s="521">
        <v>60867</v>
      </c>
      <c r="K8" s="521">
        <v>61149</v>
      </c>
      <c r="L8" s="522">
        <v>62918</v>
      </c>
    </row>
    <row r="9" spans="1:15" x14ac:dyDescent="0.25">
      <c r="A9" s="1312"/>
      <c r="B9" s="1203"/>
      <c r="C9" s="1301"/>
      <c r="D9" s="164" t="s">
        <v>275</v>
      </c>
      <c r="E9" s="518">
        <v>8376</v>
      </c>
      <c r="F9" s="518">
        <v>8030</v>
      </c>
      <c r="G9" s="518">
        <v>7681</v>
      </c>
      <c r="H9" s="518">
        <v>7616</v>
      </c>
      <c r="I9" s="518">
        <v>7496</v>
      </c>
      <c r="J9" s="518">
        <v>7322</v>
      </c>
      <c r="K9" s="518">
        <v>6696</v>
      </c>
      <c r="L9" s="523">
        <v>6734</v>
      </c>
    </row>
    <row r="10" spans="1:15" x14ac:dyDescent="0.25">
      <c r="A10" s="1312"/>
      <c r="B10" s="1203"/>
      <c r="C10" s="1301"/>
      <c r="D10" s="164" t="s">
        <v>282</v>
      </c>
      <c r="E10" s="518">
        <v>45691</v>
      </c>
      <c r="F10" s="518">
        <v>43558</v>
      </c>
      <c r="G10" s="518">
        <v>40446</v>
      </c>
      <c r="H10" s="518">
        <v>42475</v>
      </c>
      <c r="I10" s="518">
        <v>41804</v>
      </c>
      <c r="J10" s="518">
        <v>41487</v>
      </c>
      <c r="K10" s="518">
        <v>42310</v>
      </c>
      <c r="L10" s="523">
        <v>43813</v>
      </c>
    </row>
    <row r="11" spans="1:15" x14ac:dyDescent="0.25">
      <c r="A11" s="1312"/>
      <c r="B11" s="1203"/>
      <c r="C11" s="1301"/>
      <c r="D11" s="164" t="s">
        <v>288</v>
      </c>
      <c r="E11" s="518">
        <v>11234</v>
      </c>
      <c r="F11" s="518">
        <v>11207</v>
      </c>
      <c r="G11" s="518">
        <v>11609</v>
      </c>
      <c r="H11" s="518">
        <v>12045</v>
      </c>
      <c r="I11" s="518">
        <v>12013</v>
      </c>
      <c r="J11" s="518">
        <v>12058</v>
      </c>
      <c r="K11" s="518">
        <v>12143</v>
      </c>
      <c r="L11" s="523">
        <v>12371</v>
      </c>
    </row>
    <row r="12" spans="1:15" x14ac:dyDescent="0.25">
      <c r="A12" s="1312"/>
      <c r="B12" s="1203"/>
      <c r="C12" s="1301"/>
      <c r="D12" s="164" t="s">
        <v>295</v>
      </c>
      <c r="E12" s="518">
        <v>3371</v>
      </c>
      <c r="F12" s="518">
        <v>3563</v>
      </c>
      <c r="G12" s="518">
        <v>3741</v>
      </c>
      <c r="H12" s="518">
        <v>3472</v>
      </c>
      <c r="I12" s="518">
        <v>3452</v>
      </c>
      <c r="J12" s="518">
        <v>3430</v>
      </c>
      <c r="K12" s="518">
        <v>3436</v>
      </c>
      <c r="L12" s="523">
        <v>3522</v>
      </c>
      <c r="M12" s="205"/>
    </row>
    <row r="13" spans="1:15" ht="16.5" thickBot="1" x14ac:dyDescent="0.3">
      <c r="A13" s="1312"/>
      <c r="B13" s="1203"/>
      <c r="C13" s="1302"/>
      <c r="D13" s="169" t="s">
        <v>296</v>
      </c>
      <c r="E13" s="532">
        <v>3</v>
      </c>
      <c r="F13" s="532">
        <v>1</v>
      </c>
      <c r="G13" s="533">
        <v>0</v>
      </c>
      <c r="H13" s="532">
        <v>0</v>
      </c>
      <c r="I13" s="533">
        <v>0</v>
      </c>
      <c r="J13" s="533">
        <v>0</v>
      </c>
      <c r="K13" s="533">
        <v>0</v>
      </c>
      <c r="L13" s="534">
        <v>0</v>
      </c>
      <c r="M13" s="205"/>
    </row>
    <row r="14" spans="1:15" x14ac:dyDescent="0.25">
      <c r="A14" s="1312"/>
      <c r="B14" s="1203"/>
      <c r="C14" s="1303" t="s">
        <v>263</v>
      </c>
      <c r="D14" s="168" t="s">
        <v>272</v>
      </c>
      <c r="E14" s="521">
        <v>85410</v>
      </c>
      <c r="F14" s="521">
        <v>82348</v>
      </c>
      <c r="G14" s="521">
        <v>77550</v>
      </c>
      <c r="H14" s="521">
        <v>78730</v>
      </c>
      <c r="I14" s="521">
        <v>77354</v>
      </c>
      <c r="J14" s="521">
        <v>76420</v>
      </c>
      <c r="K14" s="521">
        <v>77055</v>
      </c>
      <c r="L14" s="522">
        <v>79066</v>
      </c>
    </row>
    <row r="15" spans="1:15" x14ac:dyDescent="0.25">
      <c r="A15" s="1312"/>
      <c r="B15" s="1203"/>
      <c r="C15" s="1304"/>
      <c r="D15" s="164" t="s">
        <v>275</v>
      </c>
      <c r="E15" s="518">
        <v>7961</v>
      </c>
      <c r="F15" s="518">
        <v>7794</v>
      </c>
      <c r="G15" s="518">
        <v>7474</v>
      </c>
      <c r="H15" s="518">
        <v>7426</v>
      </c>
      <c r="I15" s="518">
        <v>7271</v>
      </c>
      <c r="J15" s="518">
        <v>7219</v>
      </c>
      <c r="K15" s="518">
        <v>6682</v>
      </c>
      <c r="L15" s="523">
        <v>6675</v>
      </c>
    </row>
    <row r="16" spans="1:15" x14ac:dyDescent="0.25">
      <c r="A16" s="1312"/>
      <c r="B16" s="1203"/>
      <c r="C16" s="1304"/>
      <c r="D16" s="164" t="s">
        <v>282</v>
      </c>
      <c r="E16" s="518">
        <v>54686</v>
      </c>
      <c r="F16" s="518">
        <v>52528</v>
      </c>
      <c r="G16" s="518">
        <v>48341</v>
      </c>
      <c r="H16" s="518">
        <v>49494</v>
      </c>
      <c r="I16" s="518">
        <v>48503</v>
      </c>
      <c r="J16" s="518">
        <v>47737</v>
      </c>
      <c r="K16" s="518">
        <v>48914</v>
      </c>
      <c r="L16" s="523">
        <v>50723</v>
      </c>
    </row>
    <row r="17" spans="1:13" x14ac:dyDescent="0.25">
      <c r="A17" s="1312"/>
      <c r="B17" s="1203"/>
      <c r="C17" s="1304"/>
      <c r="D17" s="164" t="s">
        <v>288</v>
      </c>
      <c r="E17" s="518">
        <v>22760</v>
      </c>
      <c r="F17" s="518">
        <v>22025</v>
      </c>
      <c r="G17" s="518">
        <v>21735</v>
      </c>
      <c r="H17" s="518">
        <v>21810</v>
      </c>
      <c r="I17" s="518">
        <v>21580</v>
      </c>
      <c r="J17" s="518">
        <v>21464</v>
      </c>
      <c r="K17" s="518">
        <v>21459</v>
      </c>
      <c r="L17" s="523">
        <v>21668</v>
      </c>
    </row>
    <row r="18" spans="1:13" x14ac:dyDescent="0.25">
      <c r="A18" s="1312"/>
      <c r="B18" s="1203"/>
      <c r="C18" s="1304"/>
      <c r="D18" s="164" t="s">
        <v>295</v>
      </c>
      <c r="E18" s="518">
        <v>8985</v>
      </c>
      <c r="F18" s="518">
        <v>9287</v>
      </c>
      <c r="G18" s="518">
        <v>9299</v>
      </c>
      <c r="H18" s="518">
        <v>8553</v>
      </c>
      <c r="I18" s="518">
        <v>8391</v>
      </c>
      <c r="J18" s="518">
        <v>8268</v>
      </c>
      <c r="K18" s="518">
        <v>8216</v>
      </c>
      <c r="L18" s="523">
        <v>8277</v>
      </c>
      <c r="M18" s="205"/>
    </row>
    <row r="19" spans="1:13" ht="16.5" thickBot="1" x14ac:dyDescent="0.3">
      <c r="A19" s="1312"/>
      <c r="B19" s="1203"/>
      <c r="C19" s="1305"/>
      <c r="D19" s="169" t="s">
        <v>296</v>
      </c>
      <c r="E19" s="532">
        <v>3</v>
      </c>
      <c r="F19" s="532">
        <v>1</v>
      </c>
      <c r="G19" s="533">
        <v>0</v>
      </c>
      <c r="H19" s="533">
        <v>0</v>
      </c>
      <c r="I19" s="533">
        <v>0</v>
      </c>
      <c r="J19" s="533">
        <v>0</v>
      </c>
      <c r="K19" s="533">
        <v>0</v>
      </c>
      <c r="L19" s="534">
        <v>0</v>
      </c>
      <c r="M19" s="205"/>
    </row>
    <row r="20" spans="1:13" x14ac:dyDescent="0.25">
      <c r="A20" s="1312"/>
      <c r="B20" s="1203"/>
      <c r="C20" s="1306" t="s">
        <v>269</v>
      </c>
      <c r="D20" s="535" t="s">
        <v>272</v>
      </c>
      <c r="E20" s="536">
        <f>E14-E8</f>
        <v>20106</v>
      </c>
      <c r="F20" s="536">
        <f t="shared" ref="F20:L20" si="2">F14-F8</f>
        <v>19552</v>
      </c>
      <c r="G20" s="536">
        <f t="shared" si="2"/>
        <v>17814</v>
      </c>
      <c r="H20" s="536">
        <f t="shared" si="2"/>
        <v>16594</v>
      </c>
      <c r="I20" s="536">
        <f t="shared" si="2"/>
        <v>16041</v>
      </c>
      <c r="J20" s="536">
        <f t="shared" si="2"/>
        <v>15553</v>
      </c>
      <c r="K20" s="536">
        <f t="shared" si="2"/>
        <v>15906</v>
      </c>
      <c r="L20" s="537">
        <f t="shared" si="2"/>
        <v>16148</v>
      </c>
    </row>
    <row r="21" spans="1:13" x14ac:dyDescent="0.25">
      <c r="A21" s="1312"/>
      <c r="B21" s="1203"/>
      <c r="C21" s="1307"/>
      <c r="D21" s="527" t="s">
        <v>275</v>
      </c>
      <c r="E21" s="528">
        <f t="shared" ref="E21:L24" si="3">E15-E9</f>
        <v>-415</v>
      </c>
      <c r="F21" s="528">
        <f t="shared" si="3"/>
        <v>-236</v>
      </c>
      <c r="G21" s="528">
        <f t="shared" si="3"/>
        <v>-207</v>
      </c>
      <c r="H21" s="528">
        <f t="shared" si="3"/>
        <v>-190</v>
      </c>
      <c r="I21" s="528">
        <f t="shared" si="3"/>
        <v>-225</v>
      </c>
      <c r="J21" s="528">
        <f t="shared" si="3"/>
        <v>-103</v>
      </c>
      <c r="K21" s="528">
        <f t="shared" si="3"/>
        <v>-14</v>
      </c>
      <c r="L21" s="524">
        <f t="shared" si="3"/>
        <v>-59</v>
      </c>
    </row>
    <row r="22" spans="1:13" x14ac:dyDescent="0.25">
      <c r="A22" s="1312"/>
      <c r="B22" s="1203"/>
      <c r="C22" s="1307"/>
      <c r="D22" s="527" t="s">
        <v>282</v>
      </c>
      <c r="E22" s="519">
        <f t="shared" si="3"/>
        <v>8995</v>
      </c>
      <c r="F22" s="519">
        <f t="shared" si="3"/>
        <v>8970</v>
      </c>
      <c r="G22" s="519">
        <f t="shared" si="3"/>
        <v>7895</v>
      </c>
      <c r="H22" s="519">
        <f t="shared" si="3"/>
        <v>7019</v>
      </c>
      <c r="I22" s="519">
        <f t="shared" si="3"/>
        <v>6699</v>
      </c>
      <c r="J22" s="519">
        <f t="shared" si="3"/>
        <v>6250</v>
      </c>
      <c r="K22" s="519">
        <f t="shared" si="3"/>
        <v>6604</v>
      </c>
      <c r="L22" s="524">
        <f t="shared" si="3"/>
        <v>6910</v>
      </c>
    </row>
    <row r="23" spans="1:13" x14ac:dyDescent="0.25">
      <c r="A23" s="1312"/>
      <c r="B23" s="1203"/>
      <c r="C23" s="1307"/>
      <c r="D23" s="527" t="s">
        <v>288</v>
      </c>
      <c r="E23" s="519">
        <f t="shared" si="3"/>
        <v>11526</v>
      </c>
      <c r="F23" s="519">
        <f t="shared" si="3"/>
        <v>10818</v>
      </c>
      <c r="G23" s="519">
        <f t="shared" si="3"/>
        <v>10126</v>
      </c>
      <c r="H23" s="519">
        <f t="shared" si="3"/>
        <v>9765</v>
      </c>
      <c r="I23" s="519">
        <f t="shared" si="3"/>
        <v>9567</v>
      </c>
      <c r="J23" s="519">
        <f t="shared" si="3"/>
        <v>9406</v>
      </c>
      <c r="K23" s="519">
        <f t="shared" si="3"/>
        <v>9316</v>
      </c>
      <c r="L23" s="524">
        <f t="shared" si="3"/>
        <v>9297</v>
      </c>
    </row>
    <row r="24" spans="1:13" ht="16.5" thickBot="1" x14ac:dyDescent="0.3">
      <c r="A24" s="1312"/>
      <c r="B24" s="1203"/>
      <c r="C24" s="1308"/>
      <c r="D24" s="538" t="s">
        <v>295</v>
      </c>
      <c r="E24" s="539">
        <f t="shared" si="3"/>
        <v>5614</v>
      </c>
      <c r="F24" s="539">
        <f t="shared" si="3"/>
        <v>5724</v>
      </c>
      <c r="G24" s="539">
        <f t="shared" si="3"/>
        <v>5558</v>
      </c>
      <c r="H24" s="539">
        <f t="shared" si="3"/>
        <v>5081</v>
      </c>
      <c r="I24" s="539">
        <f t="shared" si="3"/>
        <v>4939</v>
      </c>
      <c r="J24" s="539">
        <f t="shared" si="3"/>
        <v>4838</v>
      </c>
      <c r="K24" s="539">
        <f t="shared" si="3"/>
        <v>4780</v>
      </c>
      <c r="L24" s="540">
        <f t="shared" si="3"/>
        <v>4755</v>
      </c>
    </row>
    <row r="25" spans="1:13" ht="15" customHeight="1" x14ac:dyDescent="0.25">
      <c r="A25" s="1312"/>
      <c r="B25" s="1203"/>
      <c r="C25" s="1265" t="s">
        <v>270</v>
      </c>
      <c r="D25" s="535" t="s">
        <v>272</v>
      </c>
      <c r="E25" s="541">
        <f>E14/E3*100</f>
        <v>56.670249611847602</v>
      </c>
      <c r="F25" s="541">
        <f t="shared" ref="F25:L25" si="4">F14/F3*100</f>
        <v>56.73538003637767</v>
      </c>
      <c r="G25" s="541">
        <f t="shared" si="4"/>
        <v>56.487915737948512</v>
      </c>
      <c r="H25" s="541">
        <f t="shared" si="4"/>
        <v>55.889994746780623</v>
      </c>
      <c r="I25" s="541">
        <f t="shared" si="4"/>
        <v>55.784000519229529</v>
      </c>
      <c r="J25" s="541">
        <f t="shared" si="4"/>
        <v>55.664411051301286</v>
      </c>
      <c r="K25" s="541">
        <f t="shared" si="4"/>
        <v>55.754536771728745</v>
      </c>
      <c r="L25" s="542">
        <f t="shared" si="4"/>
        <v>55.68655623168808</v>
      </c>
    </row>
    <row r="26" spans="1:13" x14ac:dyDescent="0.25">
      <c r="A26" s="1312"/>
      <c r="B26" s="1203"/>
      <c r="C26" s="1360"/>
      <c r="D26" s="527" t="s">
        <v>275</v>
      </c>
      <c r="E26" s="529">
        <f>(E15/(E15+E9))*100</f>
        <v>48.729876966395295</v>
      </c>
      <c r="F26" s="529">
        <f t="shared" ref="F26:L27" si="5">(F15/(F15+F9))*100</f>
        <v>49.254297269969669</v>
      </c>
      <c r="G26" s="529">
        <f t="shared" si="5"/>
        <v>49.317057076872317</v>
      </c>
      <c r="H26" s="529">
        <f t="shared" si="5"/>
        <v>49.368435048530777</v>
      </c>
      <c r="I26" s="529">
        <f t="shared" si="5"/>
        <v>49.238166181350309</v>
      </c>
      <c r="J26" s="529">
        <f t="shared" si="5"/>
        <v>49.645829035142015</v>
      </c>
      <c r="K26" s="530">
        <f t="shared" si="5"/>
        <v>49.94767528778592</v>
      </c>
      <c r="L26" s="543">
        <f t="shared" si="5"/>
        <v>49.779998508464459</v>
      </c>
    </row>
    <row r="27" spans="1:13" x14ac:dyDescent="0.25">
      <c r="A27" s="1312"/>
      <c r="B27" s="1203"/>
      <c r="C27" s="1360"/>
      <c r="D27" s="527" t="s">
        <v>282</v>
      </c>
      <c r="E27" s="520">
        <f>(E16/(E16+E10))*100</f>
        <v>54.480608107434968</v>
      </c>
      <c r="F27" s="520">
        <f t="shared" si="5"/>
        <v>54.66769352455092</v>
      </c>
      <c r="G27" s="520">
        <f t="shared" si="5"/>
        <v>54.446033766204515</v>
      </c>
      <c r="H27" s="520">
        <f t="shared" si="5"/>
        <v>53.815959725559701</v>
      </c>
      <c r="I27" s="520">
        <f t="shared" si="5"/>
        <v>53.709014805053869</v>
      </c>
      <c r="J27" s="520">
        <f t="shared" si="5"/>
        <v>53.502420873307635</v>
      </c>
      <c r="K27" s="520">
        <f t="shared" si="5"/>
        <v>53.619661492589664</v>
      </c>
      <c r="L27" s="544">
        <f t="shared" si="5"/>
        <v>53.65469239231615</v>
      </c>
    </row>
    <row r="28" spans="1:13" x14ac:dyDescent="0.25">
      <c r="A28" s="1312"/>
      <c r="B28" s="1203"/>
      <c r="C28" s="1360"/>
      <c r="D28" s="527" t="s">
        <v>288</v>
      </c>
      <c r="E28" s="520">
        <f t="shared" ref="E28:L29" si="6">(E17/(E17+E11))*100</f>
        <v>66.952991704418423</v>
      </c>
      <c r="F28" s="520">
        <f t="shared" si="6"/>
        <v>66.276480500722187</v>
      </c>
      <c r="G28" s="520">
        <f t="shared" si="6"/>
        <v>65.184141074856043</v>
      </c>
      <c r="H28" s="520">
        <f t="shared" si="6"/>
        <v>64.421798848028359</v>
      </c>
      <c r="I28" s="520">
        <f t="shared" si="6"/>
        <v>64.239573720715626</v>
      </c>
      <c r="J28" s="520">
        <f t="shared" si="6"/>
        <v>64.029592506413707</v>
      </c>
      <c r="K28" s="520">
        <f t="shared" si="6"/>
        <v>63.862270102970065</v>
      </c>
      <c r="L28" s="544">
        <f t="shared" si="6"/>
        <v>63.656394136137962</v>
      </c>
    </row>
    <row r="29" spans="1:13" ht="16.5" thickBot="1" x14ac:dyDescent="0.3">
      <c r="A29" s="1312"/>
      <c r="B29" s="1204"/>
      <c r="C29" s="1419"/>
      <c r="D29" s="545" t="s">
        <v>295</v>
      </c>
      <c r="E29" s="525">
        <f t="shared" si="6"/>
        <v>72.717707996115237</v>
      </c>
      <c r="F29" s="525">
        <f t="shared" si="6"/>
        <v>72.272373540856023</v>
      </c>
      <c r="G29" s="525">
        <f t="shared" si="6"/>
        <v>71.311349693251529</v>
      </c>
      <c r="H29" s="525">
        <f t="shared" si="6"/>
        <v>71.126819126819129</v>
      </c>
      <c r="I29" s="525">
        <f t="shared" si="6"/>
        <v>70.85198007261674</v>
      </c>
      <c r="J29" s="525">
        <f t="shared" si="6"/>
        <v>70.67874850401779</v>
      </c>
      <c r="K29" s="525">
        <f t="shared" si="6"/>
        <v>70.511500171644343</v>
      </c>
      <c r="L29" s="526">
        <f t="shared" si="6"/>
        <v>70.150012712941773</v>
      </c>
    </row>
    <row r="30" spans="1:13" ht="17.25" thickTop="1" thickBot="1" x14ac:dyDescent="0.3">
      <c r="A30" s="1312"/>
      <c r="B30" s="151" t="s">
        <v>249</v>
      </c>
      <c r="C30" s="1642"/>
      <c r="D30" s="1642"/>
      <c r="E30" s="517">
        <v>2005</v>
      </c>
      <c r="F30" s="517">
        <v>2010</v>
      </c>
      <c r="G30" s="517">
        <v>2015</v>
      </c>
      <c r="H30" s="517">
        <v>2020</v>
      </c>
      <c r="I30" s="517">
        <v>2021</v>
      </c>
      <c r="J30" s="517">
        <v>2022</v>
      </c>
      <c r="K30" s="517">
        <v>2023</v>
      </c>
      <c r="L30" s="517">
        <v>2024</v>
      </c>
      <c r="M30" s="482"/>
    </row>
    <row r="31" spans="1:13" x14ac:dyDescent="0.25">
      <c r="A31" s="1312"/>
      <c r="B31" s="1202" t="s">
        <v>320</v>
      </c>
      <c r="C31" s="1319" t="s">
        <v>272</v>
      </c>
      <c r="D31" s="1217"/>
      <c r="E31" s="531">
        <v>21095</v>
      </c>
      <c r="F31" s="531">
        <v>20855</v>
      </c>
      <c r="G31" s="531">
        <v>14572</v>
      </c>
      <c r="H31" s="531">
        <v>17075</v>
      </c>
      <c r="I31" s="531">
        <v>17403</v>
      </c>
      <c r="J31" s="531">
        <v>17515</v>
      </c>
      <c r="K31" s="531">
        <v>19089</v>
      </c>
      <c r="L31" s="546">
        <f>L32+L33</f>
        <v>22288</v>
      </c>
    </row>
    <row r="32" spans="1:13" x14ac:dyDescent="0.25">
      <c r="A32" s="1312"/>
      <c r="B32" s="1203"/>
      <c r="C32" s="1123" t="s">
        <v>257</v>
      </c>
      <c r="D32" s="1124"/>
      <c r="E32" s="518">
        <v>9218</v>
      </c>
      <c r="F32" s="518">
        <v>8991</v>
      </c>
      <c r="G32" s="518">
        <v>6186</v>
      </c>
      <c r="H32" s="518">
        <v>7309</v>
      </c>
      <c r="I32" s="518">
        <v>7424</v>
      </c>
      <c r="J32" s="518">
        <v>7618</v>
      </c>
      <c r="K32" s="518">
        <v>8268</v>
      </c>
      <c r="L32" s="523">
        <v>9636</v>
      </c>
    </row>
    <row r="33" spans="1:15" x14ac:dyDescent="0.25">
      <c r="A33" s="1312"/>
      <c r="B33" s="1203"/>
      <c r="C33" s="1123" t="s">
        <v>263</v>
      </c>
      <c r="D33" s="1124"/>
      <c r="E33" s="518">
        <v>11877</v>
      </c>
      <c r="F33" s="518">
        <v>11864</v>
      </c>
      <c r="G33" s="518">
        <v>8386</v>
      </c>
      <c r="H33" s="518">
        <v>9766</v>
      </c>
      <c r="I33" s="518">
        <v>9979</v>
      </c>
      <c r="J33" s="518">
        <v>9897</v>
      </c>
      <c r="K33" s="518">
        <v>10821</v>
      </c>
      <c r="L33" s="523">
        <v>12652</v>
      </c>
    </row>
    <row r="34" spans="1:15" x14ac:dyDescent="0.25">
      <c r="A34" s="1312"/>
      <c r="B34" s="1203"/>
      <c r="C34" s="1111" t="s">
        <v>269</v>
      </c>
      <c r="D34" s="1112"/>
      <c r="E34" s="519">
        <f>+E33-E32</f>
        <v>2659</v>
      </c>
      <c r="F34" s="519">
        <f t="shared" ref="F34:L34" si="7">+F33-F32</f>
        <v>2873</v>
      </c>
      <c r="G34" s="519">
        <f t="shared" si="7"/>
        <v>2200</v>
      </c>
      <c r="H34" s="519">
        <f t="shared" si="7"/>
        <v>2457</v>
      </c>
      <c r="I34" s="519">
        <f t="shared" si="7"/>
        <v>2555</v>
      </c>
      <c r="J34" s="519">
        <f t="shared" si="7"/>
        <v>2279</v>
      </c>
      <c r="K34" s="519">
        <f t="shared" si="7"/>
        <v>2553</v>
      </c>
      <c r="L34" s="524">
        <f t="shared" si="7"/>
        <v>3016</v>
      </c>
    </row>
    <row r="35" spans="1:15" ht="16.5" thickBot="1" x14ac:dyDescent="0.3">
      <c r="A35" s="1312"/>
      <c r="B35" s="1204"/>
      <c r="C35" s="1353" t="s">
        <v>270</v>
      </c>
      <c r="D35" s="1178"/>
      <c r="E35" s="525">
        <f>E33/E31*100</f>
        <v>56.302441336809672</v>
      </c>
      <c r="F35" s="525">
        <f t="shared" ref="F35:L35" si="8">F33/F31*100</f>
        <v>56.888036442100223</v>
      </c>
      <c r="G35" s="525">
        <f t="shared" si="8"/>
        <v>57.548723579467477</v>
      </c>
      <c r="H35" s="525">
        <f t="shared" si="8"/>
        <v>57.194729136163978</v>
      </c>
      <c r="I35" s="525">
        <f t="shared" si="8"/>
        <v>57.3406883870597</v>
      </c>
      <c r="J35" s="525">
        <f t="shared" si="8"/>
        <v>56.505852126748501</v>
      </c>
      <c r="K35" s="525">
        <f t="shared" si="8"/>
        <v>56.687097281156682</v>
      </c>
      <c r="L35" s="526">
        <f t="shared" si="8"/>
        <v>56.765972720746596</v>
      </c>
    </row>
    <row r="36" spans="1:15" ht="15" customHeight="1" x14ac:dyDescent="0.25">
      <c r="A36" s="1312"/>
      <c r="B36" s="1202" t="s">
        <v>342</v>
      </c>
      <c r="C36" s="1306" t="s">
        <v>343</v>
      </c>
      <c r="D36" s="1147"/>
      <c r="E36" s="547">
        <f>E37+E38</f>
        <v>8634</v>
      </c>
      <c r="F36" s="547">
        <f t="shared" ref="F36:K36" si="9">F37+F38</f>
        <v>8525</v>
      </c>
      <c r="G36" s="547">
        <f t="shared" si="9"/>
        <v>9136</v>
      </c>
      <c r="H36" s="547">
        <f t="shared" si="9"/>
        <v>9497</v>
      </c>
      <c r="I36" s="547">
        <f t="shared" si="9"/>
        <v>9602</v>
      </c>
      <c r="J36" s="547">
        <f t="shared" si="9"/>
        <v>9661</v>
      </c>
      <c r="K36" s="547">
        <f t="shared" si="9"/>
        <v>9761</v>
      </c>
      <c r="L36" s="548">
        <f>L37+L38</f>
        <v>10122</v>
      </c>
    </row>
    <row r="37" spans="1:15" ht="15" customHeight="1" x14ac:dyDescent="0.25">
      <c r="A37" s="1312"/>
      <c r="B37" s="1203"/>
      <c r="C37" s="1123" t="s">
        <v>344</v>
      </c>
      <c r="D37" s="1124"/>
      <c r="E37" s="518">
        <v>1388</v>
      </c>
      <c r="F37" s="518">
        <v>1551</v>
      </c>
      <c r="G37" s="518">
        <v>1877</v>
      </c>
      <c r="H37" s="518">
        <v>2082</v>
      </c>
      <c r="I37" s="518">
        <v>2162</v>
      </c>
      <c r="J37" s="518">
        <v>2196</v>
      </c>
      <c r="K37" s="518">
        <v>2225</v>
      </c>
      <c r="L37" s="523">
        <v>2393</v>
      </c>
    </row>
    <row r="38" spans="1:15" ht="15" customHeight="1" x14ac:dyDescent="0.25">
      <c r="A38" s="1312"/>
      <c r="B38" s="1203"/>
      <c r="C38" s="1123" t="s">
        <v>345</v>
      </c>
      <c r="D38" s="1124"/>
      <c r="E38" s="518">
        <v>7246</v>
      </c>
      <c r="F38" s="518">
        <v>6974</v>
      </c>
      <c r="G38" s="518">
        <v>7259</v>
      </c>
      <c r="H38" s="518">
        <v>7415</v>
      </c>
      <c r="I38" s="518">
        <v>7440</v>
      </c>
      <c r="J38" s="518">
        <v>7465</v>
      </c>
      <c r="K38" s="518">
        <v>7536</v>
      </c>
      <c r="L38" s="523">
        <v>7729</v>
      </c>
    </row>
    <row r="39" spans="1:15" x14ac:dyDescent="0.25">
      <c r="A39" s="1312"/>
      <c r="B39" s="1203"/>
      <c r="C39" s="1111" t="s">
        <v>269</v>
      </c>
      <c r="D39" s="1112"/>
      <c r="E39" s="528">
        <f>E38-E37</f>
        <v>5858</v>
      </c>
      <c r="F39" s="528">
        <f t="shared" ref="F39:L39" si="10">F38-F37</f>
        <v>5423</v>
      </c>
      <c r="G39" s="528">
        <f t="shared" si="10"/>
        <v>5382</v>
      </c>
      <c r="H39" s="528">
        <f t="shared" si="10"/>
        <v>5333</v>
      </c>
      <c r="I39" s="528">
        <f t="shared" si="10"/>
        <v>5278</v>
      </c>
      <c r="J39" s="528">
        <f t="shared" si="10"/>
        <v>5269</v>
      </c>
      <c r="K39" s="528">
        <f t="shared" si="10"/>
        <v>5311</v>
      </c>
      <c r="L39" s="549">
        <f t="shared" si="10"/>
        <v>5336</v>
      </c>
    </row>
    <row r="40" spans="1:15" ht="16.5" thickBot="1" x14ac:dyDescent="0.3">
      <c r="A40" s="1312"/>
      <c r="B40" s="1204"/>
      <c r="C40" s="1353" t="s">
        <v>346</v>
      </c>
      <c r="D40" s="1178"/>
      <c r="E40" s="550">
        <f t="shared" ref="E40:L40" si="11">E38/E36*100</f>
        <v>83.924021311095657</v>
      </c>
      <c r="F40" s="550">
        <f t="shared" si="11"/>
        <v>81.806451612903231</v>
      </c>
      <c r="G40" s="550">
        <f t="shared" si="11"/>
        <v>79.45490367775831</v>
      </c>
      <c r="H40" s="550">
        <f t="shared" si="11"/>
        <v>78.077287564494043</v>
      </c>
      <c r="I40" s="550">
        <f t="shared" si="11"/>
        <v>77.483857529681316</v>
      </c>
      <c r="J40" s="550">
        <f t="shared" si="11"/>
        <v>77.269433806024225</v>
      </c>
      <c r="K40" s="550">
        <f t="shared" si="11"/>
        <v>77.205204384796644</v>
      </c>
      <c r="L40" s="551">
        <f t="shared" si="11"/>
        <v>76.358427188302699</v>
      </c>
    </row>
    <row r="41" spans="1:15" ht="15" customHeight="1" x14ac:dyDescent="0.25">
      <c r="A41" s="1312"/>
      <c r="B41" s="1202" t="s">
        <v>347</v>
      </c>
      <c r="C41" s="1251" t="s">
        <v>348</v>
      </c>
      <c r="D41" s="1206"/>
      <c r="E41" s="547">
        <f t="shared" ref="E41:K41" si="12">E42+E43</f>
        <v>1055</v>
      </c>
      <c r="F41" s="547">
        <f t="shared" si="12"/>
        <v>1023</v>
      </c>
      <c r="G41" s="547">
        <f t="shared" si="12"/>
        <v>1100</v>
      </c>
      <c r="H41" s="547">
        <f t="shared" si="12"/>
        <v>1026</v>
      </c>
      <c r="I41" s="547">
        <f t="shared" si="12"/>
        <v>1067</v>
      </c>
      <c r="J41" s="547">
        <f t="shared" si="12"/>
        <v>1041</v>
      </c>
      <c r="K41" s="547">
        <f t="shared" si="12"/>
        <v>1015</v>
      </c>
      <c r="L41" s="548">
        <f>L42+L43</f>
        <v>1102</v>
      </c>
    </row>
    <row r="42" spans="1:15" ht="15" customHeight="1" x14ac:dyDescent="0.25">
      <c r="A42" s="1312"/>
      <c r="B42" s="1203"/>
      <c r="C42" s="1123" t="s">
        <v>349</v>
      </c>
      <c r="D42" s="1124"/>
      <c r="E42" s="518">
        <v>242</v>
      </c>
      <c r="F42" s="518">
        <v>243</v>
      </c>
      <c r="G42" s="518">
        <v>212</v>
      </c>
      <c r="H42" s="518">
        <v>177</v>
      </c>
      <c r="I42" s="518">
        <v>211</v>
      </c>
      <c r="J42" s="518">
        <v>215</v>
      </c>
      <c r="K42" s="518">
        <v>218</v>
      </c>
      <c r="L42" s="523">
        <v>237</v>
      </c>
    </row>
    <row r="43" spans="1:15" ht="15" customHeight="1" x14ac:dyDescent="0.25">
      <c r="A43" s="1312"/>
      <c r="B43" s="1203"/>
      <c r="C43" s="1123" t="s">
        <v>350</v>
      </c>
      <c r="D43" s="1124"/>
      <c r="E43" s="518">
        <v>813</v>
      </c>
      <c r="F43" s="518">
        <v>780</v>
      </c>
      <c r="G43" s="518">
        <v>888</v>
      </c>
      <c r="H43" s="518">
        <v>849</v>
      </c>
      <c r="I43" s="518">
        <v>856</v>
      </c>
      <c r="J43" s="518">
        <v>826</v>
      </c>
      <c r="K43" s="518">
        <v>797</v>
      </c>
      <c r="L43" s="523">
        <v>865</v>
      </c>
    </row>
    <row r="44" spans="1:15" x14ac:dyDescent="0.25">
      <c r="A44" s="1312"/>
      <c r="B44" s="1203"/>
      <c r="C44" s="1111" t="s">
        <v>269</v>
      </c>
      <c r="D44" s="1112"/>
      <c r="E44" s="528">
        <f t="shared" ref="E44:L44" si="13">E43-E42</f>
        <v>571</v>
      </c>
      <c r="F44" s="528">
        <f t="shared" si="13"/>
        <v>537</v>
      </c>
      <c r="G44" s="528">
        <f t="shared" si="13"/>
        <v>676</v>
      </c>
      <c r="H44" s="528">
        <f t="shared" si="13"/>
        <v>672</v>
      </c>
      <c r="I44" s="528">
        <f t="shared" si="13"/>
        <v>645</v>
      </c>
      <c r="J44" s="528">
        <f t="shared" si="13"/>
        <v>611</v>
      </c>
      <c r="K44" s="528">
        <f t="shared" si="13"/>
        <v>579</v>
      </c>
      <c r="L44" s="549">
        <f t="shared" si="13"/>
        <v>628</v>
      </c>
    </row>
    <row r="45" spans="1:15" ht="16.5" thickBot="1" x14ac:dyDescent="0.3">
      <c r="A45" s="1312"/>
      <c r="B45" s="1204"/>
      <c r="C45" s="1353" t="s">
        <v>351</v>
      </c>
      <c r="D45" s="1178"/>
      <c r="E45" s="550">
        <f t="shared" ref="E45:L45" si="14">E43/E41*100</f>
        <v>77.061611374407576</v>
      </c>
      <c r="F45" s="550">
        <f t="shared" si="14"/>
        <v>76.246334310850443</v>
      </c>
      <c r="G45" s="550">
        <f t="shared" si="14"/>
        <v>80.72727272727272</v>
      </c>
      <c r="H45" s="550">
        <f t="shared" si="14"/>
        <v>82.748538011695899</v>
      </c>
      <c r="I45" s="550">
        <f t="shared" si="14"/>
        <v>80.224929709465783</v>
      </c>
      <c r="J45" s="550">
        <f t="shared" si="14"/>
        <v>79.346781940441886</v>
      </c>
      <c r="K45" s="550">
        <f t="shared" si="14"/>
        <v>78.522167487684726</v>
      </c>
      <c r="L45" s="551">
        <f t="shared" si="14"/>
        <v>78.493647912885663</v>
      </c>
    </row>
    <row r="46" spans="1:15" ht="16.5" thickBot="1" x14ac:dyDescent="0.3">
      <c r="A46" s="706" t="s">
        <v>248</v>
      </c>
      <c r="B46" s="733" t="s">
        <v>249</v>
      </c>
      <c r="C46" s="1576"/>
      <c r="D46" s="1571"/>
      <c r="E46" s="552">
        <v>2005</v>
      </c>
      <c r="F46" s="552">
        <v>2010</v>
      </c>
      <c r="G46" s="552">
        <v>2015</v>
      </c>
      <c r="H46" s="552">
        <v>2020</v>
      </c>
      <c r="I46" s="552">
        <v>2021</v>
      </c>
      <c r="J46" s="552">
        <v>2022</v>
      </c>
      <c r="K46" s="552">
        <v>2023</v>
      </c>
      <c r="L46" s="553">
        <v>2024</v>
      </c>
    </row>
    <row r="47" spans="1:15" s="516" customFormat="1" x14ac:dyDescent="0.25">
      <c r="A47" s="1647" t="s">
        <v>38</v>
      </c>
      <c r="B47" s="1231" t="s">
        <v>352</v>
      </c>
      <c r="C47" s="1307" t="s">
        <v>251</v>
      </c>
      <c r="D47" s="1649"/>
      <c r="E47" s="157">
        <v>4394</v>
      </c>
      <c r="F47" s="157">
        <v>7148</v>
      </c>
      <c r="G47" s="157">
        <v>6128</v>
      </c>
      <c r="H47" s="157">
        <v>5846</v>
      </c>
      <c r="I47" s="157">
        <v>5656</v>
      </c>
      <c r="J47" s="157">
        <v>3988</v>
      </c>
      <c r="K47" s="157">
        <v>3721</v>
      </c>
      <c r="L47" s="554">
        <v>3680</v>
      </c>
      <c r="M47" s="64"/>
      <c r="N47" s="64"/>
      <c r="O47" s="64"/>
    </row>
    <row r="48" spans="1:15" x14ac:dyDescent="0.25">
      <c r="A48" s="1480"/>
      <c r="B48" s="1232"/>
      <c r="C48" s="1123" t="s">
        <v>257</v>
      </c>
      <c r="D48" s="1124"/>
      <c r="E48" s="96">
        <v>1805</v>
      </c>
      <c r="F48" s="96">
        <v>3405</v>
      </c>
      <c r="G48" s="96">
        <v>2733</v>
      </c>
      <c r="H48" s="96">
        <v>2506</v>
      </c>
      <c r="I48" s="96">
        <v>2429</v>
      </c>
      <c r="J48" s="96">
        <v>1639</v>
      </c>
      <c r="K48" s="96">
        <v>1565</v>
      </c>
      <c r="L48" s="83">
        <v>1559</v>
      </c>
    </row>
    <row r="49" spans="1:15" x14ac:dyDescent="0.25">
      <c r="A49" s="1480"/>
      <c r="B49" s="1232"/>
      <c r="C49" s="1123" t="s">
        <v>263</v>
      </c>
      <c r="D49" s="1124"/>
      <c r="E49" s="96">
        <v>2589</v>
      </c>
      <c r="F49" s="96">
        <v>3743</v>
      </c>
      <c r="G49" s="96">
        <v>3395</v>
      </c>
      <c r="H49" s="96">
        <v>3340</v>
      </c>
      <c r="I49" s="96">
        <v>3227</v>
      </c>
      <c r="J49" s="96">
        <v>2349</v>
      </c>
      <c r="K49" s="96">
        <v>2156</v>
      </c>
      <c r="L49" s="83">
        <v>2121</v>
      </c>
    </row>
    <row r="50" spans="1:15" x14ac:dyDescent="0.25">
      <c r="A50" s="1480"/>
      <c r="B50" s="1232"/>
      <c r="C50" s="1111" t="s">
        <v>353</v>
      </c>
      <c r="D50" s="1112"/>
      <c r="E50" s="157">
        <f t="shared" ref="E50:L50" si="15">+E49-E48</f>
        <v>784</v>
      </c>
      <c r="F50" s="157">
        <f t="shared" si="15"/>
        <v>338</v>
      </c>
      <c r="G50" s="157">
        <f t="shared" si="15"/>
        <v>662</v>
      </c>
      <c r="H50" s="157">
        <f t="shared" si="15"/>
        <v>834</v>
      </c>
      <c r="I50" s="157">
        <f t="shared" si="15"/>
        <v>798</v>
      </c>
      <c r="J50" s="157">
        <f t="shared" si="15"/>
        <v>710</v>
      </c>
      <c r="K50" s="157">
        <f t="shared" si="15"/>
        <v>591</v>
      </c>
      <c r="L50" s="160">
        <f t="shared" si="15"/>
        <v>562</v>
      </c>
    </row>
    <row r="51" spans="1:15" ht="16.5" thickBot="1" x14ac:dyDescent="0.3">
      <c r="A51" s="1480"/>
      <c r="B51" s="1233"/>
      <c r="C51" s="1353" t="s">
        <v>270</v>
      </c>
      <c r="D51" s="1178"/>
      <c r="E51" s="165">
        <f>E49/E47*100</f>
        <v>58.921256258534363</v>
      </c>
      <c r="F51" s="165">
        <f t="shared" ref="F51:L51" si="16">F49/F47*100</f>
        <v>52.364297705651929</v>
      </c>
      <c r="G51" s="165">
        <f t="shared" si="16"/>
        <v>55.401436031331599</v>
      </c>
      <c r="H51" s="165">
        <f t="shared" si="16"/>
        <v>57.133082449538144</v>
      </c>
      <c r="I51" s="165">
        <f t="shared" si="16"/>
        <v>57.054455445544548</v>
      </c>
      <c r="J51" s="165">
        <f t="shared" si="16"/>
        <v>58.90170511534604</v>
      </c>
      <c r="K51" s="165">
        <f t="shared" si="16"/>
        <v>57.941413598495032</v>
      </c>
      <c r="L51" s="166">
        <f t="shared" si="16"/>
        <v>57.635869565217391</v>
      </c>
    </row>
    <row r="52" spans="1:15" x14ac:dyDescent="0.25">
      <c r="A52" s="1480"/>
      <c r="B52" s="1231" t="s">
        <v>146</v>
      </c>
      <c r="C52" s="1300" t="s">
        <v>251</v>
      </c>
      <c r="D52" s="1650"/>
      <c r="E52" s="36"/>
      <c r="F52" s="36"/>
      <c r="G52" s="36"/>
      <c r="H52" s="36">
        <v>6.57</v>
      </c>
      <c r="I52" s="36">
        <v>5.27</v>
      </c>
      <c r="J52" s="36">
        <v>4.1100000000000003</v>
      </c>
      <c r="K52" s="36">
        <v>4.0599999999999996</v>
      </c>
      <c r="L52" s="38">
        <v>4.08</v>
      </c>
    </row>
    <row r="53" spans="1:15" x14ac:dyDescent="0.25">
      <c r="A53" s="1480"/>
      <c r="B53" s="1232"/>
      <c r="C53" s="1123" t="s">
        <v>257</v>
      </c>
      <c r="D53" s="1124"/>
      <c r="E53" s="28"/>
      <c r="F53" s="28"/>
      <c r="G53" s="28"/>
      <c r="H53" s="28">
        <v>6.25</v>
      </c>
      <c r="I53" s="28">
        <v>4.75</v>
      </c>
      <c r="J53" s="28">
        <v>3.68</v>
      </c>
      <c r="K53" s="28">
        <v>3.67</v>
      </c>
      <c r="L53" s="39">
        <v>3.74</v>
      </c>
    </row>
    <row r="54" spans="1:15" x14ac:dyDescent="0.25">
      <c r="A54" s="1480"/>
      <c r="B54" s="1232"/>
      <c r="C54" s="1553" t="s">
        <v>263</v>
      </c>
      <c r="D54" s="1223"/>
      <c r="E54" s="28"/>
      <c r="F54" s="28"/>
      <c r="G54" s="28"/>
      <c r="H54" s="28">
        <v>6.85</v>
      </c>
      <c r="I54" s="28">
        <v>5.72</v>
      </c>
      <c r="J54" s="28">
        <v>4.49</v>
      </c>
      <c r="K54" s="28">
        <v>4.4000000000000004</v>
      </c>
      <c r="L54" s="39">
        <v>4.37</v>
      </c>
    </row>
    <row r="55" spans="1:15" ht="16.5" thickBot="1" x14ac:dyDescent="0.3">
      <c r="A55" s="1480"/>
      <c r="B55" s="1233"/>
      <c r="C55" s="1277" t="s">
        <v>354</v>
      </c>
      <c r="D55" s="1142"/>
      <c r="E55" s="110"/>
      <c r="F55" s="110"/>
      <c r="G55" s="110"/>
      <c r="H55" s="514">
        <f>+H54-H53</f>
        <v>0.59999999999999964</v>
      </c>
      <c r="I55" s="514">
        <f>+I54-I53</f>
        <v>0.96999999999999975</v>
      </c>
      <c r="J55" s="514">
        <f>+J54-J53</f>
        <v>0.81</v>
      </c>
      <c r="K55" s="514">
        <f>+K54-K53</f>
        <v>0.73000000000000043</v>
      </c>
      <c r="L55" s="555">
        <f>+L54-L53</f>
        <v>0.62999999999999989</v>
      </c>
    </row>
    <row r="56" spans="1:15" s="516" customFormat="1" x14ac:dyDescent="0.25">
      <c r="A56" s="1480"/>
      <c r="B56" s="1231" t="s">
        <v>151</v>
      </c>
      <c r="C56" s="1265" t="s">
        <v>251</v>
      </c>
      <c r="D56" s="1317"/>
      <c r="E56" s="40"/>
      <c r="F56" s="40"/>
      <c r="G56" s="40"/>
      <c r="H56" s="195">
        <v>265</v>
      </c>
      <c r="I56" s="195">
        <v>298</v>
      </c>
      <c r="J56" s="195">
        <v>284</v>
      </c>
      <c r="K56" s="195">
        <v>289</v>
      </c>
      <c r="L56" s="556"/>
      <c r="M56" s="64"/>
      <c r="N56" s="64"/>
      <c r="O56" s="64"/>
    </row>
    <row r="57" spans="1:15" x14ac:dyDescent="0.25">
      <c r="A57" s="1480"/>
      <c r="B57" s="1232"/>
      <c r="C57" s="1301" t="s">
        <v>257</v>
      </c>
      <c r="D57" s="1230"/>
      <c r="E57" s="28"/>
      <c r="F57" s="28"/>
      <c r="G57" s="28"/>
      <c r="H57" s="96">
        <v>93</v>
      </c>
      <c r="I57" s="96">
        <v>98</v>
      </c>
      <c r="J57" s="96">
        <v>94</v>
      </c>
      <c r="K57" s="96">
        <v>116</v>
      </c>
      <c r="L57" s="407"/>
    </row>
    <row r="58" spans="1:15" x14ac:dyDescent="0.25">
      <c r="A58" s="1480"/>
      <c r="B58" s="1232"/>
      <c r="C58" s="1123" t="s">
        <v>263</v>
      </c>
      <c r="D58" s="1124"/>
      <c r="E58" s="28"/>
      <c r="F58" s="28"/>
      <c r="G58" s="28"/>
      <c r="H58" s="96">
        <v>172</v>
      </c>
      <c r="I58" s="96">
        <v>200</v>
      </c>
      <c r="J58" s="96">
        <v>190</v>
      </c>
      <c r="K58" s="96">
        <v>173</v>
      </c>
      <c r="L58" s="407"/>
    </row>
    <row r="59" spans="1:15" x14ac:dyDescent="0.25">
      <c r="A59" s="1480"/>
      <c r="B59" s="1232"/>
      <c r="C59" s="1111" t="s">
        <v>353</v>
      </c>
      <c r="D59" s="1112"/>
      <c r="E59" s="28"/>
      <c r="F59" s="28"/>
      <c r="G59" s="28"/>
      <c r="H59" s="44">
        <f>+H58-H57</f>
        <v>79</v>
      </c>
      <c r="I59" s="44">
        <f>+I58-I57</f>
        <v>102</v>
      </c>
      <c r="J59" s="44">
        <f>+J58-J57</f>
        <v>96</v>
      </c>
      <c r="K59" s="44">
        <f>+K58-K57</f>
        <v>57</v>
      </c>
      <c r="L59" s="407"/>
    </row>
    <row r="60" spans="1:15" ht="16.5" thickBot="1" x14ac:dyDescent="0.3">
      <c r="A60" s="1480"/>
      <c r="B60" s="1233"/>
      <c r="C60" s="1353" t="s">
        <v>270</v>
      </c>
      <c r="D60" s="1178"/>
      <c r="E60" s="110"/>
      <c r="F60" s="110"/>
      <c r="G60" s="110"/>
      <c r="H60" s="165">
        <f>H58/H56*100</f>
        <v>64.905660377358487</v>
      </c>
      <c r="I60" s="165">
        <f>I58/I56*100</f>
        <v>67.114093959731548</v>
      </c>
      <c r="J60" s="165">
        <f>J58/J56*100</f>
        <v>66.901408450704224</v>
      </c>
      <c r="K60" s="165">
        <f>K58/K56*100</f>
        <v>59.861591695501723</v>
      </c>
      <c r="L60" s="558"/>
    </row>
    <row r="61" spans="1:15" ht="16.5" thickBot="1" x14ac:dyDescent="0.3">
      <c r="A61" s="1480"/>
      <c r="B61" s="579" t="s">
        <v>249</v>
      </c>
      <c r="C61" s="1422"/>
      <c r="D61" s="1422"/>
      <c r="E61" s="616"/>
      <c r="F61" s="616">
        <v>2011</v>
      </c>
      <c r="G61" s="616"/>
      <c r="H61" s="616"/>
      <c r="I61" s="616">
        <v>2021</v>
      </c>
      <c r="J61" s="616"/>
      <c r="K61" s="616"/>
      <c r="L61" s="616"/>
    </row>
    <row r="62" spans="1:15" s="516" customFormat="1" x14ac:dyDescent="0.25">
      <c r="A62" s="1480"/>
      <c r="B62" s="1651" t="s">
        <v>156</v>
      </c>
      <c r="C62" s="1347" t="s">
        <v>355</v>
      </c>
      <c r="D62" s="207" t="s">
        <v>251</v>
      </c>
      <c r="E62" s="618"/>
      <c r="F62" s="521">
        <v>63570</v>
      </c>
      <c r="G62" s="562"/>
      <c r="H62" s="562"/>
      <c r="I62" s="521">
        <v>62409</v>
      </c>
      <c r="J62" s="453"/>
      <c r="K62" s="453"/>
      <c r="L62" s="556"/>
      <c r="M62" s="64"/>
      <c r="N62" s="64"/>
      <c r="O62" s="64"/>
    </row>
    <row r="63" spans="1:15" ht="15" customHeight="1" x14ac:dyDescent="0.25">
      <c r="A63" s="1480"/>
      <c r="B63" s="1313"/>
      <c r="C63" s="1348"/>
      <c r="D63" s="28" t="s">
        <v>257</v>
      </c>
      <c r="E63" s="614"/>
      <c r="F63" s="518">
        <v>29475</v>
      </c>
      <c r="G63" s="559"/>
      <c r="H63" s="559"/>
      <c r="I63" s="518">
        <v>29748</v>
      </c>
      <c r="J63" s="403"/>
      <c r="K63" s="403"/>
      <c r="L63" s="407"/>
    </row>
    <row r="64" spans="1:15" ht="16.5" thickBot="1" x14ac:dyDescent="0.3">
      <c r="A64" s="1480"/>
      <c r="B64" s="1313"/>
      <c r="C64" s="1349"/>
      <c r="D64" s="33" t="s">
        <v>263</v>
      </c>
      <c r="E64" s="619"/>
      <c r="F64" s="533">
        <v>34095</v>
      </c>
      <c r="G64" s="563"/>
      <c r="H64" s="563"/>
      <c r="I64" s="533">
        <v>32661</v>
      </c>
      <c r="J64" s="452"/>
      <c r="K64" s="452"/>
      <c r="L64" s="557"/>
    </row>
    <row r="65" spans="1:12" ht="16.5" hidden="1" thickBot="1" x14ac:dyDescent="0.3">
      <c r="A65" s="1480"/>
      <c r="B65" s="1313"/>
      <c r="C65" s="1652" t="s">
        <v>356</v>
      </c>
      <c r="D65" s="241" t="s">
        <v>251</v>
      </c>
      <c r="E65" s="561"/>
      <c r="F65" s="243">
        <v>430</v>
      </c>
      <c r="G65" s="467"/>
      <c r="H65" s="467"/>
      <c r="I65" s="220"/>
      <c r="J65" s="448"/>
      <c r="K65" s="448"/>
      <c r="L65" s="448"/>
    </row>
    <row r="66" spans="1:12" ht="16.5" hidden="1" thickBot="1" x14ac:dyDescent="0.3">
      <c r="A66" s="1480"/>
      <c r="B66" s="1313"/>
      <c r="C66" s="1403"/>
      <c r="D66" s="28" t="s">
        <v>257</v>
      </c>
      <c r="E66" s="614"/>
      <c r="F66" s="80">
        <v>320</v>
      </c>
      <c r="G66" s="95"/>
      <c r="H66" s="95"/>
      <c r="I66" s="96"/>
      <c r="J66" s="403"/>
      <c r="K66" s="403"/>
      <c r="L66" s="403"/>
    </row>
    <row r="67" spans="1:12" ht="16.5" hidden="1" thickBot="1" x14ac:dyDescent="0.3">
      <c r="A67" s="1480"/>
      <c r="B67" s="1313"/>
      <c r="C67" s="1403"/>
      <c r="D67" s="28" t="s">
        <v>263</v>
      </c>
      <c r="E67" s="614"/>
      <c r="F67" s="80">
        <v>110</v>
      </c>
      <c r="G67" s="95"/>
      <c r="H67" s="95"/>
      <c r="I67" s="96"/>
      <c r="J67" s="403"/>
      <c r="K67" s="403"/>
      <c r="L67" s="403"/>
    </row>
    <row r="68" spans="1:12" ht="16.5" hidden="1" thickBot="1" x14ac:dyDescent="0.3">
      <c r="A68" s="1480"/>
      <c r="B68" s="1313"/>
      <c r="C68" s="1403"/>
      <c r="D68" s="28" t="s">
        <v>357</v>
      </c>
      <c r="E68" s="614"/>
      <c r="F68" s="97">
        <f>F67/F65*100</f>
        <v>25.581395348837212</v>
      </c>
      <c r="G68" s="94"/>
      <c r="H68" s="94"/>
      <c r="I68" s="28"/>
      <c r="J68" s="403"/>
      <c r="K68" s="403"/>
      <c r="L68" s="403"/>
    </row>
    <row r="69" spans="1:12" ht="14.85" hidden="1" customHeight="1" x14ac:dyDescent="0.25">
      <c r="A69" s="1480"/>
      <c r="B69" s="1313"/>
      <c r="C69" s="1403" t="s">
        <v>358</v>
      </c>
      <c r="D69" s="144" t="s">
        <v>251</v>
      </c>
      <c r="E69" s="614"/>
      <c r="F69" s="80">
        <v>1095</v>
      </c>
      <c r="G69" s="80"/>
      <c r="H69" s="80"/>
      <c r="I69" s="80">
        <v>525</v>
      </c>
      <c r="J69" s="403"/>
      <c r="K69" s="403"/>
      <c r="L69" s="403"/>
    </row>
    <row r="70" spans="1:12" ht="16.5" hidden="1" thickBot="1" x14ac:dyDescent="0.3">
      <c r="A70" s="1480"/>
      <c r="B70" s="1313"/>
      <c r="C70" s="1403"/>
      <c r="D70" s="28" t="s">
        <v>257</v>
      </c>
      <c r="E70" s="614"/>
      <c r="F70" s="80">
        <v>830</v>
      </c>
      <c r="G70" s="80"/>
      <c r="H70" s="80"/>
      <c r="I70" s="80">
        <v>360</v>
      </c>
      <c r="J70" s="403"/>
      <c r="K70" s="403"/>
      <c r="L70" s="403"/>
    </row>
    <row r="71" spans="1:12" ht="16.5" hidden="1" thickBot="1" x14ac:dyDescent="0.3">
      <c r="A71" s="1480"/>
      <c r="B71" s="1313"/>
      <c r="C71" s="1403"/>
      <c r="D71" s="28" t="s">
        <v>263</v>
      </c>
      <c r="E71" s="614"/>
      <c r="F71" s="80">
        <v>270</v>
      </c>
      <c r="G71" s="80"/>
      <c r="H71" s="80"/>
      <c r="I71" s="80">
        <v>165</v>
      </c>
      <c r="J71" s="403"/>
      <c r="K71" s="403"/>
      <c r="L71" s="403"/>
    </row>
    <row r="72" spans="1:12" ht="16.5" hidden="1" thickBot="1" x14ac:dyDescent="0.3">
      <c r="A72" s="1480"/>
      <c r="B72" s="1313"/>
      <c r="C72" s="1403"/>
      <c r="D72" s="28" t="s">
        <v>357</v>
      </c>
      <c r="E72" s="614"/>
      <c r="F72" s="97">
        <f>F71/F69*100</f>
        <v>24.657534246575342</v>
      </c>
      <c r="G72" s="94"/>
      <c r="H72" s="94"/>
      <c r="I72" s="97">
        <f>I71/I69*100</f>
        <v>31.428571428571427</v>
      </c>
      <c r="J72" s="403"/>
      <c r="K72" s="403"/>
      <c r="L72" s="403"/>
    </row>
    <row r="73" spans="1:12" ht="14.85" hidden="1" customHeight="1" x14ac:dyDescent="0.25">
      <c r="A73" s="1480"/>
      <c r="B73" s="1313"/>
      <c r="C73" s="1403" t="s">
        <v>359</v>
      </c>
      <c r="D73" s="144" t="s">
        <v>251</v>
      </c>
      <c r="E73" s="614"/>
      <c r="F73" s="80">
        <v>2210</v>
      </c>
      <c r="G73" s="80"/>
      <c r="H73" s="80"/>
      <c r="I73" s="80">
        <v>2646</v>
      </c>
      <c r="J73" s="403"/>
      <c r="K73" s="403"/>
      <c r="L73" s="403"/>
    </row>
    <row r="74" spans="1:12" ht="16.5" hidden="1" thickBot="1" x14ac:dyDescent="0.3">
      <c r="A74" s="1480"/>
      <c r="B74" s="1313"/>
      <c r="C74" s="1403"/>
      <c r="D74" s="28" t="s">
        <v>257</v>
      </c>
      <c r="E74" s="614"/>
      <c r="F74" s="80">
        <v>1270</v>
      </c>
      <c r="G74" s="80"/>
      <c r="H74" s="80"/>
      <c r="I74" s="80">
        <v>1467</v>
      </c>
      <c r="J74" s="403"/>
      <c r="K74" s="403"/>
      <c r="L74" s="403"/>
    </row>
    <row r="75" spans="1:12" ht="16.5" hidden="1" thickBot="1" x14ac:dyDescent="0.3">
      <c r="A75" s="1480"/>
      <c r="B75" s="1313"/>
      <c r="C75" s="1403"/>
      <c r="D75" s="28" t="s">
        <v>263</v>
      </c>
      <c r="E75" s="614"/>
      <c r="F75" s="80">
        <v>940</v>
      </c>
      <c r="G75" s="80"/>
      <c r="H75" s="80"/>
      <c r="I75" s="80">
        <v>1176</v>
      </c>
      <c r="J75" s="403"/>
      <c r="K75" s="403"/>
      <c r="L75" s="403"/>
    </row>
    <row r="76" spans="1:12" ht="16.5" hidden="1" thickBot="1" x14ac:dyDescent="0.3">
      <c r="A76" s="1480"/>
      <c r="B76" s="1313"/>
      <c r="C76" s="1403"/>
      <c r="D76" s="28" t="s">
        <v>357</v>
      </c>
      <c r="E76" s="614"/>
      <c r="F76" s="98">
        <f>F75/F73*100</f>
        <v>42.533936651583709</v>
      </c>
      <c r="G76" s="94"/>
      <c r="H76" s="94"/>
      <c r="I76" s="98">
        <f>I75/I73*100</f>
        <v>44.444444444444443</v>
      </c>
      <c r="J76" s="403"/>
      <c r="K76" s="403"/>
      <c r="L76" s="403"/>
    </row>
    <row r="77" spans="1:12" ht="14.85" hidden="1" customHeight="1" x14ac:dyDescent="0.25">
      <c r="A77" s="1480"/>
      <c r="B77" s="1313"/>
      <c r="C77" s="1403" t="s">
        <v>360</v>
      </c>
      <c r="D77" s="144" t="s">
        <v>251</v>
      </c>
      <c r="E77" s="614"/>
      <c r="F77" s="80">
        <v>2035</v>
      </c>
      <c r="G77" s="80"/>
      <c r="H77" s="80"/>
      <c r="I77" s="80">
        <v>723</v>
      </c>
      <c r="J77" s="403"/>
      <c r="K77" s="403"/>
      <c r="L77" s="403"/>
    </row>
    <row r="78" spans="1:12" ht="16.5" hidden="1" thickBot="1" x14ac:dyDescent="0.3">
      <c r="A78" s="1480"/>
      <c r="B78" s="1313"/>
      <c r="C78" s="1403"/>
      <c r="D78" s="28" t="s">
        <v>257</v>
      </c>
      <c r="E78" s="614"/>
      <c r="F78" s="80">
        <v>1395</v>
      </c>
      <c r="G78" s="80"/>
      <c r="H78" s="80"/>
      <c r="I78" s="80">
        <v>459</v>
      </c>
      <c r="J78" s="403"/>
      <c r="K78" s="403"/>
      <c r="L78" s="403"/>
    </row>
    <row r="79" spans="1:12" ht="16.5" hidden="1" thickBot="1" x14ac:dyDescent="0.3">
      <c r="A79" s="1480"/>
      <c r="B79" s="1313"/>
      <c r="C79" s="1403"/>
      <c r="D79" s="28" t="s">
        <v>263</v>
      </c>
      <c r="E79" s="614"/>
      <c r="F79" s="80">
        <v>635</v>
      </c>
      <c r="G79" s="80"/>
      <c r="H79" s="80"/>
      <c r="I79" s="80">
        <v>267</v>
      </c>
      <c r="J79" s="403"/>
      <c r="K79" s="403"/>
      <c r="L79" s="403"/>
    </row>
    <row r="80" spans="1:12" ht="16.5" hidden="1" thickBot="1" x14ac:dyDescent="0.3">
      <c r="A80" s="1480"/>
      <c r="B80" s="1313"/>
      <c r="C80" s="1403"/>
      <c r="D80" s="28" t="s">
        <v>357</v>
      </c>
      <c r="E80" s="614"/>
      <c r="F80" s="97">
        <f>F79/F77*100</f>
        <v>31.203931203931205</v>
      </c>
      <c r="G80" s="94"/>
      <c r="H80" s="94"/>
      <c r="I80" s="97">
        <f>I79/I77*100</f>
        <v>36.929460580912867</v>
      </c>
      <c r="J80" s="403"/>
      <c r="K80" s="403"/>
      <c r="L80" s="403"/>
    </row>
    <row r="81" spans="1:12" ht="14.85" hidden="1" customHeight="1" x14ac:dyDescent="0.25">
      <c r="A81" s="1480"/>
      <c r="B81" s="1313"/>
      <c r="C81" s="1403" t="s">
        <v>361</v>
      </c>
      <c r="D81" s="144" t="s">
        <v>251</v>
      </c>
      <c r="E81" s="614"/>
      <c r="F81" s="80">
        <v>460</v>
      </c>
      <c r="G81" s="80"/>
      <c r="H81" s="80"/>
      <c r="I81" s="80">
        <v>441</v>
      </c>
      <c r="J81" s="403"/>
      <c r="K81" s="403"/>
      <c r="L81" s="403"/>
    </row>
    <row r="82" spans="1:12" ht="16.5" hidden="1" thickBot="1" x14ac:dyDescent="0.3">
      <c r="A82" s="1480"/>
      <c r="B82" s="1313"/>
      <c r="C82" s="1403"/>
      <c r="D82" s="28" t="s">
        <v>257</v>
      </c>
      <c r="E82" s="614"/>
      <c r="F82" s="80">
        <v>325</v>
      </c>
      <c r="G82" s="80"/>
      <c r="H82" s="80"/>
      <c r="I82" s="80">
        <v>258</v>
      </c>
      <c r="J82" s="403"/>
      <c r="K82" s="403"/>
      <c r="L82" s="403"/>
    </row>
    <row r="83" spans="1:12" ht="16.5" hidden="1" thickBot="1" x14ac:dyDescent="0.3">
      <c r="A83" s="1480"/>
      <c r="B83" s="1313"/>
      <c r="C83" s="1403"/>
      <c r="D83" s="28" t="s">
        <v>263</v>
      </c>
      <c r="E83" s="614"/>
      <c r="F83" s="80">
        <v>135</v>
      </c>
      <c r="G83" s="80"/>
      <c r="H83" s="80"/>
      <c r="I83" s="80">
        <v>183</v>
      </c>
      <c r="J83" s="403"/>
      <c r="K83" s="403"/>
      <c r="L83" s="403"/>
    </row>
    <row r="84" spans="1:12" ht="16.5" hidden="1" thickBot="1" x14ac:dyDescent="0.3">
      <c r="A84" s="1480"/>
      <c r="B84" s="1313"/>
      <c r="C84" s="1403"/>
      <c r="D84" s="28" t="s">
        <v>357</v>
      </c>
      <c r="E84" s="614"/>
      <c r="F84" s="97">
        <f>(F83/F81)*100</f>
        <v>29.347826086956523</v>
      </c>
      <c r="G84" s="94"/>
      <c r="H84" s="94"/>
      <c r="I84" s="98">
        <f>I83/I81*100</f>
        <v>41.496598639455783</v>
      </c>
      <c r="J84" s="403"/>
      <c r="K84" s="403"/>
      <c r="L84" s="403"/>
    </row>
    <row r="85" spans="1:12" ht="14.85" hidden="1" customHeight="1" x14ac:dyDescent="0.25">
      <c r="A85" s="1480"/>
      <c r="B85" s="1313"/>
      <c r="C85" s="1403" t="s">
        <v>362</v>
      </c>
      <c r="D85" s="144" t="s">
        <v>251</v>
      </c>
      <c r="E85" s="614"/>
      <c r="F85" s="80">
        <v>280</v>
      </c>
      <c r="G85" s="80"/>
      <c r="H85" s="80"/>
      <c r="I85" s="80">
        <v>588</v>
      </c>
      <c r="J85" s="403"/>
      <c r="K85" s="403"/>
      <c r="L85" s="403"/>
    </row>
    <row r="86" spans="1:12" ht="15" hidden="1" customHeight="1" x14ac:dyDescent="0.25">
      <c r="A86" s="1480"/>
      <c r="B86" s="1313"/>
      <c r="C86" s="1403"/>
      <c r="D86" s="28" t="s">
        <v>257</v>
      </c>
      <c r="E86" s="614"/>
      <c r="F86" s="80">
        <v>165</v>
      </c>
      <c r="G86" s="80"/>
      <c r="H86" s="80"/>
      <c r="I86" s="80">
        <v>381</v>
      </c>
      <c r="J86" s="403"/>
      <c r="K86" s="403"/>
      <c r="L86" s="403"/>
    </row>
    <row r="87" spans="1:12" ht="16.5" hidden="1" thickBot="1" x14ac:dyDescent="0.3">
      <c r="A87" s="1480"/>
      <c r="B87" s="1313"/>
      <c r="C87" s="1403"/>
      <c r="D87" s="28" t="s">
        <v>263</v>
      </c>
      <c r="E87" s="614"/>
      <c r="F87" s="80">
        <v>115</v>
      </c>
      <c r="G87" s="80"/>
      <c r="H87" s="80"/>
      <c r="I87" s="80">
        <v>210</v>
      </c>
      <c r="J87" s="403"/>
      <c r="K87" s="403"/>
      <c r="L87" s="403"/>
    </row>
    <row r="88" spans="1:12" ht="16.5" hidden="1" thickBot="1" x14ac:dyDescent="0.3">
      <c r="A88" s="1480"/>
      <c r="B88" s="1313"/>
      <c r="C88" s="1403"/>
      <c r="D88" s="28" t="s">
        <v>357</v>
      </c>
      <c r="E88" s="614"/>
      <c r="F88" s="98">
        <f>(F87/F85)*100</f>
        <v>41.071428571428569</v>
      </c>
      <c r="G88" s="94"/>
      <c r="H88" s="94"/>
      <c r="I88" s="97">
        <f>I87/I85*100</f>
        <v>35.714285714285715</v>
      </c>
      <c r="J88" s="403"/>
      <c r="K88" s="403"/>
      <c r="L88" s="403"/>
    </row>
    <row r="89" spans="1:12" ht="14.85" hidden="1" customHeight="1" x14ac:dyDescent="0.25">
      <c r="A89" s="1480"/>
      <c r="B89" s="1313"/>
      <c r="C89" s="1403" t="s">
        <v>363</v>
      </c>
      <c r="D89" s="144" t="s">
        <v>251</v>
      </c>
      <c r="E89" s="614"/>
      <c r="F89" s="80">
        <v>4345</v>
      </c>
      <c r="G89" s="80"/>
      <c r="H89" s="80"/>
      <c r="I89" s="80">
        <v>4329</v>
      </c>
      <c r="J89" s="403"/>
      <c r="K89" s="403"/>
      <c r="L89" s="403"/>
    </row>
    <row r="90" spans="1:12" ht="16.5" hidden="1" thickBot="1" x14ac:dyDescent="0.3">
      <c r="A90" s="1480"/>
      <c r="B90" s="1313"/>
      <c r="C90" s="1403"/>
      <c r="D90" s="28" t="s">
        <v>257</v>
      </c>
      <c r="E90" s="614"/>
      <c r="F90" s="80">
        <v>1420</v>
      </c>
      <c r="G90" s="80"/>
      <c r="H90" s="80"/>
      <c r="I90" s="80">
        <v>1323</v>
      </c>
      <c r="J90" s="403"/>
      <c r="K90" s="403"/>
      <c r="L90" s="403"/>
    </row>
    <row r="91" spans="1:12" ht="16.5" hidden="1" thickBot="1" x14ac:dyDescent="0.3">
      <c r="A91" s="1480"/>
      <c r="B91" s="1313"/>
      <c r="C91" s="1403"/>
      <c r="D91" s="28" t="s">
        <v>263</v>
      </c>
      <c r="E91" s="614"/>
      <c r="F91" s="80">
        <v>2925</v>
      </c>
      <c r="G91" s="80"/>
      <c r="H91" s="80"/>
      <c r="I91" s="80">
        <v>3003</v>
      </c>
      <c r="J91" s="403"/>
      <c r="K91" s="403"/>
      <c r="L91" s="403"/>
    </row>
    <row r="92" spans="1:12" ht="16.5" hidden="1" thickBot="1" x14ac:dyDescent="0.3">
      <c r="A92" s="1480"/>
      <c r="B92" s="1313"/>
      <c r="C92" s="1403"/>
      <c r="D92" s="28" t="s">
        <v>357</v>
      </c>
      <c r="E92" s="614"/>
      <c r="F92" s="99">
        <f>(F91/F89)*100</f>
        <v>67.318757192174914</v>
      </c>
      <c r="G92" s="94"/>
      <c r="H92" s="94"/>
      <c r="I92" s="99">
        <f>I91/I89*100</f>
        <v>69.369369369369366</v>
      </c>
      <c r="J92" s="403"/>
      <c r="K92" s="403"/>
      <c r="L92" s="403"/>
    </row>
    <row r="93" spans="1:12" ht="14.85" hidden="1" customHeight="1" x14ac:dyDescent="0.25">
      <c r="A93" s="1480"/>
      <c r="B93" s="1313"/>
      <c r="C93" s="1403" t="s">
        <v>364</v>
      </c>
      <c r="D93" s="144" t="s">
        <v>251</v>
      </c>
      <c r="E93" s="614"/>
      <c r="F93" s="80">
        <v>3890</v>
      </c>
      <c r="G93" s="80"/>
      <c r="H93" s="80"/>
      <c r="I93" s="80">
        <v>3885</v>
      </c>
      <c r="J93" s="403"/>
      <c r="K93" s="403"/>
      <c r="L93" s="403"/>
    </row>
    <row r="94" spans="1:12" ht="14.85" hidden="1" customHeight="1" x14ac:dyDescent="0.25">
      <c r="A94" s="1480"/>
      <c r="B94" s="1313"/>
      <c r="C94" s="1403"/>
      <c r="D94" s="28" t="s">
        <v>257</v>
      </c>
      <c r="E94" s="614"/>
      <c r="F94" s="80">
        <v>1300</v>
      </c>
      <c r="G94" s="80"/>
      <c r="H94" s="80"/>
      <c r="I94" s="80">
        <v>1521</v>
      </c>
      <c r="J94" s="403"/>
      <c r="K94" s="403"/>
      <c r="L94" s="403"/>
    </row>
    <row r="95" spans="1:12" ht="16.5" hidden="1" thickBot="1" x14ac:dyDescent="0.3">
      <c r="A95" s="1480"/>
      <c r="B95" s="1313"/>
      <c r="C95" s="1403"/>
      <c r="D95" s="28" t="s">
        <v>263</v>
      </c>
      <c r="E95" s="614"/>
      <c r="F95" s="80">
        <v>2590</v>
      </c>
      <c r="G95" s="80"/>
      <c r="H95" s="80"/>
      <c r="I95" s="80">
        <v>2367</v>
      </c>
      <c r="J95" s="403"/>
      <c r="K95" s="403"/>
      <c r="L95" s="403"/>
    </row>
    <row r="96" spans="1:12" ht="16.5" hidden="1" thickBot="1" x14ac:dyDescent="0.3">
      <c r="A96" s="1480"/>
      <c r="B96" s="1313"/>
      <c r="C96" s="1403"/>
      <c r="D96" s="28" t="s">
        <v>357</v>
      </c>
      <c r="E96" s="614"/>
      <c r="F96" s="99">
        <f>(F95/F93)*100</f>
        <v>66.580976863753222</v>
      </c>
      <c r="G96" s="94"/>
      <c r="H96" s="94"/>
      <c r="I96" s="99">
        <f>I95/I93*100</f>
        <v>60.926640926640928</v>
      </c>
      <c r="J96" s="403"/>
      <c r="K96" s="403"/>
      <c r="L96" s="403"/>
    </row>
    <row r="97" spans="1:12" ht="14.85" hidden="1" customHeight="1" x14ac:dyDescent="0.25">
      <c r="A97" s="1480"/>
      <c r="B97" s="1313"/>
      <c r="C97" s="1403" t="s">
        <v>365</v>
      </c>
      <c r="D97" s="144" t="s">
        <v>251</v>
      </c>
      <c r="E97" s="614"/>
      <c r="F97" s="80">
        <v>825</v>
      </c>
      <c r="G97" s="80"/>
      <c r="H97" s="80"/>
      <c r="I97" s="80">
        <v>1071</v>
      </c>
      <c r="J97" s="403"/>
      <c r="K97" s="403"/>
      <c r="L97" s="403"/>
    </row>
    <row r="98" spans="1:12" ht="16.5" hidden="1" thickBot="1" x14ac:dyDescent="0.3">
      <c r="A98" s="1480"/>
      <c r="B98" s="1313"/>
      <c r="C98" s="1403"/>
      <c r="D98" s="28" t="s">
        <v>257</v>
      </c>
      <c r="E98" s="614"/>
      <c r="F98" s="80">
        <v>325</v>
      </c>
      <c r="G98" s="80"/>
      <c r="H98" s="80"/>
      <c r="I98" s="80">
        <v>426</v>
      </c>
      <c r="J98" s="403"/>
      <c r="K98" s="403"/>
      <c r="L98" s="403"/>
    </row>
    <row r="99" spans="1:12" ht="16.5" hidden="1" thickBot="1" x14ac:dyDescent="0.3">
      <c r="A99" s="1480"/>
      <c r="B99" s="1313"/>
      <c r="C99" s="1403"/>
      <c r="D99" s="28" t="s">
        <v>263</v>
      </c>
      <c r="E99" s="614"/>
      <c r="F99" s="80">
        <v>500</v>
      </c>
      <c r="G99" s="80"/>
      <c r="H99" s="80"/>
      <c r="I99" s="80">
        <v>648</v>
      </c>
      <c r="J99" s="403"/>
      <c r="K99" s="403"/>
      <c r="L99" s="403"/>
    </row>
    <row r="100" spans="1:12" ht="16.5" hidden="1" thickBot="1" x14ac:dyDescent="0.3">
      <c r="A100" s="1480"/>
      <c r="B100" s="1313"/>
      <c r="C100" s="1403"/>
      <c r="D100" s="28" t="s">
        <v>357</v>
      </c>
      <c r="E100" s="614"/>
      <c r="F100" s="99">
        <f>(F99/F97)*100</f>
        <v>60.606060606060609</v>
      </c>
      <c r="G100" s="94"/>
      <c r="H100" s="94"/>
      <c r="I100" s="99">
        <f>I99/I97*100</f>
        <v>60.504201680672267</v>
      </c>
      <c r="J100" s="403"/>
      <c r="K100" s="403"/>
      <c r="L100" s="403"/>
    </row>
    <row r="101" spans="1:12" ht="14.85" hidden="1" customHeight="1" x14ac:dyDescent="0.25">
      <c r="A101" s="1480"/>
      <c r="B101" s="1313"/>
      <c r="C101" s="1403" t="s">
        <v>366</v>
      </c>
      <c r="D101" s="144" t="s">
        <v>251</v>
      </c>
      <c r="E101" s="614"/>
      <c r="F101" s="80">
        <v>4895</v>
      </c>
      <c r="G101" s="80"/>
      <c r="H101" s="80"/>
      <c r="I101" s="80">
        <v>4308</v>
      </c>
      <c r="J101" s="403"/>
      <c r="K101" s="403"/>
      <c r="L101" s="403"/>
    </row>
    <row r="102" spans="1:12" ht="16.5" hidden="1" thickBot="1" x14ac:dyDescent="0.3">
      <c r="A102" s="1480"/>
      <c r="B102" s="1313"/>
      <c r="C102" s="1403"/>
      <c r="D102" s="28" t="s">
        <v>257</v>
      </c>
      <c r="E102" s="614"/>
      <c r="F102" s="80">
        <v>3175</v>
      </c>
      <c r="G102" s="80"/>
      <c r="H102" s="80"/>
      <c r="I102" s="80">
        <v>2586</v>
      </c>
      <c r="J102" s="403"/>
      <c r="K102" s="403"/>
      <c r="L102" s="403"/>
    </row>
    <row r="103" spans="1:12" ht="16.5" hidden="1" thickBot="1" x14ac:dyDescent="0.3">
      <c r="A103" s="1480"/>
      <c r="B103" s="1313"/>
      <c r="C103" s="1403"/>
      <c r="D103" s="28" t="s">
        <v>263</v>
      </c>
      <c r="E103" s="614"/>
      <c r="F103" s="80">
        <v>1715</v>
      </c>
      <c r="G103" s="80"/>
      <c r="H103" s="80"/>
      <c r="I103" s="80">
        <v>1719</v>
      </c>
      <c r="J103" s="403"/>
      <c r="K103" s="403"/>
      <c r="L103" s="403"/>
    </row>
    <row r="104" spans="1:12" ht="16.5" hidden="1" thickBot="1" x14ac:dyDescent="0.3">
      <c r="A104" s="1480"/>
      <c r="B104" s="1313"/>
      <c r="C104" s="1403"/>
      <c r="D104" s="28" t="s">
        <v>357</v>
      </c>
      <c r="E104" s="614"/>
      <c r="F104" s="97">
        <f>(F103/F101)*100</f>
        <v>35.035750766087844</v>
      </c>
      <c r="G104" s="94"/>
      <c r="H104" s="94"/>
      <c r="I104" s="97">
        <f>I103/I101*100</f>
        <v>39.902506963788305</v>
      </c>
      <c r="J104" s="403"/>
      <c r="K104" s="403"/>
      <c r="L104" s="403"/>
    </row>
    <row r="105" spans="1:12" ht="14.85" hidden="1" customHeight="1" x14ac:dyDescent="0.25">
      <c r="A105" s="1480"/>
      <c r="B105" s="1313"/>
      <c r="C105" s="1403" t="s">
        <v>367</v>
      </c>
      <c r="D105" s="144" t="s">
        <v>251</v>
      </c>
      <c r="E105" s="614"/>
      <c r="F105" s="80">
        <v>3115</v>
      </c>
      <c r="G105" s="80"/>
      <c r="H105" s="80"/>
      <c r="I105" s="80">
        <v>2937</v>
      </c>
      <c r="J105" s="404"/>
      <c r="K105" s="403"/>
      <c r="L105" s="403"/>
    </row>
    <row r="106" spans="1:12" ht="16.5" hidden="1" thickBot="1" x14ac:dyDescent="0.3">
      <c r="A106" s="1480"/>
      <c r="B106" s="1313"/>
      <c r="C106" s="1403"/>
      <c r="D106" s="28" t="s">
        <v>257</v>
      </c>
      <c r="E106" s="614"/>
      <c r="F106" s="80">
        <v>1565</v>
      </c>
      <c r="G106" s="80"/>
      <c r="H106" s="80"/>
      <c r="I106" s="80">
        <v>1446</v>
      </c>
      <c r="J106" s="404"/>
      <c r="K106" s="403"/>
      <c r="L106" s="403"/>
    </row>
    <row r="107" spans="1:12" ht="16.5" hidden="1" thickBot="1" x14ac:dyDescent="0.3">
      <c r="A107" s="1480"/>
      <c r="B107" s="1313"/>
      <c r="C107" s="1403"/>
      <c r="D107" s="28" t="s">
        <v>263</v>
      </c>
      <c r="E107" s="614"/>
      <c r="F107" s="80">
        <v>1545</v>
      </c>
      <c r="G107" s="80"/>
      <c r="H107" s="80"/>
      <c r="I107" s="80">
        <v>1494</v>
      </c>
      <c r="J107" s="404"/>
      <c r="K107" s="403"/>
      <c r="L107" s="403"/>
    </row>
    <row r="108" spans="1:12" ht="16.5" hidden="1" thickBot="1" x14ac:dyDescent="0.3">
      <c r="A108" s="1480"/>
      <c r="B108" s="1313"/>
      <c r="C108" s="1403"/>
      <c r="D108" s="28" t="s">
        <v>357</v>
      </c>
      <c r="E108" s="614"/>
      <c r="F108" s="98">
        <f>(F107/F105)*100</f>
        <v>49.59871589085072</v>
      </c>
      <c r="G108" s="94"/>
      <c r="H108" s="94"/>
      <c r="I108" s="98">
        <f>I107/I105*100</f>
        <v>50.868232890704803</v>
      </c>
      <c r="J108" s="404"/>
      <c r="K108" s="403"/>
      <c r="L108" s="403"/>
    </row>
    <row r="109" spans="1:12" ht="14.85" hidden="1" customHeight="1" x14ac:dyDescent="0.25">
      <c r="A109" s="1480"/>
      <c r="B109" s="1313"/>
      <c r="C109" s="1403" t="s">
        <v>368</v>
      </c>
      <c r="D109" s="144" t="s">
        <v>251</v>
      </c>
      <c r="E109" s="614"/>
      <c r="F109" s="80">
        <v>3395</v>
      </c>
      <c r="G109" s="80"/>
      <c r="H109" s="80"/>
      <c r="I109" s="80">
        <v>6099</v>
      </c>
      <c r="J109" s="404"/>
      <c r="K109" s="403"/>
      <c r="L109" s="403"/>
    </row>
    <row r="110" spans="1:12" ht="16.5" hidden="1" thickBot="1" x14ac:dyDescent="0.3">
      <c r="A110" s="1480"/>
      <c r="B110" s="1313"/>
      <c r="C110" s="1403"/>
      <c r="D110" s="28" t="s">
        <v>257</v>
      </c>
      <c r="E110" s="614"/>
      <c r="F110" s="80">
        <v>1465</v>
      </c>
      <c r="G110" s="80"/>
      <c r="H110" s="80"/>
      <c r="I110" s="80">
        <v>2802</v>
      </c>
      <c r="J110" s="404"/>
      <c r="K110" s="403"/>
      <c r="L110" s="403"/>
    </row>
    <row r="111" spans="1:12" ht="16.5" hidden="1" thickBot="1" x14ac:dyDescent="0.3">
      <c r="A111" s="1480"/>
      <c r="B111" s="1313"/>
      <c r="C111" s="1403"/>
      <c r="D111" s="28" t="s">
        <v>263</v>
      </c>
      <c r="E111" s="614"/>
      <c r="F111" s="80">
        <v>1930</v>
      </c>
      <c r="G111" s="80"/>
      <c r="H111" s="80"/>
      <c r="I111" s="80">
        <v>3294</v>
      </c>
      <c r="J111" s="404"/>
      <c r="K111" s="403"/>
      <c r="L111" s="403"/>
    </row>
    <row r="112" spans="1:12" ht="16.5" hidden="1" thickBot="1" x14ac:dyDescent="0.3">
      <c r="A112" s="1480"/>
      <c r="B112" s="1313"/>
      <c r="C112" s="1403"/>
      <c r="D112" s="28" t="s">
        <v>357</v>
      </c>
      <c r="E112" s="614"/>
      <c r="F112" s="98">
        <f>(F111/F109)*100</f>
        <v>56.848306332842412</v>
      </c>
      <c r="G112" s="94"/>
      <c r="H112" s="94"/>
      <c r="I112" s="98">
        <f>I111/I109*100</f>
        <v>54.008853910477129</v>
      </c>
      <c r="J112" s="404"/>
      <c r="K112" s="403"/>
      <c r="L112" s="403"/>
    </row>
    <row r="113" spans="1:12" ht="14.85" hidden="1" customHeight="1" x14ac:dyDescent="0.25">
      <c r="A113" s="1480"/>
      <c r="B113" s="1313"/>
      <c r="C113" s="1403" t="s">
        <v>369</v>
      </c>
      <c r="D113" s="144" t="s">
        <v>251</v>
      </c>
      <c r="E113" s="614"/>
      <c r="F113" s="80">
        <v>995</v>
      </c>
      <c r="G113" s="80"/>
      <c r="H113" s="80"/>
      <c r="I113" s="80">
        <v>1827</v>
      </c>
      <c r="J113" s="404"/>
      <c r="K113" s="403"/>
      <c r="L113" s="403"/>
    </row>
    <row r="114" spans="1:12" ht="16.5" hidden="1" thickBot="1" x14ac:dyDescent="0.3">
      <c r="A114" s="1480"/>
      <c r="B114" s="1313"/>
      <c r="C114" s="1403"/>
      <c r="D114" s="28" t="s">
        <v>257</v>
      </c>
      <c r="E114" s="614"/>
      <c r="F114" s="80">
        <v>625</v>
      </c>
      <c r="G114" s="80"/>
      <c r="H114" s="80"/>
      <c r="I114" s="80">
        <v>1233</v>
      </c>
      <c r="J114" s="404"/>
      <c r="K114" s="403"/>
      <c r="L114" s="403"/>
    </row>
    <row r="115" spans="1:12" ht="16.5" hidden="1" thickBot="1" x14ac:dyDescent="0.3">
      <c r="A115" s="1480"/>
      <c r="B115" s="1313"/>
      <c r="C115" s="1403"/>
      <c r="D115" s="28" t="s">
        <v>263</v>
      </c>
      <c r="E115" s="614"/>
      <c r="F115" s="80">
        <v>365</v>
      </c>
      <c r="G115" s="80"/>
      <c r="H115" s="80"/>
      <c r="I115" s="80">
        <v>594</v>
      </c>
      <c r="J115" s="404"/>
      <c r="K115" s="403"/>
      <c r="L115" s="403"/>
    </row>
    <row r="116" spans="1:12" ht="16.5" hidden="1" thickBot="1" x14ac:dyDescent="0.3">
      <c r="A116" s="1480"/>
      <c r="B116" s="1313"/>
      <c r="C116" s="1403"/>
      <c r="D116" s="28" t="s">
        <v>357</v>
      </c>
      <c r="E116" s="614"/>
      <c r="F116" s="97">
        <f>(F115/F113)*100</f>
        <v>36.683417085427131</v>
      </c>
      <c r="G116" s="94"/>
      <c r="H116" s="94"/>
      <c r="I116" s="97">
        <f>I115/I113*100</f>
        <v>32.512315270935957</v>
      </c>
      <c r="J116" s="404"/>
      <c r="K116" s="403"/>
      <c r="L116" s="403"/>
    </row>
    <row r="117" spans="1:12" ht="14.85" hidden="1" customHeight="1" x14ac:dyDescent="0.25">
      <c r="A117" s="1480"/>
      <c r="B117" s="1313"/>
      <c r="C117" s="1403" t="s">
        <v>370</v>
      </c>
      <c r="D117" s="144" t="s">
        <v>251</v>
      </c>
      <c r="E117" s="614"/>
      <c r="F117" s="80">
        <v>2770</v>
      </c>
      <c r="G117" s="80"/>
      <c r="H117" s="80"/>
      <c r="I117" s="80">
        <v>1245</v>
      </c>
      <c r="J117" s="404"/>
      <c r="K117" s="403"/>
      <c r="L117" s="403"/>
    </row>
    <row r="118" spans="1:12" ht="16.5" hidden="1" thickBot="1" x14ac:dyDescent="0.3">
      <c r="A118" s="1480"/>
      <c r="B118" s="1313"/>
      <c r="C118" s="1403"/>
      <c r="D118" s="28" t="s">
        <v>257</v>
      </c>
      <c r="E118" s="614"/>
      <c r="F118" s="80">
        <v>1110</v>
      </c>
      <c r="G118" s="80"/>
      <c r="H118" s="80"/>
      <c r="I118" s="80">
        <v>411</v>
      </c>
      <c r="J118" s="404"/>
      <c r="K118" s="403"/>
      <c r="L118" s="403"/>
    </row>
    <row r="119" spans="1:12" ht="16.5" hidden="1" thickBot="1" x14ac:dyDescent="0.3">
      <c r="A119" s="1480"/>
      <c r="B119" s="1313"/>
      <c r="C119" s="1403"/>
      <c r="D119" s="28" t="s">
        <v>263</v>
      </c>
      <c r="E119" s="614"/>
      <c r="F119" s="80">
        <v>1660</v>
      </c>
      <c r="G119" s="80"/>
      <c r="H119" s="80"/>
      <c r="I119" s="80">
        <v>834</v>
      </c>
      <c r="J119" s="404"/>
      <c r="K119" s="403"/>
      <c r="L119" s="403"/>
    </row>
    <row r="120" spans="1:12" ht="16.5" hidden="1" thickBot="1" x14ac:dyDescent="0.3">
      <c r="A120" s="1480"/>
      <c r="B120" s="1313"/>
      <c r="C120" s="1403"/>
      <c r="D120" s="28" t="s">
        <v>357</v>
      </c>
      <c r="E120" s="614"/>
      <c r="F120" s="98">
        <f>(F119/F117)*100</f>
        <v>59.927797833935017</v>
      </c>
      <c r="G120" s="94"/>
      <c r="H120" s="94"/>
      <c r="I120" s="99">
        <f>I119/I117*100</f>
        <v>66.987951807228924</v>
      </c>
      <c r="J120" s="404"/>
      <c r="K120" s="403"/>
      <c r="L120" s="403"/>
    </row>
    <row r="121" spans="1:12" ht="14.85" hidden="1" customHeight="1" x14ac:dyDescent="0.25">
      <c r="A121" s="1480"/>
      <c r="B121" s="1313"/>
      <c r="C121" s="1403" t="s">
        <v>371</v>
      </c>
      <c r="D121" s="144" t="s">
        <v>251</v>
      </c>
      <c r="E121" s="614"/>
      <c r="F121" s="80">
        <v>30</v>
      </c>
      <c r="G121" s="80"/>
      <c r="H121" s="80"/>
      <c r="I121" s="80">
        <v>1827</v>
      </c>
      <c r="J121" s="404"/>
      <c r="K121" s="403"/>
      <c r="L121" s="403"/>
    </row>
    <row r="122" spans="1:12" ht="16.5" hidden="1" thickBot="1" x14ac:dyDescent="0.3">
      <c r="A122" s="1480"/>
      <c r="B122" s="1313"/>
      <c r="C122" s="1403"/>
      <c r="D122" s="28" t="s">
        <v>257</v>
      </c>
      <c r="E122" s="614"/>
      <c r="F122" s="80">
        <v>30</v>
      </c>
      <c r="G122" s="80"/>
      <c r="H122" s="80"/>
      <c r="I122" s="80">
        <v>813</v>
      </c>
      <c r="J122" s="404"/>
      <c r="K122" s="403"/>
      <c r="L122" s="403"/>
    </row>
    <row r="123" spans="1:12" ht="16.5" hidden="1" thickBot="1" x14ac:dyDescent="0.3">
      <c r="A123" s="1480"/>
      <c r="B123" s="1313"/>
      <c r="C123" s="1403"/>
      <c r="D123" s="28" t="s">
        <v>263</v>
      </c>
      <c r="E123" s="614"/>
      <c r="F123" s="80">
        <v>0</v>
      </c>
      <c r="G123" s="80"/>
      <c r="H123" s="80"/>
      <c r="I123" s="80">
        <v>1017</v>
      </c>
      <c r="J123" s="404"/>
      <c r="K123" s="403"/>
      <c r="L123" s="403"/>
    </row>
    <row r="124" spans="1:12" ht="16.5" hidden="1" thickBot="1" x14ac:dyDescent="0.3">
      <c r="A124" s="1480"/>
      <c r="B124" s="1313"/>
      <c r="C124" s="1403"/>
      <c r="D124" s="28" t="s">
        <v>357</v>
      </c>
      <c r="E124" s="614"/>
      <c r="F124" s="97">
        <f>(F123/F121)*100</f>
        <v>0</v>
      </c>
      <c r="G124" s="94"/>
      <c r="H124" s="94"/>
      <c r="I124" s="98">
        <f>I123/I121*100</f>
        <v>55.665024630541872</v>
      </c>
      <c r="J124" s="404"/>
      <c r="K124" s="403"/>
      <c r="L124" s="403"/>
    </row>
    <row r="125" spans="1:12" ht="14.85" hidden="1" customHeight="1" x14ac:dyDescent="0.25">
      <c r="A125" s="1480"/>
      <c r="B125" s="1313"/>
      <c r="C125" s="1403" t="s">
        <v>372</v>
      </c>
      <c r="D125" s="144" t="s">
        <v>251</v>
      </c>
      <c r="E125" s="614"/>
      <c r="F125" s="80">
        <v>1190</v>
      </c>
      <c r="G125" s="80"/>
      <c r="H125" s="80"/>
      <c r="I125" s="80">
        <v>909</v>
      </c>
      <c r="J125" s="404"/>
      <c r="K125" s="403"/>
      <c r="L125" s="403"/>
    </row>
    <row r="126" spans="1:12" ht="14.85" hidden="1" customHeight="1" x14ac:dyDescent="0.25">
      <c r="A126" s="1480"/>
      <c r="B126" s="1313"/>
      <c r="C126" s="1403"/>
      <c r="D126" s="28" t="s">
        <v>257</v>
      </c>
      <c r="E126" s="614"/>
      <c r="F126" s="80">
        <v>770</v>
      </c>
      <c r="G126" s="80"/>
      <c r="H126" s="80"/>
      <c r="I126" s="80">
        <v>513</v>
      </c>
      <c r="J126" s="404"/>
      <c r="K126" s="403"/>
      <c r="L126" s="403"/>
    </row>
    <row r="127" spans="1:12" ht="16.5" hidden="1" thickBot="1" x14ac:dyDescent="0.3">
      <c r="A127" s="1480"/>
      <c r="B127" s="1313"/>
      <c r="C127" s="1403"/>
      <c r="D127" s="28" t="s">
        <v>263</v>
      </c>
      <c r="E127" s="614"/>
      <c r="F127" s="80">
        <v>425</v>
      </c>
      <c r="G127" s="80"/>
      <c r="H127" s="80"/>
      <c r="I127" s="80">
        <v>396</v>
      </c>
      <c r="J127" s="404"/>
      <c r="K127" s="403"/>
      <c r="L127" s="403"/>
    </row>
    <row r="128" spans="1:12" ht="16.5" hidden="1" thickBot="1" x14ac:dyDescent="0.3">
      <c r="A128" s="1480"/>
      <c r="B128" s="1313"/>
      <c r="C128" s="1403"/>
      <c r="D128" s="28" t="s">
        <v>357</v>
      </c>
      <c r="E128" s="614"/>
      <c r="F128" s="97">
        <f>(F127/F125)*100</f>
        <v>35.714285714285715</v>
      </c>
      <c r="G128" s="94"/>
      <c r="H128" s="94"/>
      <c r="I128" s="98">
        <f>I127/I125*100</f>
        <v>43.564356435643568</v>
      </c>
      <c r="J128" s="404"/>
      <c r="K128" s="403"/>
      <c r="L128" s="403"/>
    </row>
    <row r="129" spans="1:12" ht="14.85" hidden="1" customHeight="1" x14ac:dyDescent="0.25">
      <c r="A129" s="1480"/>
      <c r="B129" s="1313"/>
      <c r="C129" s="1403" t="s">
        <v>373</v>
      </c>
      <c r="D129" s="144" t="s">
        <v>251</v>
      </c>
      <c r="E129" s="614"/>
      <c r="F129" s="80">
        <v>145</v>
      </c>
      <c r="G129" s="80"/>
      <c r="H129" s="80"/>
      <c r="I129" s="80">
        <v>129</v>
      </c>
      <c r="J129" s="404"/>
      <c r="K129" s="403"/>
      <c r="L129" s="403"/>
    </row>
    <row r="130" spans="1:12" ht="16.5" hidden="1" thickBot="1" x14ac:dyDescent="0.3">
      <c r="A130" s="1480"/>
      <c r="B130" s="1313"/>
      <c r="C130" s="1403"/>
      <c r="D130" s="28" t="s">
        <v>257</v>
      </c>
      <c r="E130" s="614"/>
      <c r="F130" s="80">
        <v>75</v>
      </c>
      <c r="G130" s="80"/>
      <c r="H130" s="80"/>
      <c r="I130" s="80">
        <v>93</v>
      </c>
      <c r="J130" s="404"/>
      <c r="K130" s="403"/>
      <c r="L130" s="403"/>
    </row>
    <row r="131" spans="1:12" ht="16.5" hidden="1" thickBot="1" x14ac:dyDescent="0.3">
      <c r="A131" s="1480"/>
      <c r="B131" s="1313"/>
      <c r="C131" s="1403"/>
      <c r="D131" s="28" t="s">
        <v>263</v>
      </c>
      <c r="E131" s="614"/>
      <c r="F131" s="80">
        <v>70</v>
      </c>
      <c r="G131" s="80"/>
      <c r="H131" s="80"/>
      <c r="I131" s="80">
        <v>36</v>
      </c>
      <c r="J131" s="404"/>
      <c r="K131" s="403"/>
      <c r="L131" s="403"/>
    </row>
    <row r="132" spans="1:12" ht="16.5" hidden="1" thickBot="1" x14ac:dyDescent="0.3">
      <c r="A132" s="1480"/>
      <c r="B132" s="1313"/>
      <c r="C132" s="1403"/>
      <c r="D132" s="28" t="s">
        <v>357</v>
      </c>
      <c r="E132" s="614"/>
      <c r="F132" s="98">
        <f>(F131/F129)*100</f>
        <v>48.275862068965516</v>
      </c>
      <c r="G132" s="94"/>
      <c r="H132" s="94"/>
      <c r="I132" s="97">
        <f>I131/I129*100</f>
        <v>27.906976744186046</v>
      </c>
      <c r="J132" s="404"/>
      <c r="K132" s="403"/>
      <c r="L132" s="403"/>
    </row>
    <row r="133" spans="1:12" ht="14.85" hidden="1" customHeight="1" x14ac:dyDescent="0.25">
      <c r="A133" s="1480"/>
      <c r="B133" s="1313"/>
      <c r="C133" s="1403" t="s">
        <v>374</v>
      </c>
      <c r="D133" s="144" t="s">
        <v>251</v>
      </c>
      <c r="E133" s="614"/>
      <c r="F133" s="80">
        <v>285</v>
      </c>
      <c r="G133" s="80"/>
      <c r="H133" s="80"/>
      <c r="I133" s="80">
        <v>303</v>
      </c>
      <c r="J133" s="404"/>
      <c r="K133" s="403"/>
      <c r="L133" s="403"/>
    </row>
    <row r="134" spans="1:12" ht="16.5" hidden="1" thickBot="1" x14ac:dyDescent="0.3">
      <c r="A134" s="1480"/>
      <c r="B134" s="1313"/>
      <c r="C134" s="1403"/>
      <c r="D134" s="28" t="s">
        <v>257</v>
      </c>
      <c r="E134" s="614"/>
      <c r="F134" s="80">
        <v>45</v>
      </c>
      <c r="G134" s="80"/>
      <c r="H134" s="80"/>
      <c r="I134" s="80">
        <v>111</v>
      </c>
      <c r="J134" s="404"/>
      <c r="K134" s="403"/>
      <c r="L134" s="403"/>
    </row>
    <row r="135" spans="1:12" ht="16.5" hidden="1" thickBot="1" x14ac:dyDescent="0.3">
      <c r="A135" s="1480"/>
      <c r="B135" s="1313"/>
      <c r="C135" s="1403"/>
      <c r="D135" s="28" t="s">
        <v>263</v>
      </c>
      <c r="E135" s="614"/>
      <c r="F135" s="80">
        <v>235</v>
      </c>
      <c r="G135" s="80"/>
      <c r="H135" s="80"/>
      <c r="I135" s="80">
        <v>189</v>
      </c>
      <c r="J135" s="404"/>
      <c r="K135" s="403"/>
      <c r="L135" s="403"/>
    </row>
    <row r="136" spans="1:12" ht="16.5" hidden="1" thickBot="1" x14ac:dyDescent="0.3">
      <c r="A136" s="1480"/>
      <c r="B136" s="1313"/>
      <c r="C136" s="1403"/>
      <c r="D136" s="28" t="s">
        <v>357</v>
      </c>
      <c r="E136" s="614"/>
      <c r="F136" s="99">
        <f>(F135/F133)*100</f>
        <v>82.456140350877192</v>
      </c>
      <c r="G136" s="94"/>
      <c r="H136" s="94"/>
      <c r="I136" s="99">
        <f>I135/I133*100</f>
        <v>62.376237623762378</v>
      </c>
      <c r="J136" s="404"/>
      <c r="K136" s="403"/>
      <c r="L136" s="403"/>
    </row>
    <row r="137" spans="1:12" ht="14.85" hidden="1" customHeight="1" x14ac:dyDescent="0.25">
      <c r="A137" s="1480"/>
      <c r="B137" s="1313"/>
      <c r="C137" s="1403" t="s">
        <v>375</v>
      </c>
      <c r="D137" s="144" t="s">
        <v>251</v>
      </c>
      <c r="E137" s="614"/>
      <c r="F137" s="80">
        <v>80</v>
      </c>
      <c r="G137" s="80"/>
      <c r="H137" s="80"/>
      <c r="I137" s="80">
        <v>192</v>
      </c>
      <c r="J137" s="404"/>
      <c r="K137" s="403"/>
      <c r="L137" s="403"/>
    </row>
    <row r="138" spans="1:12" ht="14.85" hidden="1" customHeight="1" x14ac:dyDescent="0.25">
      <c r="A138" s="1480"/>
      <c r="B138" s="1313"/>
      <c r="C138" s="1403"/>
      <c r="D138" s="28" t="s">
        <v>257</v>
      </c>
      <c r="E138" s="614"/>
      <c r="F138" s="80">
        <v>55</v>
      </c>
      <c r="G138" s="80"/>
      <c r="H138" s="80"/>
      <c r="I138" s="80">
        <v>84</v>
      </c>
      <c r="J138" s="404"/>
      <c r="K138" s="403"/>
      <c r="L138" s="403"/>
    </row>
    <row r="139" spans="1:12" ht="16.5" hidden="1" thickBot="1" x14ac:dyDescent="0.3">
      <c r="A139" s="1480"/>
      <c r="B139" s="1313"/>
      <c r="C139" s="1403"/>
      <c r="D139" s="28" t="s">
        <v>263</v>
      </c>
      <c r="E139" s="614"/>
      <c r="F139" s="80">
        <v>25</v>
      </c>
      <c r="G139" s="80"/>
      <c r="H139" s="80"/>
      <c r="I139" s="80">
        <v>108</v>
      </c>
      <c r="J139" s="404"/>
      <c r="K139" s="403"/>
      <c r="L139" s="403"/>
    </row>
    <row r="140" spans="1:12" ht="16.5" hidden="1" thickBot="1" x14ac:dyDescent="0.3">
      <c r="A140" s="1480"/>
      <c r="B140" s="1313"/>
      <c r="C140" s="1403"/>
      <c r="D140" s="28" t="s">
        <v>357</v>
      </c>
      <c r="E140" s="614"/>
      <c r="F140" s="97">
        <f>(F139/F137)*100</f>
        <v>31.25</v>
      </c>
      <c r="G140" s="94"/>
      <c r="H140" s="94"/>
      <c r="I140" s="98">
        <f>I139/I137*100</f>
        <v>56.25</v>
      </c>
      <c r="J140" s="404"/>
      <c r="K140" s="403"/>
      <c r="L140" s="403"/>
    </row>
    <row r="141" spans="1:12" ht="14.85" hidden="1" customHeight="1" x14ac:dyDescent="0.25">
      <c r="A141" s="1480"/>
      <c r="B141" s="1313"/>
      <c r="C141" s="1403" t="s">
        <v>376</v>
      </c>
      <c r="D141" s="144" t="s">
        <v>251</v>
      </c>
      <c r="E141" s="614"/>
      <c r="F141" s="80">
        <v>1090</v>
      </c>
      <c r="G141" s="80"/>
      <c r="H141" s="80"/>
      <c r="I141" s="80">
        <v>2217</v>
      </c>
      <c r="J141" s="404"/>
      <c r="K141" s="403"/>
      <c r="L141" s="403"/>
    </row>
    <row r="142" spans="1:12" ht="14.85" hidden="1" customHeight="1" x14ac:dyDescent="0.25">
      <c r="A142" s="1480"/>
      <c r="B142" s="1313"/>
      <c r="C142" s="1403"/>
      <c r="D142" s="28" t="s">
        <v>257</v>
      </c>
      <c r="E142" s="614"/>
      <c r="F142" s="80">
        <v>625</v>
      </c>
      <c r="G142" s="80"/>
      <c r="H142" s="80"/>
      <c r="I142" s="80">
        <v>1206</v>
      </c>
      <c r="J142" s="404"/>
      <c r="K142" s="403"/>
      <c r="L142" s="403"/>
    </row>
    <row r="143" spans="1:12" ht="16.5" hidden="1" thickBot="1" x14ac:dyDescent="0.3">
      <c r="A143" s="1480"/>
      <c r="B143" s="1313"/>
      <c r="C143" s="1403"/>
      <c r="D143" s="28" t="s">
        <v>263</v>
      </c>
      <c r="E143" s="614"/>
      <c r="F143" s="80">
        <v>465</v>
      </c>
      <c r="G143" s="80"/>
      <c r="H143" s="80"/>
      <c r="I143" s="80">
        <v>1014</v>
      </c>
      <c r="J143" s="404"/>
      <c r="K143" s="403"/>
      <c r="L143" s="403"/>
    </row>
    <row r="144" spans="1:12" ht="16.5" hidden="1" thickBot="1" x14ac:dyDescent="0.3">
      <c r="A144" s="1480"/>
      <c r="B144" s="1313"/>
      <c r="C144" s="1403"/>
      <c r="D144" s="28" t="s">
        <v>357</v>
      </c>
      <c r="E144" s="614"/>
      <c r="F144" s="98">
        <f>(F143/F141)*100</f>
        <v>42.660550458715598</v>
      </c>
      <c r="G144" s="94"/>
      <c r="H144" s="94"/>
      <c r="I144" s="98">
        <f>I143/I141*100</f>
        <v>45.737483085250332</v>
      </c>
      <c r="J144" s="404"/>
      <c r="K144" s="403"/>
      <c r="L144" s="403"/>
    </row>
    <row r="145" spans="1:12" ht="14.85" hidden="1" customHeight="1" x14ac:dyDescent="0.25">
      <c r="A145" s="1480"/>
      <c r="B145" s="1313"/>
      <c r="C145" s="1403" t="s">
        <v>377</v>
      </c>
      <c r="D145" s="144" t="s">
        <v>251</v>
      </c>
      <c r="E145" s="614"/>
      <c r="F145" s="80">
        <v>2010</v>
      </c>
      <c r="G145" s="80"/>
      <c r="H145" s="80"/>
      <c r="I145" s="80">
        <v>1374</v>
      </c>
      <c r="J145" s="404"/>
      <c r="K145" s="403"/>
      <c r="L145" s="403"/>
    </row>
    <row r="146" spans="1:12" ht="16.5" hidden="1" thickBot="1" x14ac:dyDescent="0.3">
      <c r="A146" s="1480"/>
      <c r="B146" s="1313"/>
      <c r="C146" s="1403"/>
      <c r="D146" s="28" t="s">
        <v>257</v>
      </c>
      <c r="E146" s="614"/>
      <c r="F146" s="80">
        <v>295</v>
      </c>
      <c r="G146" s="80"/>
      <c r="H146" s="80"/>
      <c r="I146" s="80">
        <v>426</v>
      </c>
      <c r="J146" s="404"/>
      <c r="K146" s="403"/>
      <c r="L146" s="403"/>
    </row>
    <row r="147" spans="1:12" ht="16.5" hidden="1" thickBot="1" x14ac:dyDescent="0.3">
      <c r="A147" s="1480"/>
      <c r="B147" s="1313"/>
      <c r="C147" s="1403"/>
      <c r="D147" s="28" t="s">
        <v>263</v>
      </c>
      <c r="E147" s="614"/>
      <c r="F147" s="80">
        <v>1715</v>
      </c>
      <c r="G147" s="80"/>
      <c r="H147" s="80"/>
      <c r="I147" s="80">
        <v>945</v>
      </c>
      <c r="J147" s="404"/>
      <c r="K147" s="403"/>
      <c r="L147" s="403"/>
    </row>
    <row r="148" spans="1:12" ht="16.5" hidden="1" thickBot="1" x14ac:dyDescent="0.3">
      <c r="A148" s="1480"/>
      <c r="B148" s="1313"/>
      <c r="C148" s="1403"/>
      <c r="D148" s="28" t="s">
        <v>357</v>
      </c>
      <c r="E148" s="614"/>
      <c r="F148" s="99">
        <f>(F147/F145)*100</f>
        <v>85.323383084577102</v>
      </c>
      <c r="G148" s="94"/>
      <c r="H148" s="94"/>
      <c r="I148" s="99">
        <f>I147/I145*100</f>
        <v>68.777292576419214</v>
      </c>
      <c r="J148" s="404"/>
      <c r="K148" s="403"/>
      <c r="L148" s="403"/>
    </row>
    <row r="149" spans="1:12" ht="14.85" hidden="1" customHeight="1" x14ac:dyDescent="0.25">
      <c r="A149" s="1480"/>
      <c r="B149" s="1313"/>
      <c r="C149" s="1403" t="s">
        <v>378</v>
      </c>
      <c r="D149" s="144" t="s">
        <v>251</v>
      </c>
      <c r="E149" s="614"/>
      <c r="F149" s="80">
        <v>950</v>
      </c>
      <c r="G149" s="80"/>
      <c r="H149" s="80"/>
      <c r="I149" s="80">
        <v>951</v>
      </c>
      <c r="J149" s="404"/>
      <c r="K149" s="403"/>
      <c r="L149" s="403"/>
    </row>
    <row r="150" spans="1:12" ht="16.5" hidden="1" thickBot="1" x14ac:dyDescent="0.3">
      <c r="A150" s="1480"/>
      <c r="B150" s="1313"/>
      <c r="C150" s="1403"/>
      <c r="D150" s="28" t="s">
        <v>257</v>
      </c>
      <c r="E150" s="614"/>
      <c r="F150" s="80">
        <v>485</v>
      </c>
      <c r="G150" s="80"/>
      <c r="H150" s="80"/>
      <c r="I150" s="80">
        <v>465</v>
      </c>
      <c r="J150" s="404"/>
      <c r="K150" s="403"/>
      <c r="L150" s="403"/>
    </row>
    <row r="151" spans="1:12" ht="16.5" hidden="1" thickBot="1" x14ac:dyDescent="0.3">
      <c r="A151" s="1480"/>
      <c r="B151" s="1313"/>
      <c r="C151" s="1403"/>
      <c r="D151" s="28" t="s">
        <v>263</v>
      </c>
      <c r="E151" s="614"/>
      <c r="F151" s="80">
        <v>465</v>
      </c>
      <c r="G151" s="80"/>
      <c r="H151" s="80"/>
      <c r="I151" s="80">
        <v>489</v>
      </c>
      <c r="J151" s="404"/>
      <c r="K151" s="403"/>
      <c r="L151" s="403"/>
    </row>
    <row r="152" spans="1:12" ht="16.5" hidden="1" thickBot="1" x14ac:dyDescent="0.3">
      <c r="A152" s="1480"/>
      <c r="B152" s="1313"/>
      <c r="C152" s="1403"/>
      <c r="D152" s="28" t="s">
        <v>357</v>
      </c>
      <c r="E152" s="614"/>
      <c r="F152" s="98">
        <f>(F151/F149)*100</f>
        <v>48.947368421052637</v>
      </c>
      <c r="G152" s="94"/>
      <c r="H152" s="94"/>
      <c r="I152" s="98">
        <f>I151/I149*100</f>
        <v>51.419558359621455</v>
      </c>
      <c r="J152" s="404"/>
      <c r="K152" s="403"/>
      <c r="L152" s="403"/>
    </row>
    <row r="153" spans="1:12" ht="14.85" hidden="1" customHeight="1" x14ac:dyDescent="0.25">
      <c r="A153" s="1480"/>
      <c r="B153" s="1313"/>
      <c r="C153" s="1403" t="s">
        <v>379</v>
      </c>
      <c r="D153" s="144" t="s">
        <v>251</v>
      </c>
      <c r="E153" s="614"/>
      <c r="F153" s="80">
        <v>2135</v>
      </c>
      <c r="G153" s="80"/>
      <c r="H153" s="80"/>
      <c r="I153" s="80">
        <v>1434</v>
      </c>
      <c r="J153" s="404"/>
      <c r="K153" s="403"/>
      <c r="L153" s="403"/>
    </row>
    <row r="154" spans="1:12" ht="16.5" hidden="1" thickBot="1" x14ac:dyDescent="0.3">
      <c r="A154" s="1480"/>
      <c r="B154" s="1313"/>
      <c r="C154" s="1403"/>
      <c r="D154" s="28" t="s">
        <v>257</v>
      </c>
      <c r="E154" s="614"/>
      <c r="F154" s="80">
        <v>1470</v>
      </c>
      <c r="G154" s="80"/>
      <c r="H154" s="80"/>
      <c r="I154" s="80">
        <v>978</v>
      </c>
      <c r="J154" s="404"/>
      <c r="K154" s="403"/>
      <c r="L154" s="403"/>
    </row>
    <row r="155" spans="1:12" ht="16.5" hidden="1" thickBot="1" x14ac:dyDescent="0.3">
      <c r="A155" s="1480"/>
      <c r="B155" s="1313"/>
      <c r="C155" s="1403"/>
      <c r="D155" s="28" t="s">
        <v>263</v>
      </c>
      <c r="E155" s="614"/>
      <c r="F155" s="80">
        <v>665</v>
      </c>
      <c r="G155" s="80"/>
      <c r="H155" s="80"/>
      <c r="I155" s="80">
        <v>456</v>
      </c>
      <c r="J155" s="404"/>
      <c r="K155" s="403"/>
      <c r="L155" s="403"/>
    </row>
    <row r="156" spans="1:12" ht="16.5" hidden="1" thickBot="1" x14ac:dyDescent="0.3">
      <c r="A156" s="1480"/>
      <c r="B156" s="1313"/>
      <c r="C156" s="1403"/>
      <c r="D156" s="28" t="s">
        <v>357</v>
      </c>
      <c r="E156" s="614"/>
      <c r="F156" s="97">
        <f>(F155/F153)*100</f>
        <v>31.147540983606557</v>
      </c>
      <c r="G156" s="94"/>
      <c r="H156" s="94"/>
      <c r="I156" s="97">
        <f>I155/I153*100</f>
        <v>31.799163179916317</v>
      </c>
      <c r="J156" s="404"/>
      <c r="K156" s="403"/>
      <c r="L156" s="403"/>
    </row>
    <row r="157" spans="1:12" ht="14.85" hidden="1" customHeight="1" x14ac:dyDescent="0.25">
      <c r="A157" s="1480"/>
      <c r="B157" s="1313"/>
      <c r="C157" s="1403" t="s">
        <v>380</v>
      </c>
      <c r="D157" s="144" t="s">
        <v>251</v>
      </c>
      <c r="E157" s="614"/>
      <c r="F157" s="80">
        <v>2030</v>
      </c>
      <c r="G157" s="80"/>
      <c r="H157" s="80"/>
      <c r="I157" s="80">
        <v>1956</v>
      </c>
      <c r="J157" s="404"/>
      <c r="K157" s="403"/>
      <c r="L157" s="403"/>
    </row>
    <row r="158" spans="1:12" ht="16.5" hidden="1" thickBot="1" x14ac:dyDescent="0.3">
      <c r="A158" s="1480"/>
      <c r="B158" s="1313"/>
      <c r="C158" s="1403"/>
      <c r="D158" s="28" t="s">
        <v>257</v>
      </c>
      <c r="E158" s="614"/>
      <c r="F158" s="80">
        <v>780</v>
      </c>
      <c r="G158" s="80"/>
      <c r="H158" s="80"/>
      <c r="I158" s="80">
        <v>978</v>
      </c>
      <c r="J158" s="404"/>
      <c r="K158" s="403"/>
      <c r="L158" s="403"/>
    </row>
    <row r="159" spans="1:12" ht="16.5" hidden="1" thickBot="1" x14ac:dyDescent="0.3">
      <c r="A159" s="1480"/>
      <c r="B159" s="1313"/>
      <c r="C159" s="1403"/>
      <c r="D159" s="28" t="s">
        <v>263</v>
      </c>
      <c r="E159" s="614"/>
      <c r="F159" s="80">
        <v>1250</v>
      </c>
      <c r="G159" s="80"/>
      <c r="H159" s="80"/>
      <c r="I159" s="80">
        <v>978</v>
      </c>
      <c r="J159" s="404"/>
      <c r="K159" s="403"/>
      <c r="L159" s="403"/>
    </row>
    <row r="160" spans="1:12" ht="16.5" hidden="1" thickBot="1" x14ac:dyDescent="0.3">
      <c r="A160" s="1480"/>
      <c r="B160" s="1313"/>
      <c r="C160" s="1403"/>
      <c r="D160" s="28" t="s">
        <v>357</v>
      </c>
      <c r="E160" s="614"/>
      <c r="F160" s="99">
        <f>(F159/F157)*100</f>
        <v>61.576354679802961</v>
      </c>
      <c r="G160" s="94"/>
      <c r="H160" s="94"/>
      <c r="I160" s="98">
        <f>I159/I157*100</f>
        <v>50</v>
      </c>
      <c r="J160" s="404"/>
      <c r="K160" s="403"/>
      <c r="L160" s="403"/>
    </row>
    <row r="161" spans="1:12" ht="14.85" hidden="1" customHeight="1" x14ac:dyDescent="0.25">
      <c r="A161" s="1480"/>
      <c r="B161" s="1313"/>
      <c r="C161" s="1403" t="s">
        <v>381</v>
      </c>
      <c r="D161" s="144" t="s">
        <v>251</v>
      </c>
      <c r="E161" s="614"/>
      <c r="F161" s="80">
        <v>165</v>
      </c>
      <c r="G161" s="80"/>
      <c r="H161" s="80"/>
      <c r="I161" s="80">
        <v>189</v>
      </c>
      <c r="J161" s="403"/>
      <c r="K161" s="403"/>
      <c r="L161" s="403"/>
    </row>
    <row r="162" spans="1:12" ht="14.85" hidden="1" customHeight="1" x14ac:dyDescent="0.25">
      <c r="A162" s="1480"/>
      <c r="B162" s="1313"/>
      <c r="C162" s="1403"/>
      <c r="D162" s="28" t="s">
        <v>257</v>
      </c>
      <c r="E162" s="614"/>
      <c r="F162" s="80">
        <v>125</v>
      </c>
      <c r="G162" s="80"/>
      <c r="H162" s="80"/>
      <c r="I162" s="80">
        <v>87</v>
      </c>
      <c r="J162" s="403"/>
      <c r="K162" s="403"/>
      <c r="L162" s="403"/>
    </row>
    <row r="163" spans="1:12" ht="16.5" hidden="1" thickBot="1" x14ac:dyDescent="0.3">
      <c r="A163" s="1480"/>
      <c r="B163" s="1313"/>
      <c r="C163" s="1403"/>
      <c r="D163" s="28" t="s">
        <v>263</v>
      </c>
      <c r="E163" s="614"/>
      <c r="F163" s="80">
        <v>40</v>
      </c>
      <c r="G163" s="80"/>
      <c r="H163" s="80"/>
      <c r="I163" s="80">
        <v>102</v>
      </c>
      <c r="J163" s="403"/>
      <c r="K163" s="403"/>
      <c r="L163" s="403"/>
    </row>
    <row r="164" spans="1:12" ht="16.5" hidden="1" thickBot="1" x14ac:dyDescent="0.3">
      <c r="A164" s="1480"/>
      <c r="B164" s="1313"/>
      <c r="C164" s="1403"/>
      <c r="D164" s="28" t="s">
        <v>357</v>
      </c>
      <c r="E164" s="614"/>
      <c r="F164" s="97">
        <f>(F163/F161)*100</f>
        <v>24.242424242424242</v>
      </c>
      <c r="G164" s="94"/>
      <c r="H164" s="94"/>
      <c r="I164" s="98">
        <f>I163/I161*100</f>
        <v>53.968253968253968</v>
      </c>
      <c r="J164" s="403"/>
      <c r="K164" s="403"/>
      <c r="L164" s="403"/>
    </row>
    <row r="165" spans="1:12" ht="14.85" hidden="1" customHeight="1" x14ac:dyDescent="0.25">
      <c r="A165" s="1480"/>
      <c r="B165" s="1313"/>
      <c r="C165" s="1437" t="s">
        <v>382</v>
      </c>
      <c r="D165" s="145" t="s">
        <v>251</v>
      </c>
      <c r="E165" s="559"/>
      <c r="F165" s="80">
        <v>3010</v>
      </c>
      <c r="G165" s="80"/>
      <c r="H165" s="80"/>
      <c r="I165" s="80">
        <v>2565</v>
      </c>
      <c r="J165" s="404"/>
      <c r="K165" s="404"/>
      <c r="L165" s="404"/>
    </row>
    <row r="166" spans="1:12" ht="16.5" hidden="1" thickBot="1" x14ac:dyDescent="0.3">
      <c r="A166" s="1480"/>
      <c r="B166" s="1313"/>
      <c r="C166" s="1437"/>
      <c r="D166" s="96" t="s">
        <v>257</v>
      </c>
      <c r="E166" s="559"/>
      <c r="F166" s="80">
        <v>915</v>
      </c>
      <c r="G166" s="80"/>
      <c r="H166" s="80"/>
      <c r="I166" s="80">
        <v>885</v>
      </c>
      <c r="J166" s="404"/>
      <c r="K166" s="404"/>
      <c r="L166" s="404"/>
    </row>
    <row r="167" spans="1:12" ht="16.5" hidden="1" thickBot="1" x14ac:dyDescent="0.3">
      <c r="A167" s="1480"/>
      <c r="B167" s="1313"/>
      <c r="C167" s="1437"/>
      <c r="D167" s="96" t="s">
        <v>263</v>
      </c>
      <c r="E167" s="559"/>
      <c r="F167" s="80">
        <v>2095</v>
      </c>
      <c r="G167" s="80"/>
      <c r="H167" s="80"/>
      <c r="I167" s="80">
        <v>1677</v>
      </c>
      <c r="J167" s="404"/>
      <c r="K167" s="404"/>
      <c r="L167" s="404"/>
    </row>
    <row r="168" spans="1:12" ht="16.5" hidden="1" thickBot="1" x14ac:dyDescent="0.3">
      <c r="A168" s="1480"/>
      <c r="B168" s="1313"/>
      <c r="C168" s="1437"/>
      <c r="D168" s="96" t="s">
        <v>357</v>
      </c>
      <c r="E168" s="559"/>
      <c r="F168" s="99">
        <f>(F167/F165)*100</f>
        <v>69.601328903654476</v>
      </c>
      <c r="G168" s="94"/>
      <c r="H168" s="94"/>
      <c r="I168" s="99">
        <f>I167/I165*100</f>
        <v>65.380116959064324</v>
      </c>
      <c r="J168" s="404"/>
      <c r="K168" s="404"/>
      <c r="L168" s="404"/>
    </row>
    <row r="169" spans="1:12" ht="14.85" hidden="1" customHeight="1" x14ac:dyDescent="0.25">
      <c r="A169" s="1480"/>
      <c r="B169" s="1313"/>
      <c r="C169" s="1437" t="s">
        <v>383</v>
      </c>
      <c r="D169" s="145" t="s">
        <v>251</v>
      </c>
      <c r="E169" s="559"/>
      <c r="F169" s="80">
        <v>1180</v>
      </c>
      <c r="G169" s="80"/>
      <c r="H169" s="80"/>
      <c r="I169" s="80">
        <v>1080</v>
      </c>
      <c r="J169" s="404"/>
      <c r="K169" s="404"/>
      <c r="L169" s="404"/>
    </row>
    <row r="170" spans="1:12" ht="16.5" hidden="1" thickBot="1" x14ac:dyDescent="0.3">
      <c r="A170" s="1480"/>
      <c r="B170" s="1313"/>
      <c r="C170" s="1437"/>
      <c r="D170" s="96" t="s">
        <v>257</v>
      </c>
      <c r="E170" s="559"/>
      <c r="F170" s="80">
        <v>620</v>
      </c>
      <c r="G170" s="80"/>
      <c r="H170" s="80"/>
      <c r="I170" s="80">
        <v>369</v>
      </c>
      <c r="J170" s="404"/>
      <c r="K170" s="404"/>
      <c r="L170" s="404"/>
    </row>
    <row r="171" spans="1:12" ht="16.5" hidden="1" thickBot="1" x14ac:dyDescent="0.3">
      <c r="A171" s="1480"/>
      <c r="B171" s="1313"/>
      <c r="C171" s="1437"/>
      <c r="D171" s="96" t="s">
        <v>263</v>
      </c>
      <c r="E171" s="559"/>
      <c r="F171" s="80">
        <v>560</v>
      </c>
      <c r="G171" s="80"/>
      <c r="H171" s="80"/>
      <c r="I171" s="80">
        <v>708</v>
      </c>
      <c r="J171" s="404"/>
      <c r="K171" s="404"/>
      <c r="L171" s="404"/>
    </row>
    <row r="172" spans="1:12" ht="16.5" hidden="1" thickBot="1" x14ac:dyDescent="0.3">
      <c r="A172" s="1480"/>
      <c r="B172" s="1313"/>
      <c r="C172" s="1437"/>
      <c r="D172" s="96" t="s">
        <v>357</v>
      </c>
      <c r="E172" s="559"/>
      <c r="F172" s="98">
        <f>(F171/F169)*100</f>
        <v>47.457627118644069</v>
      </c>
      <c r="G172" s="94"/>
      <c r="H172" s="94"/>
      <c r="I172" s="99">
        <f>I171/I169*100</f>
        <v>65.555555555555557</v>
      </c>
      <c r="J172" s="404"/>
      <c r="K172" s="404"/>
      <c r="L172" s="404"/>
    </row>
    <row r="173" spans="1:12" ht="14.85" hidden="1" customHeight="1" x14ac:dyDescent="0.25">
      <c r="A173" s="1480"/>
      <c r="B173" s="1313"/>
      <c r="C173" s="1437" t="s">
        <v>384</v>
      </c>
      <c r="D173" s="145" t="s">
        <v>251</v>
      </c>
      <c r="E173" s="559"/>
      <c r="F173" s="80">
        <v>2055</v>
      </c>
      <c r="G173" s="80"/>
      <c r="H173" s="80"/>
      <c r="I173" s="80">
        <v>1428</v>
      </c>
      <c r="J173" s="404"/>
      <c r="K173" s="404"/>
      <c r="L173" s="404"/>
    </row>
    <row r="174" spans="1:12" ht="16.5" hidden="1" thickBot="1" x14ac:dyDescent="0.3">
      <c r="A174" s="1480"/>
      <c r="B174" s="1313"/>
      <c r="C174" s="1437"/>
      <c r="D174" s="96" t="s">
        <v>257</v>
      </c>
      <c r="E174" s="559"/>
      <c r="F174" s="80">
        <v>595</v>
      </c>
      <c r="G174" s="80"/>
      <c r="H174" s="80"/>
      <c r="I174" s="80">
        <v>480</v>
      </c>
      <c r="J174" s="404"/>
      <c r="K174" s="404"/>
      <c r="L174" s="404"/>
    </row>
    <row r="175" spans="1:12" ht="16.5" hidden="1" thickBot="1" x14ac:dyDescent="0.3">
      <c r="A175" s="1480"/>
      <c r="B175" s="1313"/>
      <c r="C175" s="1437"/>
      <c r="D175" s="96" t="s">
        <v>263</v>
      </c>
      <c r="E175" s="559"/>
      <c r="F175" s="80">
        <v>1460</v>
      </c>
      <c r="G175" s="80"/>
      <c r="H175" s="80"/>
      <c r="I175" s="80">
        <v>948</v>
      </c>
      <c r="J175" s="404"/>
      <c r="K175" s="404"/>
      <c r="L175" s="404"/>
    </row>
    <row r="176" spans="1:12" ht="16.5" hidden="1" thickBot="1" x14ac:dyDescent="0.3">
      <c r="A176" s="1480"/>
      <c r="B176" s="1313"/>
      <c r="C176" s="1437"/>
      <c r="D176" s="96" t="s">
        <v>357</v>
      </c>
      <c r="E176" s="559"/>
      <c r="F176" s="99">
        <f>(F175/F173)*100</f>
        <v>71.046228710462287</v>
      </c>
      <c r="G176" s="94"/>
      <c r="H176" s="94"/>
      <c r="I176" s="99">
        <f>I175/I173*100</f>
        <v>66.386554621848731</v>
      </c>
      <c r="J176" s="404"/>
      <c r="K176" s="404"/>
      <c r="L176" s="404"/>
    </row>
    <row r="177" spans="1:12" ht="14.85" hidden="1" customHeight="1" x14ac:dyDescent="0.25">
      <c r="A177" s="1480"/>
      <c r="B177" s="1313"/>
      <c r="C177" s="1437" t="s">
        <v>385</v>
      </c>
      <c r="D177" s="145" t="s">
        <v>251</v>
      </c>
      <c r="E177" s="559"/>
      <c r="F177" s="80">
        <v>375</v>
      </c>
      <c r="G177" s="80"/>
      <c r="H177" s="80"/>
      <c r="I177" s="80">
        <v>417</v>
      </c>
      <c r="J177" s="404"/>
      <c r="K177" s="404"/>
      <c r="L177" s="404"/>
    </row>
    <row r="178" spans="1:12" ht="14.85" hidden="1" customHeight="1" x14ac:dyDescent="0.25">
      <c r="A178" s="1480"/>
      <c r="B178" s="1313"/>
      <c r="C178" s="1437"/>
      <c r="D178" s="96" t="s">
        <v>257</v>
      </c>
      <c r="E178" s="559"/>
      <c r="F178" s="80">
        <v>255</v>
      </c>
      <c r="G178" s="80"/>
      <c r="H178" s="80"/>
      <c r="I178" s="80">
        <v>270</v>
      </c>
      <c r="J178" s="404"/>
      <c r="K178" s="404"/>
      <c r="L178" s="404"/>
    </row>
    <row r="179" spans="1:12" ht="16.5" hidden="1" thickBot="1" x14ac:dyDescent="0.3">
      <c r="A179" s="1480"/>
      <c r="B179" s="1313"/>
      <c r="C179" s="1437"/>
      <c r="D179" s="96" t="s">
        <v>263</v>
      </c>
      <c r="E179" s="559"/>
      <c r="F179" s="80">
        <v>120</v>
      </c>
      <c r="G179" s="80"/>
      <c r="H179" s="80"/>
      <c r="I179" s="80">
        <v>147</v>
      </c>
      <c r="J179" s="404"/>
      <c r="K179" s="404"/>
      <c r="L179" s="404"/>
    </row>
    <row r="180" spans="1:12" ht="16.5" hidden="1" thickBot="1" x14ac:dyDescent="0.3">
      <c r="A180" s="1480"/>
      <c r="B180" s="1313"/>
      <c r="C180" s="1437"/>
      <c r="D180" s="96" t="s">
        <v>357</v>
      </c>
      <c r="E180" s="559"/>
      <c r="F180" s="97">
        <f>(F179/F177)*100</f>
        <v>32</v>
      </c>
      <c r="G180" s="94"/>
      <c r="H180" s="94"/>
      <c r="I180" s="97">
        <f>I179/I177*100</f>
        <v>35.251798561151077</v>
      </c>
      <c r="J180" s="404"/>
      <c r="K180" s="404"/>
      <c r="L180" s="404"/>
    </row>
    <row r="181" spans="1:12" ht="14.85" hidden="1" customHeight="1" x14ac:dyDescent="0.25">
      <c r="A181" s="1480"/>
      <c r="B181" s="1313"/>
      <c r="C181" s="1437" t="s">
        <v>386</v>
      </c>
      <c r="D181" s="145" t="s">
        <v>251</v>
      </c>
      <c r="E181" s="559"/>
      <c r="F181" s="80">
        <v>1665</v>
      </c>
      <c r="G181" s="80"/>
      <c r="H181" s="80"/>
      <c r="I181" s="80">
        <v>1476</v>
      </c>
      <c r="J181" s="404"/>
      <c r="K181" s="404"/>
      <c r="L181" s="404"/>
    </row>
    <row r="182" spans="1:12" ht="16.5" hidden="1" thickBot="1" x14ac:dyDescent="0.3">
      <c r="A182" s="1480"/>
      <c r="B182" s="1313"/>
      <c r="C182" s="1437"/>
      <c r="D182" s="96" t="s">
        <v>257</v>
      </c>
      <c r="E182" s="559"/>
      <c r="F182" s="80">
        <v>905</v>
      </c>
      <c r="G182" s="80"/>
      <c r="H182" s="80"/>
      <c r="I182" s="80">
        <v>849</v>
      </c>
      <c r="J182" s="404"/>
      <c r="K182" s="404"/>
      <c r="L182" s="404"/>
    </row>
    <row r="183" spans="1:12" ht="16.5" hidden="1" thickBot="1" x14ac:dyDescent="0.3">
      <c r="A183" s="1480"/>
      <c r="B183" s="1313"/>
      <c r="C183" s="1437"/>
      <c r="D183" s="96" t="s">
        <v>263</v>
      </c>
      <c r="E183" s="559"/>
      <c r="F183" s="80">
        <v>765</v>
      </c>
      <c r="G183" s="80"/>
      <c r="H183" s="80"/>
      <c r="I183" s="80">
        <v>627</v>
      </c>
      <c r="J183" s="404"/>
      <c r="K183" s="404"/>
      <c r="L183" s="404"/>
    </row>
    <row r="184" spans="1:12" ht="16.5" hidden="1" thickBot="1" x14ac:dyDescent="0.3">
      <c r="A184" s="1480"/>
      <c r="B184" s="1313"/>
      <c r="C184" s="1437"/>
      <c r="D184" s="96" t="s">
        <v>357</v>
      </c>
      <c r="E184" s="559"/>
      <c r="F184" s="98">
        <f>(F183/F181)*100</f>
        <v>45.945945945945951</v>
      </c>
      <c r="G184" s="94"/>
      <c r="H184" s="94"/>
      <c r="I184" s="98">
        <f>I183/I181*100</f>
        <v>42.479674796747972</v>
      </c>
      <c r="J184" s="404"/>
      <c r="K184" s="404"/>
      <c r="L184" s="404"/>
    </row>
    <row r="185" spans="1:12" ht="14.85" hidden="1" customHeight="1" x14ac:dyDescent="0.25">
      <c r="A185" s="1480"/>
      <c r="B185" s="1313"/>
      <c r="C185" s="1437" t="s">
        <v>387</v>
      </c>
      <c r="D185" s="145" t="s">
        <v>251</v>
      </c>
      <c r="E185" s="559"/>
      <c r="F185" s="80">
        <v>1810</v>
      </c>
      <c r="G185" s="80"/>
      <c r="H185" s="80"/>
      <c r="I185" s="80">
        <v>1356</v>
      </c>
      <c r="J185" s="404"/>
      <c r="K185" s="404"/>
      <c r="L185" s="404"/>
    </row>
    <row r="186" spans="1:12" ht="16.5" hidden="1" thickBot="1" x14ac:dyDescent="0.3">
      <c r="A186" s="1480"/>
      <c r="B186" s="1313"/>
      <c r="C186" s="1437"/>
      <c r="D186" s="96" t="s">
        <v>257</v>
      </c>
      <c r="E186" s="559"/>
      <c r="F186" s="80">
        <v>755</v>
      </c>
      <c r="G186" s="80"/>
      <c r="H186" s="80"/>
      <c r="I186" s="80">
        <v>552</v>
      </c>
      <c r="J186" s="404"/>
      <c r="K186" s="404"/>
      <c r="L186" s="404"/>
    </row>
    <row r="187" spans="1:12" ht="16.5" hidden="1" thickBot="1" x14ac:dyDescent="0.3">
      <c r="A187" s="1480"/>
      <c r="B187" s="1313"/>
      <c r="C187" s="1437"/>
      <c r="D187" s="96" t="s">
        <v>263</v>
      </c>
      <c r="E187" s="559"/>
      <c r="F187" s="80">
        <v>1060</v>
      </c>
      <c r="G187" s="80"/>
      <c r="H187" s="80"/>
      <c r="I187" s="80">
        <v>807</v>
      </c>
      <c r="J187" s="404"/>
      <c r="K187" s="404"/>
      <c r="L187" s="404"/>
    </row>
    <row r="188" spans="1:12" ht="16.5" hidden="1" thickBot="1" x14ac:dyDescent="0.3">
      <c r="A188" s="1480"/>
      <c r="B188" s="1313"/>
      <c r="C188" s="1437"/>
      <c r="D188" s="96" t="s">
        <v>357</v>
      </c>
      <c r="E188" s="559"/>
      <c r="F188" s="98">
        <f>(F187/F185)*100</f>
        <v>58.563535911602202</v>
      </c>
      <c r="G188" s="94"/>
      <c r="H188" s="94"/>
      <c r="I188" s="98">
        <f>I187/I185*100</f>
        <v>59.513274336283182</v>
      </c>
      <c r="J188" s="404"/>
      <c r="K188" s="404"/>
      <c r="L188" s="404"/>
    </row>
    <row r="189" spans="1:12" ht="14.85" hidden="1" customHeight="1" x14ac:dyDescent="0.25">
      <c r="A189" s="1480"/>
      <c r="B189" s="1313"/>
      <c r="C189" s="1437" t="s">
        <v>388</v>
      </c>
      <c r="D189" s="145" t="s">
        <v>251</v>
      </c>
      <c r="E189" s="559"/>
      <c r="F189" s="80">
        <v>20</v>
      </c>
      <c r="G189" s="80"/>
      <c r="H189" s="80"/>
      <c r="I189" s="80">
        <v>639</v>
      </c>
      <c r="J189" s="404"/>
      <c r="K189" s="404"/>
      <c r="L189" s="404"/>
    </row>
    <row r="190" spans="1:12" ht="16.5" hidden="1" thickBot="1" x14ac:dyDescent="0.3">
      <c r="A190" s="1480"/>
      <c r="B190" s="1313"/>
      <c r="C190" s="1437"/>
      <c r="D190" s="96" t="s">
        <v>257</v>
      </c>
      <c r="E190" s="559"/>
      <c r="F190" s="80">
        <v>20</v>
      </c>
      <c r="G190" s="80"/>
      <c r="H190" s="80"/>
      <c r="I190" s="80">
        <v>330</v>
      </c>
      <c r="J190" s="404"/>
      <c r="K190" s="404"/>
      <c r="L190" s="404"/>
    </row>
    <row r="191" spans="1:12" ht="16.5" hidden="1" thickBot="1" x14ac:dyDescent="0.3">
      <c r="A191" s="1480"/>
      <c r="B191" s="1313"/>
      <c r="C191" s="1437"/>
      <c r="D191" s="96" t="s">
        <v>263</v>
      </c>
      <c r="E191" s="559"/>
      <c r="F191" s="80">
        <v>0</v>
      </c>
      <c r="G191" s="80"/>
      <c r="H191" s="80"/>
      <c r="I191" s="80">
        <v>309</v>
      </c>
      <c r="J191" s="404"/>
      <c r="K191" s="404"/>
      <c r="L191" s="404"/>
    </row>
    <row r="192" spans="1:12" ht="16.5" hidden="1" thickBot="1" x14ac:dyDescent="0.3">
      <c r="A192" s="1480"/>
      <c r="B192" s="1313"/>
      <c r="C192" s="1437"/>
      <c r="D192" s="96" t="s">
        <v>357</v>
      </c>
      <c r="E192" s="559"/>
      <c r="F192" s="97">
        <f>(F191/F189)*100</f>
        <v>0</v>
      </c>
      <c r="G192" s="94"/>
      <c r="H192" s="94"/>
      <c r="I192" s="98">
        <f>I191/I189*100</f>
        <v>48.356807511737088</v>
      </c>
      <c r="J192" s="404"/>
      <c r="K192" s="404"/>
      <c r="L192" s="404"/>
    </row>
    <row r="193" spans="1:12" ht="14.85" hidden="1" customHeight="1" x14ac:dyDescent="0.25">
      <c r="A193" s="1480"/>
      <c r="B193" s="1313"/>
      <c r="C193" s="1403" t="s">
        <v>389</v>
      </c>
      <c r="D193" s="144" t="s">
        <v>251</v>
      </c>
      <c r="E193" s="614"/>
      <c r="F193" s="80">
        <v>350</v>
      </c>
      <c r="G193" s="80"/>
      <c r="H193" s="80"/>
      <c r="I193" s="80">
        <v>339</v>
      </c>
      <c r="J193" s="403"/>
      <c r="K193" s="403"/>
      <c r="L193" s="403"/>
    </row>
    <row r="194" spans="1:12" ht="16.5" hidden="1" thickBot="1" x14ac:dyDescent="0.3">
      <c r="A194" s="1480"/>
      <c r="B194" s="1313"/>
      <c r="C194" s="1403"/>
      <c r="D194" s="28" t="s">
        <v>257</v>
      </c>
      <c r="E194" s="614"/>
      <c r="F194" s="80">
        <v>155</v>
      </c>
      <c r="G194" s="80"/>
      <c r="H194" s="80"/>
      <c r="I194" s="80">
        <v>159</v>
      </c>
      <c r="J194" s="403"/>
      <c r="K194" s="403"/>
      <c r="L194" s="403"/>
    </row>
    <row r="195" spans="1:12" ht="16.5" hidden="1" thickBot="1" x14ac:dyDescent="0.3">
      <c r="A195" s="1480"/>
      <c r="B195" s="1313"/>
      <c r="C195" s="1403"/>
      <c r="D195" s="28" t="s">
        <v>263</v>
      </c>
      <c r="E195" s="614"/>
      <c r="F195" s="80">
        <v>195</v>
      </c>
      <c r="G195" s="80"/>
      <c r="H195" s="80"/>
      <c r="I195" s="80">
        <v>183</v>
      </c>
      <c r="J195" s="403"/>
      <c r="K195" s="403"/>
      <c r="L195" s="403"/>
    </row>
    <row r="196" spans="1:12" ht="16.5" hidden="1" thickBot="1" x14ac:dyDescent="0.3">
      <c r="A196" s="1480"/>
      <c r="B196" s="1313"/>
      <c r="C196" s="1403"/>
      <c r="D196" s="28" t="s">
        <v>357</v>
      </c>
      <c r="E196" s="614"/>
      <c r="F196" s="98">
        <f>(F195/F193)*100</f>
        <v>55.714285714285715</v>
      </c>
      <c r="G196" s="94"/>
      <c r="H196" s="94"/>
      <c r="I196" s="98">
        <f>I195/I193*100</f>
        <v>53.982300884955748</v>
      </c>
      <c r="J196" s="403"/>
      <c r="K196" s="403"/>
      <c r="L196" s="403"/>
    </row>
    <row r="197" spans="1:12" ht="14.85" hidden="1" customHeight="1" x14ac:dyDescent="0.25">
      <c r="A197" s="1480"/>
      <c r="B197" s="1313"/>
      <c r="C197" s="1403" t="s">
        <v>390</v>
      </c>
      <c r="D197" s="144" t="s">
        <v>251</v>
      </c>
      <c r="E197" s="614"/>
      <c r="F197" s="80">
        <v>125</v>
      </c>
      <c r="G197" s="80"/>
      <c r="H197" s="80"/>
      <c r="I197" s="80">
        <v>132</v>
      </c>
      <c r="J197" s="403"/>
      <c r="K197" s="403"/>
      <c r="L197" s="403"/>
    </row>
    <row r="198" spans="1:12" ht="14.85" hidden="1" customHeight="1" x14ac:dyDescent="0.25">
      <c r="A198" s="1480"/>
      <c r="B198" s="1313"/>
      <c r="C198" s="1403"/>
      <c r="D198" s="28" t="s">
        <v>257</v>
      </c>
      <c r="E198" s="614"/>
      <c r="F198" s="80">
        <v>50</v>
      </c>
      <c r="G198" s="80"/>
      <c r="H198" s="80"/>
      <c r="I198" s="80">
        <v>54</v>
      </c>
      <c r="J198" s="403"/>
      <c r="K198" s="403"/>
      <c r="L198" s="403"/>
    </row>
    <row r="199" spans="1:12" ht="16.5" hidden="1" thickBot="1" x14ac:dyDescent="0.3">
      <c r="A199" s="1480"/>
      <c r="B199" s="1313"/>
      <c r="C199" s="1403"/>
      <c r="D199" s="28" t="s">
        <v>263</v>
      </c>
      <c r="E199" s="614"/>
      <c r="F199" s="80">
        <v>75</v>
      </c>
      <c r="G199" s="80"/>
      <c r="H199" s="80"/>
      <c r="I199" s="80">
        <v>81</v>
      </c>
      <c r="J199" s="403"/>
      <c r="K199" s="403"/>
      <c r="L199" s="403"/>
    </row>
    <row r="200" spans="1:12" ht="16.5" hidden="1" thickBot="1" x14ac:dyDescent="0.3">
      <c r="A200" s="1480"/>
      <c r="B200" s="1313"/>
      <c r="C200" s="1403"/>
      <c r="D200" s="28" t="s">
        <v>357</v>
      </c>
      <c r="E200" s="614"/>
      <c r="F200" s="99">
        <f>(F199/F197)*100</f>
        <v>60</v>
      </c>
      <c r="G200" s="94"/>
      <c r="H200" s="94"/>
      <c r="I200" s="99">
        <f>I199/I197*100</f>
        <v>61.363636363636367</v>
      </c>
      <c r="J200" s="403"/>
      <c r="K200" s="403"/>
      <c r="L200" s="403"/>
    </row>
    <row r="201" spans="1:12" ht="14.85" hidden="1" customHeight="1" x14ac:dyDescent="0.25">
      <c r="A201" s="1480"/>
      <c r="B201" s="1313"/>
      <c r="C201" s="1403" t="s">
        <v>391</v>
      </c>
      <c r="D201" s="144" t="s">
        <v>251</v>
      </c>
      <c r="E201" s="614"/>
      <c r="F201" s="80">
        <v>635</v>
      </c>
      <c r="G201" s="80"/>
      <c r="H201" s="80"/>
      <c r="I201" s="80">
        <v>399</v>
      </c>
      <c r="J201" s="403"/>
      <c r="K201" s="403"/>
      <c r="L201" s="403"/>
    </row>
    <row r="202" spans="1:12" ht="16.5" hidden="1" thickBot="1" x14ac:dyDescent="0.3">
      <c r="A202" s="1480"/>
      <c r="B202" s="1313"/>
      <c r="C202" s="1403"/>
      <c r="D202" s="28" t="s">
        <v>257</v>
      </c>
      <c r="E202" s="614"/>
      <c r="F202" s="80">
        <v>220</v>
      </c>
      <c r="G202" s="80"/>
      <c r="H202" s="80"/>
      <c r="I202" s="80">
        <v>78</v>
      </c>
      <c r="J202" s="403"/>
      <c r="K202" s="403"/>
      <c r="L202" s="403"/>
    </row>
    <row r="203" spans="1:12" ht="16.5" hidden="1" thickBot="1" x14ac:dyDescent="0.3">
      <c r="A203" s="1480"/>
      <c r="B203" s="1313"/>
      <c r="C203" s="1403"/>
      <c r="D203" s="28" t="s">
        <v>263</v>
      </c>
      <c r="E203" s="614"/>
      <c r="F203" s="80">
        <v>415</v>
      </c>
      <c r="G203" s="80"/>
      <c r="H203" s="80"/>
      <c r="I203" s="80">
        <v>318</v>
      </c>
      <c r="J203" s="403"/>
      <c r="K203" s="403"/>
      <c r="L203" s="403"/>
    </row>
    <row r="204" spans="1:12" ht="16.5" hidden="1" thickBot="1" x14ac:dyDescent="0.3">
      <c r="A204" s="1480"/>
      <c r="B204" s="1313"/>
      <c r="C204" s="1403"/>
      <c r="D204" s="28" t="s">
        <v>357</v>
      </c>
      <c r="E204" s="614"/>
      <c r="F204" s="99">
        <f>(F203/F201)*100</f>
        <v>65.354330708661408</v>
      </c>
      <c r="G204" s="94"/>
      <c r="H204" s="94"/>
      <c r="I204" s="99">
        <f>I203/I201*100</f>
        <v>79.699248120300751</v>
      </c>
      <c r="J204" s="403"/>
      <c r="K204" s="403"/>
      <c r="L204" s="403"/>
    </row>
    <row r="205" spans="1:12" ht="14.85" hidden="1" customHeight="1" x14ac:dyDescent="0.25">
      <c r="A205" s="1480"/>
      <c r="B205" s="1313"/>
      <c r="C205" s="1403" t="s">
        <v>392</v>
      </c>
      <c r="D205" s="144" t="s">
        <v>251</v>
      </c>
      <c r="E205" s="614"/>
      <c r="F205" s="80">
        <v>560</v>
      </c>
      <c r="G205" s="80"/>
      <c r="H205" s="80"/>
      <c r="I205" s="80">
        <v>159</v>
      </c>
      <c r="J205" s="403"/>
      <c r="K205" s="403"/>
      <c r="L205" s="403"/>
    </row>
    <row r="206" spans="1:12" ht="16.5" hidden="1" thickBot="1" x14ac:dyDescent="0.3">
      <c r="A206" s="1480"/>
      <c r="B206" s="1313"/>
      <c r="C206" s="1403"/>
      <c r="D206" s="28" t="s">
        <v>257</v>
      </c>
      <c r="E206" s="614"/>
      <c r="F206" s="80">
        <v>80</v>
      </c>
      <c r="G206" s="80"/>
      <c r="H206" s="80"/>
      <c r="I206" s="80">
        <v>42</v>
      </c>
      <c r="J206" s="403"/>
      <c r="K206" s="403"/>
      <c r="L206" s="403"/>
    </row>
    <row r="207" spans="1:12" ht="16.5" hidden="1" thickBot="1" x14ac:dyDescent="0.3">
      <c r="A207" s="1480"/>
      <c r="B207" s="1313"/>
      <c r="C207" s="1403"/>
      <c r="D207" s="28" t="s">
        <v>263</v>
      </c>
      <c r="E207" s="614"/>
      <c r="F207" s="80">
        <v>480</v>
      </c>
      <c r="G207" s="80"/>
      <c r="H207" s="80"/>
      <c r="I207" s="80">
        <v>117</v>
      </c>
      <c r="J207" s="403"/>
      <c r="K207" s="403"/>
      <c r="L207" s="403"/>
    </row>
    <row r="208" spans="1:12" ht="16.5" hidden="1" thickBot="1" x14ac:dyDescent="0.3">
      <c r="A208" s="1480"/>
      <c r="B208" s="1313"/>
      <c r="C208" s="1403"/>
      <c r="D208" s="28" t="s">
        <v>357</v>
      </c>
      <c r="E208" s="614"/>
      <c r="F208" s="99">
        <f>(F207/F205)*100</f>
        <v>85.714285714285708</v>
      </c>
      <c r="G208" s="94"/>
      <c r="H208" s="94"/>
      <c r="I208" s="99">
        <f>I207/I205*100</f>
        <v>73.584905660377359</v>
      </c>
      <c r="J208" s="403"/>
      <c r="K208" s="403"/>
      <c r="L208" s="403"/>
    </row>
    <row r="209" spans="1:12" ht="14.85" hidden="1" customHeight="1" x14ac:dyDescent="0.25">
      <c r="A209" s="1480"/>
      <c r="B209" s="1313"/>
      <c r="C209" s="1403" t="s">
        <v>393</v>
      </c>
      <c r="D209" s="144" t="s">
        <v>251</v>
      </c>
      <c r="E209" s="614"/>
      <c r="F209" s="80">
        <v>2435</v>
      </c>
      <c r="G209" s="80"/>
      <c r="H209" s="80"/>
      <c r="I209" s="80">
        <v>1728</v>
      </c>
      <c r="J209" s="403"/>
      <c r="K209" s="403"/>
      <c r="L209" s="403"/>
    </row>
    <row r="210" spans="1:12" ht="16.5" hidden="1" thickBot="1" x14ac:dyDescent="0.3">
      <c r="A210" s="1480"/>
      <c r="B210" s="1313"/>
      <c r="C210" s="1403"/>
      <c r="D210" s="28" t="s">
        <v>257</v>
      </c>
      <c r="E210" s="614"/>
      <c r="F210" s="80">
        <v>1615</v>
      </c>
      <c r="G210" s="80"/>
      <c r="H210" s="80"/>
      <c r="I210" s="80">
        <v>1089</v>
      </c>
      <c r="J210" s="403"/>
      <c r="K210" s="403"/>
      <c r="L210" s="403"/>
    </row>
    <row r="211" spans="1:12" ht="16.5" hidden="1" thickBot="1" x14ac:dyDescent="0.3">
      <c r="A211" s="1480"/>
      <c r="B211" s="1313"/>
      <c r="C211" s="1403"/>
      <c r="D211" s="28" t="s">
        <v>263</v>
      </c>
      <c r="E211" s="614"/>
      <c r="F211" s="80">
        <v>825</v>
      </c>
      <c r="G211" s="80"/>
      <c r="H211" s="80"/>
      <c r="I211" s="80">
        <v>639</v>
      </c>
      <c r="J211" s="403"/>
      <c r="K211" s="403"/>
      <c r="L211" s="403"/>
    </row>
    <row r="212" spans="1:12" ht="16.5" hidden="1" thickBot="1" x14ac:dyDescent="0.3">
      <c r="A212" s="1480"/>
      <c r="B212" s="1313"/>
      <c r="C212" s="1403"/>
      <c r="D212" s="28" t="s">
        <v>357</v>
      </c>
      <c r="E212" s="614"/>
      <c r="F212" s="97">
        <f>(F211/F209)*100</f>
        <v>33.880903490759756</v>
      </c>
      <c r="G212" s="94"/>
      <c r="H212" s="94"/>
      <c r="I212" s="97">
        <f>I211/I209*100</f>
        <v>36.979166666666671</v>
      </c>
      <c r="J212" s="403"/>
      <c r="K212" s="403"/>
      <c r="L212" s="403"/>
    </row>
    <row r="213" spans="1:12" ht="14.85" hidden="1" customHeight="1" x14ac:dyDescent="0.25">
      <c r="A213" s="1480"/>
      <c r="B213" s="1313"/>
      <c r="C213" s="1403" t="s">
        <v>394</v>
      </c>
      <c r="D213" s="144" t="s">
        <v>251</v>
      </c>
      <c r="E213" s="614"/>
      <c r="F213" s="80">
        <v>785</v>
      </c>
      <c r="G213" s="80"/>
      <c r="H213" s="80"/>
      <c r="I213" s="80">
        <v>813</v>
      </c>
      <c r="J213" s="403"/>
      <c r="K213" s="403"/>
      <c r="L213" s="403"/>
    </row>
    <row r="214" spans="1:12" ht="16.5" hidden="1" thickBot="1" x14ac:dyDescent="0.3">
      <c r="A214" s="1480"/>
      <c r="B214" s="1313"/>
      <c r="C214" s="1403"/>
      <c r="D214" s="28" t="s">
        <v>257</v>
      </c>
      <c r="E214" s="614"/>
      <c r="F214" s="80">
        <v>600</v>
      </c>
      <c r="G214" s="80"/>
      <c r="H214" s="80"/>
      <c r="I214" s="80">
        <v>651</v>
      </c>
      <c r="J214" s="403"/>
      <c r="K214" s="403"/>
      <c r="L214" s="403"/>
    </row>
    <row r="215" spans="1:12" ht="16.5" hidden="1" thickBot="1" x14ac:dyDescent="0.3">
      <c r="A215" s="1480"/>
      <c r="B215" s="1313"/>
      <c r="C215" s="1403"/>
      <c r="D215" s="28" t="s">
        <v>263</v>
      </c>
      <c r="E215" s="614"/>
      <c r="F215" s="80">
        <v>185</v>
      </c>
      <c r="G215" s="80"/>
      <c r="H215" s="80"/>
      <c r="I215" s="80">
        <v>165</v>
      </c>
      <c r="J215" s="403"/>
      <c r="K215" s="403"/>
      <c r="L215" s="403"/>
    </row>
    <row r="216" spans="1:12" ht="16.5" hidden="1" thickBot="1" x14ac:dyDescent="0.3">
      <c r="A216" s="1480"/>
      <c r="B216" s="1313"/>
      <c r="C216" s="1403"/>
      <c r="D216" s="28" t="s">
        <v>357</v>
      </c>
      <c r="E216" s="614"/>
      <c r="F216" s="97">
        <f>(F215/F213)*100</f>
        <v>23.566878980891719</v>
      </c>
      <c r="G216" s="94"/>
      <c r="H216" s="94"/>
      <c r="I216" s="97">
        <f>I215/I213*100</f>
        <v>20.29520295202952</v>
      </c>
      <c r="J216" s="403"/>
      <c r="K216" s="403"/>
      <c r="L216" s="403"/>
    </row>
    <row r="217" spans="1:12" ht="14.85" hidden="1" customHeight="1" x14ac:dyDescent="0.25">
      <c r="A217" s="1480"/>
      <c r="B217" s="1313"/>
      <c r="C217" s="1403" t="s">
        <v>395</v>
      </c>
      <c r="D217" s="144" t="s">
        <v>251</v>
      </c>
      <c r="E217" s="614"/>
      <c r="F217" s="80">
        <v>300</v>
      </c>
      <c r="G217" s="80"/>
      <c r="H217" s="80"/>
      <c r="I217" s="80">
        <v>150</v>
      </c>
      <c r="J217" s="614"/>
      <c r="K217" s="403"/>
      <c r="L217" s="403"/>
    </row>
    <row r="218" spans="1:12" ht="14.85" hidden="1" customHeight="1" x14ac:dyDescent="0.25">
      <c r="A218" s="1480"/>
      <c r="B218" s="1313"/>
      <c r="C218" s="1403"/>
      <c r="D218" s="28" t="s">
        <v>257</v>
      </c>
      <c r="E218" s="614"/>
      <c r="F218" s="80">
        <v>185</v>
      </c>
      <c r="G218" s="80"/>
      <c r="H218" s="80"/>
      <c r="I218" s="80">
        <v>75</v>
      </c>
      <c r="J218" s="614"/>
      <c r="K218" s="403"/>
      <c r="L218" s="403"/>
    </row>
    <row r="219" spans="1:12" ht="16.5" hidden="1" thickBot="1" x14ac:dyDescent="0.3">
      <c r="A219" s="1480"/>
      <c r="B219" s="1313"/>
      <c r="C219" s="1403"/>
      <c r="D219" s="28" t="s">
        <v>263</v>
      </c>
      <c r="E219" s="614"/>
      <c r="F219" s="80">
        <v>115</v>
      </c>
      <c r="G219" s="80"/>
      <c r="H219" s="80"/>
      <c r="I219" s="80">
        <v>72</v>
      </c>
      <c r="J219" s="614"/>
      <c r="K219" s="403"/>
      <c r="L219" s="403"/>
    </row>
    <row r="220" spans="1:12" ht="16.5" hidden="1" thickBot="1" x14ac:dyDescent="0.3">
      <c r="A220" s="1480"/>
      <c r="B220" s="1313"/>
      <c r="C220" s="1403"/>
      <c r="D220" s="28" t="s">
        <v>357</v>
      </c>
      <c r="E220" s="614"/>
      <c r="F220" s="97">
        <f>(F219/F217)*100</f>
        <v>38.333333333333336</v>
      </c>
      <c r="G220" s="94"/>
      <c r="H220" s="94"/>
      <c r="I220" s="98">
        <f>I219/I217*100</f>
        <v>48</v>
      </c>
      <c r="J220" s="614"/>
      <c r="K220" s="403"/>
      <c r="L220" s="403"/>
    </row>
    <row r="221" spans="1:12" ht="14.85" hidden="1" customHeight="1" x14ac:dyDescent="0.25">
      <c r="A221" s="1480"/>
      <c r="B221" s="1313"/>
      <c r="C221" s="1403" t="s">
        <v>396</v>
      </c>
      <c r="D221" s="144" t="s">
        <v>251</v>
      </c>
      <c r="E221" s="614"/>
      <c r="F221" s="80">
        <v>65</v>
      </c>
      <c r="G221" s="80"/>
      <c r="H221" s="80"/>
      <c r="I221" s="80">
        <v>27</v>
      </c>
      <c r="J221" s="614"/>
      <c r="K221" s="403"/>
      <c r="L221" s="403"/>
    </row>
    <row r="222" spans="1:12" ht="16.5" hidden="1" thickBot="1" x14ac:dyDescent="0.3">
      <c r="A222" s="1480"/>
      <c r="B222" s="1313"/>
      <c r="C222" s="1403"/>
      <c r="D222" s="28" t="s">
        <v>257</v>
      </c>
      <c r="E222" s="614"/>
      <c r="F222" s="80">
        <v>30</v>
      </c>
      <c r="G222" s="80"/>
      <c r="H222" s="80"/>
      <c r="I222" s="80">
        <v>12</v>
      </c>
      <c r="J222" s="614"/>
      <c r="K222" s="403"/>
      <c r="L222" s="403"/>
    </row>
    <row r="223" spans="1:12" ht="16.5" hidden="1" thickBot="1" x14ac:dyDescent="0.3">
      <c r="A223" s="1480"/>
      <c r="B223" s="1313"/>
      <c r="C223" s="1403"/>
      <c r="D223" s="28" t="s">
        <v>263</v>
      </c>
      <c r="E223" s="614"/>
      <c r="F223" s="80">
        <v>35</v>
      </c>
      <c r="G223" s="80"/>
      <c r="H223" s="80"/>
      <c r="I223" s="80">
        <v>15</v>
      </c>
      <c r="J223" s="614"/>
      <c r="K223" s="403"/>
      <c r="L223" s="403"/>
    </row>
    <row r="224" spans="1:12" ht="16.5" hidden="1" thickBot="1" x14ac:dyDescent="0.3">
      <c r="A224" s="1480"/>
      <c r="B224" s="1313"/>
      <c r="C224" s="1403"/>
      <c r="D224" s="28" t="s">
        <v>357</v>
      </c>
      <c r="E224" s="614"/>
      <c r="F224" s="98">
        <f>(F223/F221)*100</f>
        <v>53.846153846153847</v>
      </c>
      <c r="G224" s="94"/>
      <c r="H224" s="94"/>
      <c r="I224" s="98">
        <f>I223/I221*100</f>
        <v>55.555555555555557</v>
      </c>
      <c r="J224" s="614"/>
      <c r="K224" s="403"/>
      <c r="L224" s="403"/>
    </row>
    <row r="225" spans="1:12" ht="14.85" hidden="1" customHeight="1" x14ac:dyDescent="0.25">
      <c r="A225" s="1480"/>
      <c r="B225" s="1313"/>
      <c r="C225" s="1403" t="s">
        <v>397</v>
      </c>
      <c r="D225" s="144" t="s">
        <v>251</v>
      </c>
      <c r="E225" s="614"/>
      <c r="F225" s="80"/>
      <c r="G225" s="80"/>
      <c r="H225" s="80"/>
      <c r="I225" s="80">
        <v>18</v>
      </c>
      <c r="J225" s="614"/>
      <c r="K225" s="403"/>
      <c r="L225" s="403"/>
    </row>
    <row r="226" spans="1:12" ht="16.5" hidden="1" thickBot="1" x14ac:dyDescent="0.3">
      <c r="A226" s="1480"/>
      <c r="B226" s="1313"/>
      <c r="C226" s="1403"/>
      <c r="D226" s="28" t="s">
        <v>257</v>
      </c>
      <c r="E226" s="614"/>
      <c r="F226" s="80"/>
      <c r="G226" s="80"/>
      <c r="H226" s="80"/>
      <c r="I226" s="80">
        <v>6</v>
      </c>
      <c r="J226" s="614"/>
      <c r="K226" s="403"/>
      <c r="L226" s="403"/>
    </row>
    <row r="227" spans="1:12" ht="16.5" hidden="1" thickBot="1" x14ac:dyDescent="0.3">
      <c r="A227" s="1480"/>
      <c r="B227" s="1313"/>
      <c r="C227" s="1403"/>
      <c r="D227" s="28" t="s">
        <v>263</v>
      </c>
      <c r="E227" s="614"/>
      <c r="F227" s="80"/>
      <c r="G227" s="80"/>
      <c r="H227" s="80"/>
      <c r="I227" s="80">
        <v>12</v>
      </c>
      <c r="J227" s="614"/>
      <c r="K227" s="403"/>
      <c r="L227" s="403"/>
    </row>
    <row r="228" spans="1:12" ht="16.5" hidden="1" thickBot="1" x14ac:dyDescent="0.3">
      <c r="A228" s="1480"/>
      <c r="B228" s="1313"/>
      <c r="C228" s="1403"/>
      <c r="D228" s="28" t="s">
        <v>357</v>
      </c>
      <c r="E228" s="614"/>
      <c r="F228" s="94"/>
      <c r="G228" s="94"/>
      <c r="H228" s="94"/>
      <c r="I228" s="99">
        <f>I227/I225*100</f>
        <v>66.666666666666657</v>
      </c>
      <c r="J228" s="614"/>
      <c r="K228" s="403"/>
      <c r="L228" s="403"/>
    </row>
    <row r="229" spans="1:12" ht="14.85" hidden="1" customHeight="1" x14ac:dyDescent="0.25">
      <c r="A229" s="1480"/>
      <c r="B229" s="1313"/>
      <c r="C229" s="1403" t="s">
        <v>398</v>
      </c>
      <c r="D229" s="144" t="s">
        <v>251</v>
      </c>
      <c r="E229" s="614"/>
      <c r="F229" s="80">
        <v>25</v>
      </c>
      <c r="G229" s="80"/>
      <c r="H229" s="80"/>
      <c r="I229" s="80">
        <v>6</v>
      </c>
      <c r="J229" s="614"/>
      <c r="K229" s="403"/>
      <c r="L229" s="403"/>
    </row>
    <row r="230" spans="1:12" ht="14.85" hidden="1" customHeight="1" x14ac:dyDescent="0.25">
      <c r="A230" s="1480"/>
      <c r="B230" s="1313"/>
      <c r="C230" s="1403"/>
      <c r="D230" s="28" t="s">
        <v>257</v>
      </c>
      <c r="E230" s="614"/>
      <c r="F230" s="80">
        <v>0</v>
      </c>
      <c r="G230" s="80"/>
      <c r="H230" s="80"/>
      <c r="I230" s="80">
        <v>3</v>
      </c>
      <c r="J230" s="614"/>
      <c r="K230" s="403"/>
      <c r="L230" s="403"/>
    </row>
    <row r="231" spans="1:12" ht="16.5" hidden="1" thickBot="1" x14ac:dyDescent="0.3">
      <c r="A231" s="1480"/>
      <c r="B231" s="1313"/>
      <c r="C231" s="1403"/>
      <c r="D231" s="28" t="s">
        <v>263</v>
      </c>
      <c r="E231" s="614"/>
      <c r="F231" s="80">
        <v>25</v>
      </c>
      <c r="G231" s="80"/>
      <c r="H231" s="80"/>
      <c r="I231" s="80">
        <v>3</v>
      </c>
      <c r="J231" s="614"/>
      <c r="K231" s="403"/>
      <c r="L231" s="403"/>
    </row>
    <row r="232" spans="1:12" ht="16.5" hidden="1" thickBot="1" x14ac:dyDescent="0.3">
      <c r="A232" s="1480"/>
      <c r="B232" s="1313"/>
      <c r="C232" s="1403"/>
      <c r="D232" s="28" t="s">
        <v>357</v>
      </c>
      <c r="E232" s="614"/>
      <c r="F232" s="99">
        <f>(F231/F229)*100</f>
        <v>100</v>
      </c>
      <c r="G232" s="94"/>
      <c r="H232" s="94"/>
      <c r="I232" s="98">
        <f>I231/I229*100</f>
        <v>50</v>
      </c>
      <c r="J232" s="614"/>
      <c r="K232" s="403"/>
      <c r="L232" s="403"/>
    </row>
    <row r="233" spans="1:12" ht="14.85" hidden="1" customHeight="1" x14ac:dyDescent="0.25">
      <c r="A233" s="1480"/>
      <c r="B233" s="1313"/>
      <c r="C233" s="1403" t="s">
        <v>399</v>
      </c>
      <c r="D233" s="144" t="s">
        <v>251</v>
      </c>
      <c r="E233" s="614"/>
      <c r="F233" s="80">
        <v>540</v>
      </c>
      <c r="G233" s="80"/>
      <c r="H233" s="80"/>
      <c r="I233" s="80">
        <v>300</v>
      </c>
      <c r="J233" s="614"/>
      <c r="K233" s="403"/>
      <c r="L233" s="403"/>
    </row>
    <row r="234" spans="1:12" ht="14.85" hidden="1" customHeight="1" x14ac:dyDescent="0.25">
      <c r="A234" s="1480"/>
      <c r="B234" s="1313"/>
      <c r="C234" s="1403"/>
      <c r="D234" s="28" t="s">
        <v>257</v>
      </c>
      <c r="E234" s="614"/>
      <c r="F234" s="80">
        <v>210</v>
      </c>
      <c r="G234" s="80"/>
      <c r="H234" s="80"/>
      <c r="I234" s="80">
        <v>246</v>
      </c>
      <c r="J234" s="614"/>
      <c r="K234" s="403"/>
      <c r="L234" s="403"/>
    </row>
    <row r="235" spans="1:12" ht="16.5" hidden="1" thickBot="1" x14ac:dyDescent="0.3">
      <c r="A235" s="1480"/>
      <c r="B235" s="1313"/>
      <c r="C235" s="1403"/>
      <c r="D235" s="28" t="s">
        <v>263</v>
      </c>
      <c r="E235" s="614"/>
      <c r="F235" s="80">
        <v>330</v>
      </c>
      <c r="G235" s="80"/>
      <c r="H235" s="80"/>
      <c r="I235" s="80">
        <v>54</v>
      </c>
      <c r="J235" s="614"/>
      <c r="K235" s="403"/>
      <c r="L235" s="403"/>
    </row>
    <row r="236" spans="1:12" ht="16.5" hidden="1" thickBot="1" x14ac:dyDescent="0.3">
      <c r="A236" s="1480"/>
      <c r="B236" s="1313"/>
      <c r="C236" s="1403"/>
      <c r="D236" s="28" t="s">
        <v>357</v>
      </c>
      <c r="E236" s="614"/>
      <c r="F236" s="99">
        <f>(F235/F233)*100</f>
        <v>61.111111111111114</v>
      </c>
      <c r="G236" s="94"/>
      <c r="H236" s="94"/>
      <c r="I236" s="97">
        <f>I235/I233*100</f>
        <v>18</v>
      </c>
      <c r="J236" s="614"/>
      <c r="K236" s="403"/>
      <c r="L236" s="403"/>
    </row>
    <row r="237" spans="1:12" ht="14.85" hidden="1" customHeight="1" x14ac:dyDescent="0.25">
      <c r="A237" s="1480"/>
      <c r="B237" s="1313"/>
      <c r="C237" s="1403" t="s">
        <v>400</v>
      </c>
      <c r="D237" s="144" t="s">
        <v>251</v>
      </c>
      <c r="E237" s="614"/>
      <c r="F237" s="80">
        <v>390</v>
      </c>
      <c r="G237" s="80"/>
      <c r="H237" s="80"/>
      <c r="I237" s="80">
        <v>114</v>
      </c>
      <c r="J237" s="614"/>
      <c r="K237" s="403"/>
      <c r="L237" s="403"/>
    </row>
    <row r="238" spans="1:12" ht="16.5" hidden="1" thickBot="1" x14ac:dyDescent="0.3">
      <c r="A238" s="1480"/>
      <c r="B238" s="1313"/>
      <c r="C238" s="1403"/>
      <c r="D238" s="28" t="s">
        <v>257</v>
      </c>
      <c r="E238" s="614"/>
      <c r="F238" s="80">
        <v>260</v>
      </c>
      <c r="G238" s="80"/>
      <c r="H238" s="80"/>
      <c r="I238" s="80">
        <v>87</v>
      </c>
      <c r="J238" s="614"/>
      <c r="K238" s="403"/>
      <c r="L238" s="403"/>
    </row>
    <row r="239" spans="1:12" ht="16.5" hidden="1" thickBot="1" x14ac:dyDescent="0.3">
      <c r="A239" s="1480"/>
      <c r="B239" s="1313"/>
      <c r="C239" s="1403"/>
      <c r="D239" s="28" t="s">
        <v>263</v>
      </c>
      <c r="E239" s="614"/>
      <c r="F239" s="80">
        <v>130</v>
      </c>
      <c r="G239" s="80"/>
      <c r="H239" s="80"/>
      <c r="I239" s="80">
        <v>27</v>
      </c>
      <c r="J239" s="614"/>
      <c r="K239" s="403"/>
      <c r="L239" s="403"/>
    </row>
    <row r="240" spans="1:12" ht="16.5" hidden="1" thickBot="1" x14ac:dyDescent="0.3">
      <c r="A240" s="1480"/>
      <c r="B240" s="1313"/>
      <c r="C240" s="1403"/>
      <c r="D240" s="28" t="s">
        <v>357</v>
      </c>
      <c r="E240" s="614"/>
      <c r="F240" s="97">
        <f>(F239/F237)*100</f>
        <v>33.333333333333329</v>
      </c>
      <c r="G240" s="94"/>
      <c r="H240" s="94"/>
      <c r="I240" s="97">
        <f>I239/I237*100</f>
        <v>23.684210526315788</v>
      </c>
      <c r="J240" s="614"/>
      <c r="K240" s="403"/>
      <c r="L240" s="403"/>
    </row>
    <row r="241" spans="1:12" ht="14.85" hidden="1" customHeight="1" x14ac:dyDescent="0.25">
      <c r="A241" s="1480"/>
      <c r="B241" s="1313"/>
      <c r="C241" s="1403" t="s">
        <v>401</v>
      </c>
      <c r="D241" s="144" t="s">
        <v>251</v>
      </c>
      <c r="E241" s="614"/>
      <c r="F241" s="80">
        <v>185</v>
      </c>
      <c r="G241" s="80"/>
      <c r="H241" s="80"/>
      <c r="I241" s="80">
        <v>45</v>
      </c>
      <c r="J241" s="614"/>
      <c r="K241" s="403"/>
      <c r="L241" s="403"/>
    </row>
    <row r="242" spans="1:12" ht="16.5" hidden="1" thickBot="1" x14ac:dyDescent="0.3">
      <c r="A242" s="1480"/>
      <c r="B242" s="1313"/>
      <c r="C242" s="1403"/>
      <c r="D242" s="28" t="s">
        <v>257</v>
      </c>
      <c r="E242" s="614"/>
      <c r="F242" s="80">
        <v>60</v>
      </c>
      <c r="G242" s="80"/>
      <c r="H242" s="80"/>
      <c r="I242" s="80">
        <v>36</v>
      </c>
      <c r="J242" s="614"/>
      <c r="K242" s="403"/>
      <c r="L242" s="403"/>
    </row>
    <row r="243" spans="1:12" ht="16.5" hidden="1" thickBot="1" x14ac:dyDescent="0.3">
      <c r="A243" s="1480"/>
      <c r="B243" s="1313"/>
      <c r="C243" s="1403"/>
      <c r="D243" s="28" t="s">
        <v>263</v>
      </c>
      <c r="E243" s="614"/>
      <c r="F243" s="80">
        <v>125</v>
      </c>
      <c r="G243" s="80"/>
      <c r="H243" s="80"/>
      <c r="I243" s="80">
        <v>9</v>
      </c>
      <c r="J243" s="614"/>
      <c r="K243" s="403"/>
      <c r="L243" s="403"/>
    </row>
    <row r="244" spans="1:12" ht="16.5" hidden="1" thickBot="1" x14ac:dyDescent="0.3">
      <c r="A244" s="1480"/>
      <c r="B244" s="1313"/>
      <c r="C244" s="1403"/>
      <c r="D244" s="28" t="s">
        <v>357</v>
      </c>
      <c r="E244" s="614"/>
      <c r="F244" s="99">
        <f>(F243/F241)*100</f>
        <v>67.567567567567565</v>
      </c>
      <c r="G244" s="94"/>
      <c r="H244" s="94"/>
      <c r="I244" s="97">
        <f>I243/I241*100</f>
        <v>20</v>
      </c>
      <c r="J244" s="614"/>
      <c r="K244" s="403"/>
      <c r="L244" s="403"/>
    </row>
    <row r="245" spans="1:12" ht="14.85" hidden="1" customHeight="1" x14ac:dyDescent="0.25">
      <c r="A245" s="1480"/>
      <c r="B245" s="1313"/>
      <c r="C245" s="1403" t="s">
        <v>402</v>
      </c>
      <c r="D245" s="144" t="s">
        <v>251</v>
      </c>
      <c r="E245" s="614"/>
      <c r="F245" s="80">
        <v>165</v>
      </c>
      <c r="G245" s="80"/>
      <c r="H245" s="80"/>
      <c r="I245" s="80">
        <v>102</v>
      </c>
      <c r="J245" s="614"/>
      <c r="K245" s="403"/>
      <c r="L245" s="403"/>
    </row>
    <row r="246" spans="1:12" ht="16.5" hidden="1" thickBot="1" x14ac:dyDescent="0.3">
      <c r="A246" s="1480"/>
      <c r="B246" s="1313"/>
      <c r="C246" s="1403"/>
      <c r="D246" s="28" t="s">
        <v>257</v>
      </c>
      <c r="E246" s="614"/>
      <c r="F246" s="80">
        <v>165</v>
      </c>
      <c r="G246" s="80"/>
      <c r="H246" s="80"/>
      <c r="I246" s="80">
        <v>99</v>
      </c>
      <c r="J246" s="614"/>
      <c r="K246" s="403"/>
      <c r="L246" s="403"/>
    </row>
    <row r="247" spans="1:12" ht="16.5" hidden="1" thickBot="1" x14ac:dyDescent="0.3">
      <c r="A247" s="1480"/>
      <c r="B247" s="1313"/>
      <c r="C247" s="1403"/>
      <c r="D247" s="28" t="s">
        <v>263</v>
      </c>
      <c r="E247" s="614"/>
      <c r="F247" s="80">
        <v>0</v>
      </c>
      <c r="G247" s="80"/>
      <c r="H247" s="80"/>
      <c r="I247" s="80">
        <v>6</v>
      </c>
      <c r="J247" s="614"/>
      <c r="K247" s="403"/>
      <c r="L247" s="403"/>
    </row>
    <row r="248" spans="1:12" ht="16.5" hidden="1" thickBot="1" x14ac:dyDescent="0.3">
      <c r="A248" s="1480"/>
      <c r="B248" s="1313"/>
      <c r="C248" s="1403"/>
      <c r="D248" s="28" t="s">
        <v>357</v>
      </c>
      <c r="E248" s="614"/>
      <c r="F248" s="97">
        <f>(F247/F245)*100</f>
        <v>0</v>
      </c>
      <c r="G248" s="94"/>
      <c r="H248" s="94"/>
      <c r="I248" s="97">
        <f>I247/I245*100</f>
        <v>5.8823529411764701</v>
      </c>
      <c r="J248" s="614"/>
      <c r="K248" s="403"/>
      <c r="L248" s="403"/>
    </row>
    <row r="249" spans="1:12" ht="14.85" hidden="1" customHeight="1" x14ac:dyDescent="0.25">
      <c r="A249" s="1480"/>
      <c r="B249" s="1313"/>
      <c r="C249" s="1403" t="s">
        <v>403</v>
      </c>
      <c r="D249" s="144" t="s">
        <v>251</v>
      </c>
      <c r="E249" s="614"/>
      <c r="F249" s="80">
        <v>275</v>
      </c>
      <c r="G249" s="80"/>
      <c r="H249" s="80"/>
      <c r="I249" s="80">
        <v>213</v>
      </c>
      <c r="J249" s="614"/>
      <c r="K249" s="403"/>
      <c r="L249" s="403"/>
    </row>
    <row r="250" spans="1:12" ht="16.5" hidden="1" thickBot="1" x14ac:dyDescent="0.3">
      <c r="A250" s="1480"/>
      <c r="B250" s="1313"/>
      <c r="C250" s="1403"/>
      <c r="D250" s="28" t="s">
        <v>257</v>
      </c>
      <c r="E250" s="614"/>
      <c r="F250" s="80">
        <v>190</v>
      </c>
      <c r="G250" s="80"/>
      <c r="H250" s="80"/>
      <c r="I250" s="80">
        <v>177</v>
      </c>
      <c r="J250" s="614"/>
      <c r="K250" s="403"/>
      <c r="L250" s="403"/>
    </row>
    <row r="251" spans="1:12" ht="16.5" hidden="1" thickBot="1" x14ac:dyDescent="0.3">
      <c r="A251" s="1480"/>
      <c r="B251" s="1313"/>
      <c r="C251" s="1403"/>
      <c r="D251" s="28" t="s">
        <v>263</v>
      </c>
      <c r="E251" s="614"/>
      <c r="F251" s="80">
        <v>85</v>
      </c>
      <c r="G251" s="80"/>
      <c r="H251" s="80"/>
      <c r="I251" s="80">
        <v>36</v>
      </c>
      <c r="J251" s="614"/>
      <c r="K251" s="403"/>
      <c r="L251" s="403"/>
    </row>
    <row r="252" spans="1:12" ht="16.5" hidden="1" thickBot="1" x14ac:dyDescent="0.3">
      <c r="A252" s="1480"/>
      <c r="B252" s="1313"/>
      <c r="C252" s="1403"/>
      <c r="D252" s="28" t="s">
        <v>357</v>
      </c>
      <c r="E252" s="614"/>
      <c r="F252" s="97">
        <f>(F251/F249)*100</f>
        <v>30.909090909090907</v>
      </c>
      <c r="G252" s="94"/>
      <c r="H252" s="94"/>
      <c r="I252" s="97">
        <f>I251/I249*100</f>
        <v>16.901408450704224</v>
      </c>
      <c r="J252" s="614"/>
      <c r="K252" s="403"/>
      <c r="L252" s="403"/>
    </row>
    <row r="253" spans="1:12" ht="14.85" hidden="1" customHeight="1" x14ac:dyDescent="0.25">
      <c r="A253" s="1480"/>
      <c r="B253" s="1313"/>
      <c r="C253" s="1403" t="s">
        <v>404</v>
      </c>
      <c r="D253" s="144" t="s">
        <v>251</v>
      </c>
      <c r="E253" s="614"/>
      <c r="F253" s="80">
        <v>245</v>
      </c>
      <c r="G253" s="80"/>
      <c r="H253" s="80"/>
      <c r="I253" s="80">
        <v>66</v>
      </c>
      <c r="J253" s="614"/>
      <c r="K253" s="403"/>
      <c r="L253" s="403"/>
    </row>
    <row r="254" spans="1:12" ht="14.85" hidden="1" customHeight="1" x14ac:dyDescent="0.25">
      <c r="A254" s="1480"/>
      <c r="B254" s="1313"/>
      <c r="C254" s="1403"/>
      <c r="D254" s="28" t="s">
        <v>257</v>
      </c>
      <c r="E254" s="614"/>
      <c r="F254" s="80">
        <v>75</v>
      </c>
      <c r="G254" s="80"/>
      <c r="H254" s="80"/>
      <c r="I254" s="80">
        <v>39</v>
      </c>
      <c r="J254" s="614"/>
      <c r="K254" s="403"/>
      <c r="L254" s="403"/>
    </row>
    <row r="255" spans="1:12" ht="16.5" hidden="1" thickBot="1" x14ac:dyDescent="0.3">
      <c r="A255" s="1480"/>
      <c r="B255" s="1313"/>
      <c r="C255" s="1403"/>
      <c r="D255" s="28" t="s">
        <v>263</v>
      </c>
      <c r="E255" s="614"/>
      <c r="F255" s="80">
        <v>165</v>
      </c>
      <c r="G255" s="80"/>
      <c r="H255" s="80"/>
      <c r="I255" s="80">
        <v>27</v>
      </c>
      <c r="J255" s="614"/>
      <c r="K255" s="403"/>
      <c r="L255" s="403"/>
    </row>
    <row r="256" spans="1:12" ht="16.5" hidden="1" thickBot="1" x14ac:dyDescent="0.3">
      <c r="A256" s="1480"/>
      <c r="B256" s="1313"/>
      <c r="C256" s="1403"/>
      <c r="D256" s="28" t="s">
        <v>357</v>
      </c>
      <c r="E256" s="614"/>
      <c r="F256" s="99">
        <f>(F255/F253)*100</f>
        <v>67.346938775510196</v>
      </c>
      <c r="G256" s="94"/>
      <c r="H256" s="94"/>
      <c r="I256" s="98">
        <f>I255/I253*100</f>
        <v>40.909090909090914</v>
      </c>
      <c r="J256" s="614"/>
      <c r="K256" s="403"/>
      <c r="L256" s="403"/>
    </row>
    <row r="257" spans="1:12" ht="14.85" hidden="1" customHeight="1" x14ac:dyDescent="0.25">
      <c r="A257" s="1480"/>
      <c r="B257" s="1313"/>
      <c r="C257" s="1403" t="s">
        <v>405</v>
      </c>
      <c r="D257" s="144" t="s">
        <v>251</v>
      </c>
      <c r="E257" s="614"/>
      <c r="F257" s="80">
        <v>25</v>
      </c>
      <c r="G257" s="80"/>
      <c r="H257" s="80"/>
      <c r="I257" s="80">
        <v>60</v>
      </c>
      <c r="J257" s="614"/>
      <c r="K257" s="403"/>
      <c r="L257" s="403"/>
    </row>
    <row r="258" spans="1:12" ht="16.5" hidden="1" thickBot="1" x14ac:dyDescent="0.3">
      <c r="A258" s="1480"/>
      <c r="B258" s="1313"/>
      <c r="C258" s="1403"/>
      <c r="D258" s="28" t="s">
        <v>257</v>
      </c>
      <c r="E258" s="614"/>
      <c r="F258" s="80">
        <v>10</v>
      </c>
      <c r="G258" s="80"/>
      <c r="H258" s="80"/>
      <c r="I258" s="80">
        <v>39</v>
      </c>
      <c r="J258" s="614"/>
      <c r="K258" s="403"/>
      <c r="L258" s="403"/>
    </row>
    <row r="259" spans="1:12" ht="16.5" hidden="1" thickBot="1" x14ac:dyDescent="0.3">
      <c r="A259" s="1480"/>
      <c r="B259" s="1313"/>
      <c r="C259" s="1403"/>
      <c r="D259" s="28" t="s">
        <v>263</v>
      </c>
      <c r="E259" s="614"/>
      <c r="F259" s="80">
        <v>15</v>
      </c>
      <c r="G259" s="80"/>
      <c r="H259" s="80"/>
      <c r="I259" s="80">
        <v>18</v>
      </c>
      <c r="J259" s="614"/>
      <c r="K259" s="403"/>
      <c r="L259" s="403"/>
    </row>
    <row r="260" spans="1:12" ht="16.5" hidden="1" thickBot="1" x14ac:dyDescent="0.3">
      <c r="A260" s="1480"/>
      <c r="B260" s="1313"/>
      <c r="C260" s="1403"/>
      <c r="D260" s="28" t="s">
        <v>357</v>
      </c>
      <c r="E260" s="614"/>
      <c r="F260" s="99">
        <f>(F259/F257)*100</f>
        <v>60</v>
      </c>
      <c r="G260" s="94"/>
      <c r="H260" s="94"/>
      <c r="I260" s="97">
        <f>I259/I257*100</f>
        <v>30</v>
      </c>
      <c r="J260" s="614"/>
      <c r="K260" s="403"/>
      <c r="L260" s="403"/>
    </row>
    <row r="261" spans="1:12" ht="14.85" hidden="1" customHeight="1" x14ac:dyDescent="0.25">
      <c r="A261" s="1480"/>
      <c r="B261" s="1313"/>
      <c r="C261" s="1403" t="s">
        <v>406</v>
      </c>
      <c r="D261" s="144" t="s">
        <v>251</v>
      </c>
      <c r="E261" s="614"/>
      <c r="F261" s="80">
        <v>120</v>
      </c>
      <c r="G261" s="80"/>
      <c r="H261" s="80"/>
      <c r="I261" s="80">
        <v>99</v>
      </c>
      <c r="J261" s="614"/>
      <c r="K261" s="403"/>
      <c r="L261" s="403"/>
    </row>
    <row r="262" spans="1:12" ht="16.5" hidden="1" thickBot="1" x14ac:dyDescent="0.3">
      <c r="A262" s="1480"/>
      <c r="B262" s="1313"/>
      <c r="C262" s="1403"/>
      <c r="D262" s="28" t="s">
        <v>257</v>
      </c>
      <c r="E262" s="614"/>
      <c r="F262" s="80">
        <v>25</v>
      </c>
      <c r="G262" s="80"/>
      <c r="H262" s="80"/>
      <c r="I262" s="80">
        <v>51</v>
      </c>
      <c r="J262" s="614"/>
      <c r="K262" s="403"/>
      <c r="L262" s="403"/>
    </row>
    <row r="263" spans="1:12" ht="16.5" hidden="1" thickBot="1" x14ac:dyDescent="0.3">
      <c r="A263" s="1480"/>
      <c r="B263" s="1313"/>
      <c r="C263" s="1403"/>
      <c r="D263" s="28" t="s">
        <v>263</v>
      </c>
      <c r="E263" s="614"/>
      <c r="F263" s="80">
        <v>90</v>
      </c>
      <c r="G263" s="80"/>
      <c r="H263" s="80"/>
      <c r="I263" s="80">
        <v>45</v>
      </c>
      <c r="J263" s="614"/>
      <c r="K263" s="403"/>
      <c r="L263" s="403"/>
    </row>
    <row r="264" spans="1:12" ht="16.5" hidden="1" thickBot="1" x14ac:dyDescent="0.3">
      <c r="A264" s="1480"/>
      <c r="B264" s="1313"/>
      <c r="C264" s="1403"/>
      <c r="D264" s="28" t="s">
        <v>357</v>
      </c>
      <c r="E264" s="614"/>
      <c r="F264" s="99">
        <f>(F263/F261)*100</f>
        <v>75</v>
      </c>
      <c r="G264" s="94"/>
      <c r="H264" s="94"/>
      <c r="I264" s="98">
        <f>I263/I261*100</f>
        <v>45.454545454545453</v>
      </c>
      <c r="J264" s="614"/>
      <c r="K264" s="403"/>
      <c r="L264" s="403"/>
    </row>
    <row r="265" spans="1:12" ht="14.85" hidden="1" customHeight="1" x14ac:dyDescent="0.25">
      <c r="A265" s="1480"/>
      <c r="B265" s="1313"/>
      <c r="C265" s="1403" t="s">
        <v>407</v>
      </c>
      <c r="D265" s="144" t="s">
        <v>251</v>
      </c>
      <c r="E265" s="614"/>
      <c r="F265" s="80">
        <v>275</v>
      </c>
      <c r="G265" s="80"/>
      <c r="H265" s="80"/>
      <c r="I265" s="80">
        <v>72</v>
      </c>
      <c r="J265" s="614"/>
      <c r="K265" s="403"/>
      <c r="L265" s="403"/>
    </row>
    <row r="266" spans="1:12" ht="16.5" hidden="1" thickBot="1" x14ac:dyDescent="0.3">
      <c r="A266" s="1480"/>
      <c r="B266" s="1313"/>
      <c r="C266" s="1403"/>
      <c r="D266" s="28" t="s">
        <v>257</v>
      </c>
      <c r="E266" s="614"/>
      <c r="F266" s="80">
        <v>115</v>
      </c>
      <c r="G266" s="80"/>
      <c r="H266" s="80"/>
      <c r="I266" s="80">
        <v>51</v>
      </c>
      <c r="J266" s="614"/>
      <c r="K266" s="403"/>
      <c r="L266" s="403"/>
    </row>
    <row r="267" spans="1:12" ht="16.5" hidden="1" thickBot="1" x14ac:dyDescent="0.3">
      <c r="A267" s="1480"/>
      <c r="B267" s="1313"/>
      <c r="C267" s="1403"/>
      <c r="D267" s="28" t="s">
        <v>263</v>
      </c>
      <c r="E267" s="614"/>
      <c r="F267" s="80">
        <v>160</v>
      </c>
      <c r="G267" s="80"/>
      <c r="H267" s="80"/>
      <c r="I267" s="80">
        <v>21</v>
      </c>
      <c r="J267" s="614"/>
      <c r="K267" s="403"/>
      <c r="L267" s="403"/>
    </row>
    <row r="268" spans="1:12" ht="16.5" hidden="1" thickBot="1" x14ac:dyDescent="0.3">
      <c r="A268" s="1480"/>
      <c r="B268" s="1313"/>
      <c r="C268" s="1403"/>
      <c r="D268" s="28" t="s">
        <v>357</v>
      </c>
      <c r="E268" s="614"/>
      <c r="F268" s="98">
        <f>(F267/F265)*100</f>
        <v>58.18181818181818</v>
      </c>
      <c r="G268" s="94"/>
      <c r="H268" s="94"/>
      <c r="I268" s="97">
        <f>I267/I265*100</f>
        <v>29.166666666666668</v>
      </c>
      <c r="J268" s="614"/>
      <c r="K268" s="403"/>
      <c r="L268" s="403"/>
    </row>
    <row r="269" spans="1:12" ht="14.85" hidden="1" customHeight="1" x14ac:dyDescent="0.25">
      <c r="A269" s="1480"/>
      <c r="B269" s="1313"/>
      <c r="C269" s="1403" t="s">
        <v>408</v>
      </c>
      <c r="D269" s="144" t="s">
        <v>251</v>
      </c>
      <c r="E269" s="614"/>
      <c r="F269" s="80">
        <v>25</v>
      </c>
      <c r="G269" s="80"/>
      <c r="H269" s="80"/>
      <c r="I269" s="80">
        <v>33</v>
      </c>
      <c r="J269" s="614"/>
      <c r="K269" s="403"/>
      <c r="L269" s="403"/>
    </row>
    <row r="270" spans="1:12" ht="16.5" hidden="1" thickBot="1" x14ac:dyDescent="0.3">
      <c r="A270" s="1480"/>
      <c r="B270" s="1313"/>
      <c r="C270" s="1403"/>
      <c r="D270" s="28" t="s">
        <v>257</v>
      </c>
      <c r="E270" s="614"/>
      <c r="F270" s="80">
        <v>25</v>
      </c>
      <c r="G270" s="80"/>
      <c r="H270" s="80"/>
      <c r="I270" s="80">
        <v>24</v>
      </c>
      <c r="J270" s="614"/>
      <c r="K270" s="403"/>
      <c r="L270" s="403"/>
    </row>
    <row r="271" spans="1:12" ht="16.5" hidden="1" thickBot="1" x14ac:dyDescent="0.3">
      <c r="A271" s="1480"/>
      <c r="B271" s="1313"/>
      <c r="C271" s="1403"/>
      <c r="D271" s="28" t="s">
        <v>263</v>
      </c>
      <c r="E271" s="614"/>
      <c r="F271" s="80">
        <v>0</v>
      </c>
      <c r="G271" s="80"/>
      <c r="H271" s="80"/>
      <c r="I271" s="80">
        <v>6</v>
      </c>
      <c r="J271" s="614"/>
      <c r="K271" s="403"/>
      <c r="L271" s="403"/>
    </row>
    <row r="272" spans="1:12" ht="16.5" hidden="1" thickBot="1" x14ac:dyDescent="0.3">
      <c r="A272" s="1480"/>
      <c r="B272" s="1313"/>
      <c r="C272" s="1403"/>
      <c r="D272" s="28" t="s">
        <v>357</v>
      </c>
      <c r="E272" s="614"/>
      <c r="F272" s="97">
        <f>(F271/F269)*100</f>
        <v>0</v>
      </c>
      <c r="G272" s="94"/>
      <c r="H272" s="94"/>
      <c r="I272" s="97">
        <f>I271/I269*100</f>
        <v>18.181818181818183</v>
      </c>
      <c r="J272" s="614"/>
      <c r="K272" s="403"/>
      <c r="L272" s="403"/>
    </row>
    <row r="273" spans="1:12" ht="14.85" hidden="1" customHeight="1" x14ac:dyDescent="0.25">
      <c r="A273" s="1480"/>
      <c r="B273" s="1313"/>
      <c r="C273" s="1403" t="s">
        <v>409</v>
      </c>
      <c r="D273" s="144" t="s">
        <v>251</v>
      </c>
      <c r="E273" s="614"/>
      <c r="F273" s="80">
        <v>135</v>
      </c>
      <c r="G273" s="80"/>
      <c r="H273" s="80"/>
      <c r="I273" s="80">
        <v>45</v>
      </c>
      <c r="J273" s="614"/>
      <c r="K273" s="403"/>
      <c r="L273" s="403"/>
    </row>
    <row r="274" spans="1:12" ht="14.85" hidden="1" customHeight="1" x14ac:dyDescent="0.25">
      <c r="A274" s="1480"/>
      <c r="B274" s="1313"/>
      <c r="C274" s="1403"/>
      <c r="D274" s="28" t="s">
        <v>257</v>
      </c>
      <c r="E274" s="614"/>
      <c r="F274" s="80">
        <v>80</v>
      </c>
      <c r="G274" s="80"/>
      <c r="H274" s="80"/>
      <c r="I274" s="80">
        <v>39</v>
      </c>
      <c r="J274" s="614"/>
      <c r="K274" s="403"/>
      <c r="L274" s="403"/>
    </row>
    <row r="275" spans="1:12" ht="16.5" hidden="1" thickBot="1" x14ac:dyDescent="0.3">
      <c r="A275" s="1480"/>
      <c r="B275" s="1313"/>
      <c r="C275" s="1403"/>
      <c r="D275" s="28" t="s">
        <v>263</v>
      </c>
      <c r="E275" s="614"/>
      <c r="F275" s="80">
        <v>60</v>
      </c>
      <c r="G275" s="80"/>
      <c r="H275" s="80"/>
      <c r="I275" s="80">
        <v>6</v>
      </c>
      <c r="J275" s="614"/>
      <c r="K275" s="403"/>
      <c r="L275" s="403"/>
    </row>
    <row r="276" spans="1:12" ht="16.5" hidden="1" thickBot="1" x14ac:dyDescent="0.3">
      <c r="A276" s="1480"/>
      <c r="B276" s="1313"/>
      <c r="C276" s="1403"/>
      <c r="D276" s="28" t="s">
        <v>357</v>
      </c>
      <c r="E276" s="614"/>
      <c r="F276" s="98">
        <f>(F275/F273)*100</f>
        <v>44.444444444444443</v>
      </c>
      <c r="G276" s="94"/>
      <c r="H276" s="94"/>
      <c r="I276" s="97">
        <f>I275/I273*100</f>
        <v>13.333333333333334</v>
      </c>
      <c r="J276" s="614"/>
      <c r="K276" s="403"/>
      <c r="L276" s="403"/>
    </row>
    <row r="277" spans="1:12" ht="14.85" hidden="1" customHeight="1" x14ac:dyDescent="0.25">
      <c r="A277" s="1480"/>
      <c r="B277" s="1313"/>
      <c r="C277" s="1403" t="s">
        <v>410</v>
      </c>
      <c r="D277" s="144" t="s">
        <v>251</v>
      </c>
      <c r="E277" s="614"/>
      <c r="F277" s="80">
        <v>525</v>
      </c>
      <c r="G277" s="80"/>
      <c r="H277" s="80"/>
      <c r="I277" s="80">
        <v>447</v>
      </c>
      <c r="J277" s="614"/>
      <c r="K277" s="403"/>
      <c r="L277" s="403"/>
    </row>
    <row r="278" spans="1:12" ht="16.5" hidden="1" thickBot="1" x14ac:dyDescent="0.3">
      <c r="A278" s="1480"/>
      <c r="B278" s="1313"/>
      <c r="C278" s="1403"/>
      <c r="D278" s="28" t="s">
        <v>257</v>
      </c>
      <c r="E278" s="614"/>
      <c r="F278" s="80">
        <v>415</v>
      </c>
      <c r="G278" s="80"/>
      <c r="H278" s="80"/>
      <c r="I278" s="80">
        <v>399</v>
      </c>
      <c r="J278" s="614"/>
      <c r="K278" s="403"/>
      <c r="L278" s="403"/>
    </row>
    <row r="279" spans="1:12" ht="16.5" hidden="1" thickBot="1" x14ac:dyDescent="0.3">
      <c r="A279" s="1480"/>
      <c r="B279" s="1313"/>
      <c r="C279" s="1403"/>
      <c r="D279" s="28" t="s">
        <v>263</v>
      </c>
      <c r="E279" s="614"/>
      <c r="F279" s="80">
        <v>110</v>
      </c>
      <c r="G279" s="80"/>
      <c r="H279" s="80"/>
      <c r="I279" s="80">
        <v>45</v>
      </c>
      <c r="J279" s="614"/>
      <c r="K279" s="403"/>
      <c r="L279" s="403"/>
    </row>
    <row r="280" spans="1:12" ht="16.5" hidden="1" thickBot="1" x14ac:dyDescent="0.3">
      <c r="A280" s="1480"/>
      <c r="B280" s="1313"/>
      <c r="C280" s="1403"/>
      <c r="D280" s="28" t="s">
        <v>357</v>
      </c>
      <c r="E280" s="614"/>
      <c r="F280" s="97">
        <f>(F279/F277)*100</f>
        <v>20.952380952380953</v>
      </c>
      <c r="G280" s="94"/>
      <c r="H280" s="94"/>
      <c r="I280" s="97">
        <f>I279/I277*100</f>
        <v>10.067114093959731</v>
      </c>
      <c r="J280" s="614"/>
      <c r="K280" s="403"/>
      <c r="L280" s="403"/>
    </row>
    <row r="281" spans="1:12" ht="14.85" hidden="1" customHeight="1" x14ac:dyDescent="0.25">
      <c r="A281" s="1480"/>
      <c r="B281" s="1313"/>
      <c r="C281" s="1403" t="s">
        <v>411</v>
      </c>
      <c r="D281" s="144" t="s">
        <v>251</v>
      </c>
      <c r="E281" s="614"/>
      <c r="F281" s="80">
        <v>2565</v>
      </c>
      <c r="G281" s="80"/>
      <c r="H281" s="80"/>
      <c r="I281" s="80">
        <v>1941</v>
      </c>
      <c r="J281" s="614"/>
      <c r="K281" s="403"/>
      <c r="L281" s="403"/>
    </row>
    <row r="282" spans="1:12" ht="16.5" hidden="1" thickBot="1" x14ac:dyDescent="0.3">
      <c r="A282" s="1480"/>
      <c r="B282" s="1313"/>
      <c r="C282" s="1403"/>
      <c r="D282" s="28" t="s">
        <v>257</v>
      </c>
      <c r="E282" s="614"/>
      <c r="F282" s="80">
        <v>110</v>
      </c>
      <c r="G282" s="80"/>
      <c r="H282" s="80"/>
      <c r="I282" s="80">
        <v>114</v>
      </c>
      <c r="J282" s="614"/>
      <c r="K282" s="403"/>
      <c r="L282" s="403"/>
    </row>
    <row r="283" spans="1:12" ht="16.5" hidden="1" thickBot="1" x14ac:dyDescent="0.3">
      <c r="A283" s="1480"/>
      <c r="B283" s="1313"/>
      <c r="C283" s="1403"/>
      <c r="D283" s="28" t="s">
        <v>263</v>
      </c>
      <c r="E283" s="614"/>
      <c r="F283" s="80">
        <v>2460</v>
      </c>
      <c r="G283" s="80"/>
      <c r="H283" s="80"/>
      <c r="I283" s="80">
        <v>1827</v>
      </c>
      <c r="J283" s="614"/>
      <c r="K283" s="403"/>
      <c r="L283" s="403"/>
    </row>
    <row r="284" spans="1:12" ht="16.5" hidden="1" thickBot="1" x14ac:dyDescent="0.3">
      <c r="A284" s="1480"/>
      <c r="B284" s="1313"/>
      <c r="C284" s="1403"/>
      <c r="D284" s="28" t="s">
        <v>357</v>
      </c>
      <c r="E284" s="614"/>
      <c r="F284" s="99">
        <f>(F283/F281)*100</f>
        <v>95.906432748538009</v>
      </c>
      <c r="G284" s="94"/>
      <c r="H284" s="94"/>
      <c r="I284" s="99">
        <f>I283/I281*100</f>
        <v>94.126738794435866</v>
      </c>
      <c r="J284" s="614"/>
      <c r="K284" s="403"/>
      <c r="L284" s="403"/>
    </row>
    <row r="285" spans="1:12" ht="14.85" hidden="1" customHeight="1" x14ac:dyDescent="0.25">
      <c r="A285" s="1480"/>
      <c r="B285" s="1313"/>
      <c r="C285" s="1403" t="s">
        <v>412</v>
      </c>
      <c r="D285" s="144" t="s">
        <v>251</v>
      </c>
      <c r="E285" s="614"/>
      <c r="F285" s="80">
        <v>1015</v>
      </c>
      <c r="G285" s="80"/>
      <c r="H285" s="80"/>
      <c r="I285" s="80">
        <v>822</v>
      </c>
      <c r="J285" s="614"/>
      <c r="K285" s="403"/>
      <c r="L285" s="403"/>
    </row>
    <row r="286" spans="1:12" ht="16.5" hidden="1" thickBot="1" x14ac:dyDescent="0.3">
      <c r="A286" s="1480"/>
      <c r="B286" s="1313"/>
      <c r="C286" s="1403"/>
      <c r="D286" s="28" t="s">
        <v>257</v>
      </c>
      <c r="E286" s="614"/>
      <c r="F286" s="80">
        <v>280</v>
      </c>
      <c r="G286" s="80"/>
      <c r="H286" s="80"/>
      <c r="I286" s="80">
        <v>252</v>
      </c>
      <c r="J286" s="614"/>
      <c r="K286" s="403"/>
      <c r="L286" s="403"/>
    </row>
    <row r="287" spans="1:12" ht="16.5" hidden="1" thickBot="1" x14ac:dyDescent="0.3">
      <c r="A287" s="1480"/>
      <c r="B287" s="1313"/>
      <c r="C287" s="1403"/>
      <c r="D287" s="28" t="s">
        <v>263</v>
      </c>
      <c r="E287" s="614"/>
      <c r="F287" s="80">
        <v>735</v>
      </c>
      <c r="G287" s="80"/>
      <c r="H287" s="80"/>
      <c r="I287" s="80">
        <v>567</v>
      </c>
      <c r="J287" s="614"/>
      <c r="K287" s="403"/>
      <c r="L287" s="403"/>
    </row>
    <row r="288" spans="1:12" ht="16.5" hidden="1" thickBot="1" x14ac:dyDescent="0.3">
      <c r="A288" s="1480"/>
      <c r="B288" s="1313"/>
      <c r="C288" s="1403"/>
      <c r="D288" s="28" t="s">
        <v>357</v>
      </c>
      <c r="E288" s="614"/>
      <c r="F288" s="99">
        <f>(F287/F285)*100</f>
        <v>72.41379310344827</v>
      </c>
      <c r="G288" s="94"/>
      <c r="H288" s="94"/>
      <c r="I288" s="99">
        <f>I287/I285*100</f>
        <v>68.978102189781026</v>
      </c>
      <c r="J288" s="614"/>
      <c r="K288" s="403"/>
      <c r="L288" s="403"/>
    </row>
    <row r="289" spans="1:12" ht="14.85" hidden="1" customHeight="1" x14ac:dyDescent="0.25">
      <c r="A289" s="1480"/>
      <c r="B289" s="1313"/>
      <c r="C289" s="1403" t="s">
        <v>413</v>
      </c>
      <c r="D289" s="144" t="s">
        <v>251</v>
      </c>
      <c r="E289" s="614"/>
      <c r="F289" s="80">
        <v>290</v>
      </c>
      <c r="G289" s="80"/>
      <c r="H289" s="80"/>
      <c r="I289" s="80">
        <v>192</v>
      </c>
      <c r="J289" s="614"/>
      <c r="K289" s="403"/>
      <c r="L289" s="403"/>
    </row>
    <row r="290" spans="1:12" ht="14.85" hidden="1" customHeight="1" x14ac:dyDescent="0.25">
      <c r="A290" s="1480"/>
      <c r="B290" s="1313"/>
      <c r="C290" s="1403"/>
      <c r="D290" s="28" t="s">
        <v>257</v>
      </c>
      <c r="E290" s="614"/>
      <c r="F290" s="80">
        <v>170</v>
      </c>
      <c r="G290" s="80"/>
      <c r="H290" s="80"/>
      <c r="I290" s="80">
        <v>108</v>
      </c>
      <c r="J290" s="614"/>
      <c r="K290" s="403"/>
      <c r="L290" s="403"/>
    </row>
    <row r="291" spans="1:12" ht="16.5" hidden="1" thickBot="1" x14ac:dyDescent="0.3">
      <c r="A291" s="1480"/>
      <c r="B291" s="1313"/>
      <c r="C291" s="1403"/>
      <c r="D291" s="28" t="s">
        <v>263</v>
      </c>
      <c r="E291" s="614"/>
      <c r="F291" s="80">
        <v>125</v>
      </c>
      <c r="G291" s="80"/>
      <c r="H291" s="80"/>
      <c r="I291" s="80">
        <v>84</v>
      </c>
      <c r="J291" s="614"/>
      <c r="K291" s="403"/>
      <c r="L291" s="403"/>
    </row>
    <row r="292" spans="1:12" ht="16.5" hidden="1" thickBot="1" x14ac:dyDescent="0.3">
      <c r="A292" s="1480"/>
      <c r="B292" s="1313"/>
      <c r="C292" s="1403"/>
      <c r="D292" s="28" t="s">
        <v>357</v>
      </c>
      <c r="E292" s="614"/>
      <c r="F292" s="98">
        <f>(F291/F289)*100</f>
        <v>43.103448275862064</v>
      </c>
      <c r="G292" s="94"/>
      <c r="H292" s="94"/>
      <c r="I292" s="98">
        <f>I291/I289*100</f>
        <v>43.75</v>
      </c>
      <c r="J292" s="614"/>
      <c r="K292" s="403"/>
      <c r="L292" s="403"/>
    </row>
    <row r="293" spans="1:12" ht="14.85" hidden="1" customHeight="1" x14ac:dyDescent="0.25">
      <c r="A293" s="1480"/>
      <c r="B293" s="1313"/>
      <c r="C293" s="1403" t="s">
        <v>414</v>
      </c>
      <c r="D293" s="144" t="s">
        <v>251</v>
      </c>
      <c r="E293" s="614"/>
      <c r="F293" s="80">
        <v>295</v>
      </c>
      <c r="G293" s="80"/>
      <c r="H293" s="80"/>
      <c r="I293" s="80">
        <v>243</v>
      </c>
      <c r="J293" s="614"/>
      <c r="K293" s="403"/>
      <c r="L293" s="403"/>
    </row>
    <row r="294" spans="1:12" ht="14.85" hidden="1" customHeight="1" x14ac:dyDescent="0.25">
      <c r="A294" s="1480"/>
      <c r="B294" s="1313"/>
      <c r="C294" s="1403"/>
      <c r="D294" s="28" t="s">
        <v>257</v>
      </c>
      <c r="E294" s="614"/>
      <c r="F294" s="80">
        <v>150</v>
      </c>
      <c r="G294" s="80"/>
      <c r="H294" s="80"/>
      <c r="I294" s="80">
        <v>171</v>
      </c>
      <c r="J294" s="614"/>
      <c r="K294" s="403"/>
      <c r="L294" s="403"/>
    </row>
    <row r="295" spans="1:12" ht="16.5" hidden="1" thickBot="1" x14ac:dyDescent="0.3">
      <c r="A295" s="1480"/>
      <c r="B295" s="1313"/>
      <c r="C295" s="1403"/>
      <c r="D295" s="28" t="s">
        <v>263</v>
      </c>
      <c r="E295" s="614"/>
      <c r="F295" s="80">
        <v>150</v>
      </c>
      <c r="G295" s="80"/>
      <c r="H295" s="80"/>
      <c r="I295" s="80">
        <v>72</v>
      </c>
      <c r="J295" s="614"/>
      <c r="K295" s="403"/>
      <c r="L295" s="403"/>
    </row>
    <row r="296" spans="1:12" ht="16.5" hidden="1" thickBot="1" x14ac:dyDescent="0.3">
      <c r="A296" s="1480"/>
      <c r="B296" s="1313"/>
      <c r="C296" s="1403"/>
      <c r="D296" s="28" t="s">
        <v>357</v>
      </c>
      <c r="E296" s="614"/>
      <c r="F296" s="98">
        <f>(F295/F293)*100</f>
        <v>50.847457627118644</v>
      </c>
      <c r="G296" s="94"/>
      <c r="H296" s="94"/>
      <c r="I296" s="97">
        <f>I295/I293*100</f>
        <v>29.629629629629626</v>
      </c>
      <c r="J296" s="614"/>
      <c r="K296" s="403"/>
      <c r="L296" s="403"/>
    </row>
    <row r="297" spans="1:12" ht="14.85" hidden="1" customHeight="1" x14ac:dyDescent="0.25">
      <c r="A297" s="1480"/>
      <c r="B297" s="1313"/>
      <c r="C297" s="1403" t="s">
        <v>415</v>
      </c>
      <c r="D297" s="144" t="s">
        <v>251</v>
      </c>
      <c r="E297" s="614"/>
      <c r="F297" s="80">
        <v>140</v>
      </c>
      <c r="G297" s="80"/>
      <c r="H297" s="80"/>
      <c r="I297" s="80">
        <v>54</v>
      </c>
      <c r="J297" s="614"/>
      <c r="K297" s="403"/>
      <c r="L297" s="403"/>
    </row>
    <row r="298" spans="1:12" ht="16.5" hidden="1" thickBot="1" x14ac:dyDescent="0.3">
      <c r="A298" s="1480"/>
      <c r="B298" s="1313"/>
      <c r="C298" s="1403"/>
      <c r="D298" s="28" t="s">
        <v>257</v>
      </c>
      <c r="E298" s="614"/>
      <c r="F298" s="80">
        <v>45</v>
      </c>
      <c r="G298" s="80"/>
      <c r="H298" s="80"/>
      <c r="I298" s="80">
        <v>39</v>
      </c>
      <c r="J298" s="614"/>
      <c r="K298" s="403"/>
      <c r="L298" s="403"/>
    </row>
    <row r="299" spans="1:12" ht="16.5" hidden="1" thickBot="1" x14ac:dyDescent="0.3">
      <c r="A299" s="1480"/>
      <c r="B299" s="1313"/>
      <c r="C299" s="1403"/>
      <c r="D299" s="28" t="s">
        <v>263</v>
      </c>
      <c r="E299" s="614"/>
      <c r="F299" s="80">
        <v>100</v>
      </c>
      <c r="G299" s="80"/>
      <c r="H299" s="80"/>
      <c r="I299" s="80">
        <v>15</v>
      </c>
      <c r="J299" s="614"/>
      <c r="K299" s="403"/>
      <c r="L299" s="403"/>
    </row>
    <row r="300" spans="1:12" ht="16.5" hidden="1" thickBot="1" x14ac:dyDescent="0.3">
      <c r="A300" s="1480"/>
      <c r="B300" s="1313"/>
      <c r="C300" s="1403"/>
      <c r="D300" s="28" t="s">
        <v>357</v>
      </c>
      <c r="E300" s="614"/>
      <c r="F300" s="99">
        <f>(F299/F297)*100</f>
        <v>71.428571428571431</v>
      </c>
      <c r="G300" s="94"/>
      <c r="H300" s="94"/>
      <c r="I300" s="97">
        <f>I299/I297*100</f>
        <v>27.777777777777779</v>
      </c>
      <c r="J300" s="614"/>
      <c r="K300" s="403"/>
      <c r="L300" s="403"/>
    </row>
    <row r="301" spans="1:12" ht="14.85" hidden="1" customHeight="1" x14ac:dyDescent="0.25">
      <c r="A301" s="1480"/>
      <c r="B301" s="1313"/>
      <c r="C301" s="1403" t="s">
        <v>416</v>
      </c>
      <c r="D301" s="144" t="s">
        <v>251</v>
      </c>
      <c r="E301" s="614"/>
      <c r="F301" s="80">
        <v>20</v>
      </c>
      <c r="G301" s="80"/>
      <c r="H301" s="80"/>
      <c r="I301" s="80">
        <v>36</v>
      </c>
      <c r="J301" s="614"/>
      <c r="K301" s="403"/>
      <c r="L301" s="403"/>
    </row>
    <row r="302" spans="1:12" ht="16.5" hidden="1" thickBot="1" x14ac:dyDescent="0.3">
      <c r="A302" s="1480"/>
      <c r="B302" s="1313"/>
      <c r="C302" s="1403"/>
      <c r="D302" s="28" t="s">
        <v>257</v>
      </c>
      <c r="E302" s="614"/>
      <c r="F302" s="80">
        <v>0</v>
      </c>
      <c r="G302" s="80"/>
      <c r="H302" s="80"/>
      <c r="I302" s="80">
        <v>33</v>
      </c>
      <c r="J302" s="614"/>
      <c r="K302" s="403"/>
      <c r="L302" s="403"/>
    </row>
    <row r="303" spans="1:12" ht="16.5" hidden="1" thickBot="1" x14ac:dyDescent="0.3">
      <c r="A303" s="1480"/>
      <c r="B303" s="1313"/>
      <c r="C303" s="1403"/>
      <c r="D303" s="28" t="s">
        <v>263</v>
      </c>
      <c r="E303" s="614"/>
      <c r="F303" s="80">
        <v>20</v>
      </c>
      <c r="G303" s="80"/>
      <c r="H303" s="80"/>
      <c r="I303" s="80">
        <v>3</v>
      </c>
      <c r="J303" s="614"/>
      <c r="K303" s="403"/>
      <c r="L303" s="403"/>
    </row>
    <row r="304" spans="1:12" ht="16.5" hidden="1" thickBot="1" x14ac:dyDescent="0.3">
      <c r="A304" s="1480"/>
      <c r="B304" s="1313"/>
      <c r="C304" s="1403"/>
      <c r="D304" s="28" t="s">
        <v>357</v>
      </c>
      <c r="E304" s="614"/>
      <c r="F304" s="99">
        <f>(F303/F301)*100</f>
        <v>100</v>
      </c>
      <c r="G304" s="94"/>
      <c r="H304" s="94"/>
      <c r="I304" s="97">
        <f>I303/I301*100</f>
        <v>8.3333333333333321</v>
      </c>
      <c r="J304" s="614"/>
      <c r="K304" s="403"/>
      <c r="L304" s="403"/>
    </row>
    <row r="305" spans="1:12" ht="14.85" hidden="1" customHeight="1" x14ac:dyDescent="0.25">
      <c r="A305" s="1480"/>
      <c r="B305" s="1313"/>
      <c r="C305" s="1403" t="s">
        <v>417</v>
      </c>
      <c r="D305" s="144" t="s">
        <v>251</v>
      </c>
      <c r="E305" s="614"/>
      <c r="F305" s="80">
        <v>65</v>
      </c>
      <c r="G305" s="80"/>
      <c r="H305" s="80"/>
      <c r="I305" s="80">
        <v>174</v>
      </c>
      <c r="J305" s="614"/>
      <c r="K305" s="403"/>
      <c r="L305" s="403"/>
    </row>
    <row r="306" spans="1:12" ht="16.5" hidden="1" thickBot="1" x14ac:dyDescent="0.3">
      <c r="A306" s="1480"/>
      <c r="B306" s="1313"/>
      <c r="C306" s="1403"/>
      <c r="D306" s="28" t="s">
        <v>257</v>
      </c>
      <c r="E306" s="614"/>
      <c r="F306" s="80">
        <v>15</v>
      </c>
      <c r="G306" s="80"/>
      <c r="H306" s="80"/>
      <c r="I306" s="80">
        <v>108</v>
      </c>
      <c r="J306" s="614"/>
      <c r="K306" s="403"/>
      <c r="L306" s="403"/>
    </row>
    <row r="307" spans="1:12" ht="16.5" hidden="1" thickBot="1" x14ac:dyDescent="0.3">
      <c r="A307" s="1480"/>
      <c r="B307" s="1313"/>
      <c r="C307" s="1403"/>
      <c r="D307" s="28" t="s">
        <v>263</v>
      </c>
      <c r="E307" s="614"/>
      <c r="F307" s="80">
        <v>50</v>
      </c>
      <c r="G307" s="80"/>
      <c r="H307" s="80"/>
      <c r="I307" s="80">
        <v>66</v>
      </c>
      <c r="J307" s="614"/>
      <c r="K307" s="403"/>
      <c r="L307" s="403"/>
    </row>
    <row r="308" spans="1:12" ht="16.5" hidden="1" thickBot="1" x14ac:dyDescent="0.3">
      <c r="A308" s="1480"/>
      <c r="B308" s="1313"/>
      <c r="C308" s="1403"/>
      <c r="D308" s="28" t="s">
        <v>357</v>
      </c>
      <c r="E308" s="614"/>
      <c r="F308" s="99">
        <f>(F307/F305)*100</f>
        <v>76.923076923076934</v>
      </c>
      <c r="G308" s="94"/>
      <c r="H308" s="94"/>
      <c r="I308" s="97">
        <f>I307/I305*100</f>
        <v>37.931034482758619</v>
      </c>
      <c r="J308" s="614"/>
      <c r="K308" s="403"/>
      <c r="L308" s="403"/>
    </row>
    <row r="309" spans="1:12" ht="14.85" hidden="1" customHeight="1" x14ac:dyDescent="0.25">
      <c r="A309" s="1480"/>
      <c r="B309" s="1313"/>
      <c r="C309" s="1403" t="s">
        <v>418</v>
      </c>
      <c r="D309" s="144" t="s">
        <v>251</v>
      </c>
      <c r="E309" s="614"/>
      <c r="F309" s="80">
        <v>75</v>
      </c>
      <c r="G309" s="80"/>
      <c r="H309" s="80"/>
      <c r="I309" s="80">
        <v>228</v>
      </c>
      <c r="J309" s="614"/>
      <c r="K309" s="403"/>
      <c r="L309" s="403"/>
    </row>
    <row r="310" spans="1:12" ht="16.5" hidden="1" thickBot="1" x14ac:dyDescent="0.3">
      <c r="A310" s="1480"/>
      <c r="B310" s="1313"/>
      <c r="C310" s="1403"/>
      <c r="D310" s="28" t="s">
        <v>263</v>
      </c>
      <c r="E310" s="614"/>
      <c r="F310" s="80">
        <v>60</v>
      </c>
      <c r="G310" s="80"/>
      <c r="H310" s="80"/>
      <c r="I310" s="80">
        <v>177</v>
      </c>
      <c r="J310" s="614"/>
      <c r="K310" s="403"/>
      <c r="L310" s="403"/>
    </row>
    <row r="311" spans="1:12" ht="14.85" hidden="1" customHeight="1" x14ac:dyDescent="0.25">
      <c r="A311" s="1480"/>
      <c r="B311" s="1313"/>
      <c r="C311" s="1403"/>
      <c r="D311" s="28" t="s">
        <v>257</v>
      </c>
      <c r="E311" s="614"/>
      <c r="F311" s="80">
        <v>10</v>
      </c>
      <c r="G311" s="80"/>
      <c r="H311" s="80"/>
      <c r="I311" s="80">
        <v>51</v>
      </c>
      <c r="J311" s="614"/>
      <c r="K311" s="403"/>
      <c r="L311" s="403"/>
    </row>
    <row r="312" spans="1:12" ht="16.5" hidden="1" thickBot="1" x14ac:dyDescent="0.3">
      <c r="A312" s="1480"/>
      <c r="B312" s="1313"/>
      <c r="C312" s="1631"/>
      <c r="D312" s="110" t="s">
        <v>357</v>
      </c>
      <c r="E312" s="564"/>
      <c r="F312" s="469">
        <f>(F311/F309)*100</f>
        <v>13.333333333333334</v>
      </c>
      <c r="G312" s="126"/>
      <c r="H312" s="126"/>
      <c r="I312" s="469">
        <f>I311/I309*100</f>
        <v>22.368421052631579</v>
      </c>
      <c r="J312" s="564"/>
      <c r="K312" s="565"/>
      <c r="L312" s="565"/>
    </row>
    <row r="313" spans="1:12" x14ac:dyDescent="0.25">
      <c r="A313" s="1480"/>
      <c r="B313" s="1313"/>
      <c r="C313" s="1465" t="s">
        <v>419</v>
      </c>
      <c r="D313" s="1520"/>
      <c r="E313" s="620"/>
      <c r="F313" s="566">
        <f>22/61*100</f>
        <v>36.065573770491802</v>
      </c>
      <c r="G313" s="618"/>
      <c r="H313" s="618"/>
      <c r="I313" s="567">
        <f>25/61*100</f>
        <v>40.983606557377051</v>
      </c>
      <c r="J313" s="620"/>
      <c r="K313" s="451"/>
      <c r="L313" s="512"/>
    </row>
    <row r="314" spans="1:12" x14ac:dyDescent="0.25">
      <c r="A314" s="1480"/>
      <c r="B314" s="1313"/>
      <c r="C314" s="1455" t="s">
        <v>420</v>
      </c>
      <c r="D314" s="1632"/>
      <c r="E314" s="614"/>
      <c r="F314" s="560">
        <f>20/61*100</f>
        <v>32.786885245901637</v>
      </c>
      <c r="G314" s="626"/>
      <c r="H314" s="626"/>
      <c r="I314" s="560">
        <f>15/61*100</f>
        <v>24.590163934426229</v>
      </c>
      <c r="J314" s="614"/>
      <c r="K314" s="403"/>
      <c r="L314" s="407"/>
    </row>
    <row r="315" spans="1:12" ht="16.5" thickBot="1" x14ac:dyDescent="0.3">
      <c r="A315" s="1648"/>
      <c r="B315" s="1596"/>
      <c r="C315" s="1457" t="s">
        <v>421</v>
      </c>
      <c r="D315" s="1633"/>
      <c r="E315" s="564"/>
      <c r="F315" s="568">
        <f>19/61*100</f>
        <v>31.147540983606557</v>
      </c>
      <c r="G315" s="627"/>
      <c r="H315" s="627"/>
      <c r="I315" s="568">
        <f>21/61*100</f>
        <v>34.42622950819672</v>
      </c>
      <c r="J315" s="564"/>
      <c r="K315" s="565"/>
      <c r="L315" s="558"/>
    </row>
    <row r="316" spans="1:12" ht="16.5" thickBot="1" x14ac:dyDescent="0.3">
      <c r="A316" s="697" t="s">
        <v>248</v>
      </c>
      <c r="B316" s="694" t="s">
        <v>249</v>
      </c>
      <c r="C316" s="1501"/>
      <c r="D316" s="1501"/>
      <c r="E316" s="744">
        <v>2005</v>
      </c>
      <c r="F316" s="744">
        <v>2010</v>
      </c>
      <c r="G316" s="744">
        <v>2015</v>
      </c>
      <c r="H316" s="744">
        <v>2020</v>
      </c>
      <c r="I316" s="744">
        <v>2021</v>
      </c>
      <c r="J316" s="744">
        <v>2022</v>
      </c>
      <c r="K316" s="744">
        <v>2023</v>
      </c>
      <c r="L316" s="745">
        <v>2024</v>
      </c>
    </row>
    <row r="317" spans="1:12" ht="15" customHeight="1" x14ac:dyDescent="0.25">
      <c r="A317" s="1617" t="s">
        <v>422</v>
      </c>
      <c r="B317" s="1543" t="s">
        <v>164</v>
      </c>
      <c r="C317" s="1530" t="s">
        <v>424</v>
      </c>
      <c r="D317" s="1415"/>
      <c r="E317" s="448"/>
      <c r="F317" s="742">
        <v>1064.6099999999999</v>
      </c>
      <c r="G317" s="742">
        <v>1240.31</v>
      </c>
      <c r="H317" s="742">
        <v>1367</v>
      </c>
      <c r="I317" s="742">
        <v>1402</v>
      </c>
      <c r="J317" s="742">
        <v>1432</v>
      </c>
      <c r="K317" s="742">
        <v>1580</v>
      </c>
      <c r="L317" s="743">
        <v>1594</v>
      </c>
    </row>
    <row r="318" spans="1:12" x14ac:dyDescent="0.25">
      <c r="A318" s="1617"/>
      <c r="B318" s="1544"/>
      <c r="C318" s="1330" t="s">
        <v>425</v>
      </c>
      <c r="D318" s="1331"/>
      <c r="E318" s="403"/>
      <c r="F318" s="570">
        <v>1486.06</v>
      </c>
      <c r="G318" s="570">
        <v>1649</v>
      </c>
      <c r="H318" s="570">
        <v>1678</v>
      </c>
      <c r="I318" s="570">
        <v>1713</v>
      </c>
      <c r="J318" s="570">
        <v>1738</v>
      </c>
      <c r="K318" s="570">
        <v>1892</v>
      </c>
      <c r="L318" s="571">
        <v>1898</v>
      </c>
    </row>
    <row r="319" spans="1:12" x14ac:dyDescent="0.25">
      <c r="A319" s="1617"/>
      <c r="B319" s="1544"/>
      <c r="C319" s="1330" t="s">
        <v>426</v>
      </c>
      <c r="D319" s="1331"/>
      <c r="E319" s="403"/>
      <c r="F319" s="570">
        <v>849.16</v>
      </c>
      <c r="G319" s="570">
        <v>993.68</v>
      </c>
      <c r="H319" s="570">
        <v>1191</v>
      </c>
      <c r="I319" s="570">
        <v>1230</v>
      </c>
      <c r="J319" s="570">
        <v>1263</v>
      </c>
      <c r="K319" s="570">
        <v>1404</v>
      </c>
      <c r="L319" s="571">
        <v>1420</v>
      </c>
    </row>
    <row r="320" spans="1:12" x14ac:dyDescent="0.25">
      <c r="A320" s="1617"/>
      <c r="B320" s="1544"/>
      <c r="C320" s="1332" t="s">
        <v>427</v>
      </c>
      <c r="D320" s="1333"/>
      <c r="E320" s="403"/>
      <c r="F320" s="569">
        <f t="shared" ref="F320:L320" si="17">+F319-F318</f>
        <v>-636.9</v>
      </c>
      <c r="G320" s="569">
        <f t="shared" si="17"/>
        <v>-655.32000000000005</v>
      </c>
      <c r="H320" s="569">
        <f t="shared" si="17"/>
        <v>-487</v>
      </c>
      <c r="I320" s="569">
        <f t="shared" si="17"/>
        <v>-483</v>
      </c>
      <c r="J320" s="569">
        <f t="shared" si="17"/>
        <v>-475</v>
      </c>
      <c r="K320" s="569">
        <f t="shared" si="17"/>
        <v>-488</v>
      </c>
      <c r="L320" s="572">
        <f t="shared" si="17"/>
        <v>-478</v>
      </c>
    </row>
    <row r="321" spans="1:15" ht="16.5" thickBot="1" x14ac:dyDescent="0.3">
      <c r="A321" s="1617"/>
      <c r="B321" s="1643"/>
      <c r="C321" s="1564" t="s">
        <v>428</v>
      </c>
      <c r="D321" s="1565"/>
      <c r="E321" s="565"/>
      <c r="F321" s="573">
        <f t="shared" ref="F321:L321" si="18">(F319-F318)/F318*100</f>
        <v>-42.858296434868045</v>
      </c>
      <c r="G321" s="573">
        <f t="shared" si="18"/>
        <v>-39.740448756822325</v>
      </c>
      <c r="H321" s="573">
        <f t="shared" si="18"/>
        <v>-29.022646007151369</v>
      </c>
      <c r="I321" s="573">
        <f t="shared" si="18"/>
        <v>-28.196147110332749</v>
      </c>
      <c r="J321" s="573">
        <f t="shared" si="18"/>
        <v>-27.330264672036826</v>
      </c>
      <c r="K321" s="573">
        <f t="shared" si="18"/>
        <v>-25.792811839323466</v>
      </c>
      <c r="L321" s="574">
        <f t="shared" si="18"/>
        <v>-25.18440463645943</v>
      </c>
    </row>
    <row r="322" spans="1:15" ht="15" customHeight="1" x14ac:dyDescent="0.25">
      <c r="A322" s="1617"/>
      <c r="B322" s="1543" t="s">
        <v>429</v>
      </c>
      <c r="C322" s="1306" t="s">
        <v>430</v>
      </c>
      <c r="D322" s="1147"/>
      <c r="E322" s="451"/>
      <c r="F322" s="453"/>
      <c r="G322" s="575">
        <v>41.793487154311897</v>
      </c>
      <c r="H322" s="575">
        <v>38.93716577540107</v>
      </c>
      <c r="I322" s="575">
        <v>42.368255301280705</v>
      </c>
      <c r="J322" s="575">
        <v>50.750670241286869</v>
      </c>
      <c r="K322" s="575">
        <v>50.904799370574352</v>
      </c>
      <c r="L322" s="512">
        <v>52.8</v>
      </c>
    </row>
    <row r="323" spans="1:15" x14ac:dyDescent="0.25">
      <c r="A323" s="1617"/>
      <c r="B323" s="1544"/>
      <c r="C323" s="1123" t="s">
        <v>431</v>
      </c>
      <c r="D323" s="1124"/>
      <c r="E323" s="403"/>
      <c r="F323" s="403"/>
      <c r="G323" s="570">
        <v>42.941176470588232</v>
      </c>
      <c r="H323" s="570">
        <v>40.729483282674771</v>
      </c>
      <c r="I323" s="570">
        <v>44</v>
      </c>
      <c r="J323" s="570">
        <v>54.65717981888745</v>
      </c>
      <c r="K323" s="570">
        <v>53.759398496240607</v>
      </c>
      <c r="L323" s="407">
        <v>55.6</v>
      </c>
    </row>
    <row r="324" spans="1:15" x14ac:dyDescent="0.25">
      <c r="A324" s="1617"/>
      <c r="B324" s="1544"/>
      <c r="C324" s="1123" t="s">
        <v>432</v>
      </c>
      <c r="D324" s="1124"/>
      <c r="E324" s="403"/>
      <c r="F324" s="403"/>
      <c r="G324" s="570">
        <v>40.872898849896785</v>
      </c>
      <c r="H324" s="570">
        <v>37.529832935560862</v>
      </c>
      <c r="I324" s="570">
        <v>41.187115454216432</v>
      </c>
      <c r="J324" s="570">
        <v>47.985347985347985</v>
      </c>
      <c r="K324" s="570">
        <v>48.849797023004058</v>
      </c>
      <c r="L324" s="407">
        <v>50.6</v>
      </c>
    </row>
    <row r="325" spans="1:15" ht="16.5" thickBot="1" x14ac:dyDescent="0.3">
      <c r="A325" s="1617"/>
      <c r="B325" s="1643"/>
      <c r="C325" s="1277" t="s">
        <v>354</v>
      </c>
      <c r="D325" s="1142"/>
      <c r="E325" s="565"/>
      <c r="F325" s="565"/>
      <c r="G325" s="573">
        <f t="shared" ref="G325:L325" si="19">+G324-G323</f>
        <v>-2.0682776206914468</v>
      </c>
      <c r="H325" s="573">
        <f t="shared" si="19"/>
        <v>-3.1996503471139093</v>
      </c>
      <c r="I325" s="573">
        <f t="shared" si="19"/>
        <v>-2.8128845457835681</v>
      </c>
      <c r="J325" s="573">
        <f t="shared" si="19"/>
        <v>-6.6718318335394642</v>
      </c>
      <c r="K325" s="573">
        <f t="shared" si="19"/>
        <v>-4.9096014732365489</v>
      </c>
      <c r="L325" s="574">
        <f t="shared" si="19"/>
        <v>-5</v>
      </c>
    </row>
    <row r="326" spans="1:15" x14ac:dyDescent="0.25">
      <c r="A326" s="1617"/>
      <c r="B326" s="1543" t="s">
        <v>545</v>
      </c>
      <c r="C326" s="1265" t="s">
        <v>434</v>
      </c>
      <c r="D326" s="146" t="s">
        <v>435</v>
      </c>
      <c r="E326" s="453"/>
      <c r="F326" s="453"/>
      <c r="G326" s="453"/>
      <c r="H326" s="453"/>
      <c r="I326" s="453">
        <v>68</v>
      </c>
      <c r="J326" s="453">
        <v>28</v>
      </c>
      <c r="K326" s="453">
        <v>13</v>
      </c>
      <c r="L326" s="1060">
        <v>10</v>
      </c>
    </row>
    <row r="327" spans="1:15" x14ac:dyDescent="0.25">
      <c r="A327" s="1617"/>
      <c r="B327" s="1544"/>
      <c r="C327" s="1360"/>
      <c r="D327" s="147" t="s">
        <v>436</v>
      </c>
      <c r="E327" s="403"/>
      <c r="F327" s="403"/>
      <c r="G327" s="403"/>
      <c r="H327" s="403"/>
      <c r="I327" s="403">
        <v>29</v>
      </c>
      <c r="J327" s="403">
        <v>10</v>
      </c>
      <c r="K327" s="403">
        <v>8</v>
      </c>
      <c r="L327" s="1060">
        <v>7</v>
      </c>
    </row>
    <row r="328" spans="1:15" x14ac:dyDescent="0.25">
      <c r="A328" s="1617"/>
      <c r="B328" s="1544"/>
      <c r="C328" s="1360"/>
      <c r="D328" s="403" t="s">
        <v>437</v>
      </c>
      <c r="E328" s="403"/>
      <c r="F328" s="403"/>
      <c r="G328" s="403"/>
      <c r="H328" s="403"/>
      <c r="I328" s="403">
        <v>39</v>
      </c>
      <c r="J328" s="403">
        <v>18</v>
      </c>
      <c r="K328" s="403">
        <v>5</v>
      </c>
      <c r="L328" s="1060">
        <v>3</v>
      </c>
    </row>
    <row r="329" spans="1:15" x14ac:dyDescent="0.25">
      <c r="A329" s="1617"/>
      <c r="B329" s="1544"/>
      <c r="C329" s="1360"/>
      <c r="D329" s="417" t="s">
        <v>353</v>
      </c>
      <c r="E329" s="403"/>
      <c r="F329" s="403"/>
      <c r="G329" s="403"/>
      <c r="H329" s="403"/>
      <c r="I329" s="519">
        <f>I328-I327</f>
        <v>10</v>
      </c>
      <c r="J329" s="519">
        <f>J328-J327</f>
        <v>8</v>
      </c>
      <c r="K329" s="528">
        <f>K328-K327</f>
        <v>-3</v>
      </c>
      <c r="L329" s="528">
        <f>L328-L327</f>
        <v>-4</v>
      </c>
    </row>
    <row r="330" spans="1:15" ht="16.5" thickBot="1" x14ac:dyDescent="0.3">
      <c r="A330" s="1617"/>
      <c r="B330" s="1544"/>
      <c r="C330" s="1419"/>
      <c r="D330" s="576" t="s">
        <v>270</v>
      </c>
      <c r="E330" s="565"/>
      <c r="F330" s="565"/>
      <c r="G330" s="565"/>
      <c r="H330" s="565"/>
      <c r="I330" s="525">
        <f>I328/I326*100</f>
        <v>57.352941176470587</v>
      </c>
      <c r="J330" s="525">
        <f>J328/J326*100</f>
        <v>64.285714285714292</v>
      </c>
      <c r="K330" s="550">
        <f>K328/K326*100</f>
        <v>38.461538461538467</v>
      </c>
      <c r="L330" s="550">
        <f>L328/L326*100</f>
        <v>30</v>
      </c>
    </row>
    <row r="331" spans="1:15" x14ac:dyDescent="0.25">
      <c r="A331" s="1617"/>
      <c r="B331" s="1544"/>
      <c r="C331" s="1265" t="s">
        <v>438</v>
      </c>
      <c r="D331" s="146" t="s">
        <v>435</v>
      </c>
      <c r="E331" s="453"/>
      <c r="F331" s="453"/>
      <c r="G331" s="453"/>
      <c r="H331" s="453"/>
      <c r="I331" s="453">
        <v>86</v>
      </c>
      <c r="J331" s="453">
        <v>42</v>
      </c>
      <c r="K331" s="556">
        <v>12</v>
      </c>
      <c r="L331" s="1060">
        <v>3</v>
      </c>
    </row>
    <row r="332" spans="1:15" x14ac:dyDescent="0.25">
      <c r="A332" s="1617"/>
      <c r="B332" s="1544"/>
      <c r="C332" s="1360"/>
      <c r="D332" s="147" t="s">
        <v>436</v>
      </c>
      <c r="E332" s="403"/>
      <c r="F332" s="403"/>
      <c r="G332" s="403"/>
      <c r="H332" s="403"/>
      <c r="I332" s="403">
        <v>49</v>
      </c>
      <c r="J332" s="403">
        <v>23</v>
      </c>
      <c r="K332" s="407">
        <v>5</v>
      </c>
      <c r="L332" s="1060">
        <v>0</v>
      </c>
    </row>
    <row r="333" spans="1:15" x14ac:dyDescent="0.25">
      <c r="A333" s="1617"/>
      <c r="B333" s="1544"/>
      <c r="C333" s="1360"/>
      <c r="D333" s="403" t="s">
        <v>437</v>
      </c>
      <c r="E333" s="403"/>
      <c r="F333" s="403"/>
      <c r="G333" s="403"/>
      <c r="H333" s="403"/>
      <c r="I333" s="403">
        <v>37</v>
      </c>
      <c r="J333" s="403">
        <v>19</v>
      </c>
      <c r="K333" s="407">
        <v>7</v>
      </c>
      <c r="L333" s="1060">
        <v>3</v>
      </c>
    </row>
    <row r="334" spans="1:15" x14ac:dyDescent="0.25">
      <c r="A334" s="1617"/>
      <c r="B334" s="1544"/>
      <c r="C334" s="1360"/>
      <c r="D334" s="417" t="s">
        <v>353</v>
      </c>
      <c r="E334" s="403"/>
      <c r="F334" s="403"/>
      <c r="G334" s="403"/>
      <c r="H334" s="403"/>
      <c r="I334" s="528">
        <f>I333-I332</f>
        <v>-12</v>
      </c>
      <c r="J334" s="528">
        <f>J333-J332</f>
        <v>-4</v>
      </c>
      <c r="K334" s="524">
        <f>K333-K332</f>
        <v>2</v>
      </c>
      <c r="L334" s="524">
        <f>L333-L332</f>
        <v>3</v>
      </c>
    </row>
    <row r="335" spans="1:15" ht="16.5" thickBot="1" x14ac:dyDescent="0.3">
      <c r="A335" s="1617"/>
      <c r="B335" s="1643"/>
      <c r="C335" s="1419"/>
      <c r="D335" s="576" t="s">
        <v>270</v>
      </c>
      <c r="E335" s="565"/>
      <c r="F335" s="565"/>
      <c r="G335" s="565"/>
      <c r="H335" s="565"/>
      <c r="I335" s="550">
        <f>I333/I331*100</f>
        <v>43.02325581395349</v>
      </c>
      <c r="J335" s="550">
        <f>J333/J331*100</f>
        <v>45.238095238095241</v>
      </c>
      <c r="K335" s="526">
        <f>K333/K331*100</f>
        <v>58.333333333333336</v>
      </c>
      <c r="L335" s="526">
        <f>L333/L331*100</f>
        <v>100</v>
      </c>
    </row>
    <row r="336" spans="1:15" s="516" customFormat="1" ht="15" customHeight="1" x14ac:dyDescent="0.25">
      <c r="A336" s="1617"/>
      <c r="B336" s="1644" t="s">
        <v>180</v>
      </c>
      <c r="C336" s="1147" t="s">
        <v>435</v>
      </c>
      <c r="D336" s="1147"/>
      <c r="E336" s="453"/>
      <c r="F336" s="453"/>
      <c r="G336" s="453"/>
      <c r="H336" s="547">
        <v>12283</v>
      </c>
      <c r="I336" s="547">
        <v>11528</v>
      </c>
      <c r="J336" s="547">
        <v>11468</v>
      </c>
      <c r="K336" s="547">
        <v>11502</v>
      </c>
      <c r="L336" s="556"/>
      <c r="M336" s="64"/>
      <c r="N336" s="64"/>
      <c r="O336" s="64"/>
    </row>
    <row r="337" spans="1:15" x14ac:dyDescent="0.25">
      <c r="A337" s="1617"/>
      <c r="B337" s="1645"/>
      <c r="C337" s="1331" t="s">
        <v>436</v>
      </c>
      <c r="D337" s="1331"/>
      <c r="E337" s="403"/>
      <c r="F337" s="403"/>
      <c r="G337" s="403"/>
      <c r="H337" s="404">
        <v>3838</v>
      </c>
      <c r="I337" s="404">
        <v>3549</v>
      </c>
      <c r="J337" s="404">
        <v>3488</v>
      </c>
      <c r="K337" s="404">
        <v>3542</v>
      </c>
      <c r="L337" s="407"/>
    </row>
    <row r="338" spans="1:15" x14ac:dyDescent="0.25">
      <c r="A338" s="1617"/>
      <c r="B338" s="1645"/>
      <c r="C338" s="1331" t="s">
        <v>437</v>
      </c>
      <c r="D338" s="1331"/>
      <c r="E338" s="403"/>
      <c r="F338" s="403"/>
      <c r="G338" s="403"/>
      <c r="H338" s="404">
        <v>8445</v>
      </c>
      <c r="I338" s="404">
        <v>7979</v>
      </c>
      <c r="J338" s="404">
        <v>7980</v>
      </c>
      <c r="K338" s="404">
        <v>7960</v>
      </c>
      <c r="L338" s="407"/>
    </row>
    <row r="339" spans="1:15" x14ac:dyDescent="0.25">
      <c r="A339" s="1617"/>
      <c r="B339" s="1645"/>
      <c r="C339" s="1333" t="s">
        <v>353</v>
      </c>
      <c r="D339" s="1333"/>
      <c r="E339" s="403"/>
      <c r="F339" s="403"/>
      <c r="G339" s="403"/>
      <c r="H339" s="528">
        <f>H338-H337</f>
        <v>4607</v>
      </c>
      <c r="I339" s="528">
        <f>I338-I337</f>
        <v>4430</v>
      </c>
      <c r="J339" s="528">
        <f>J338-J337</f>
        <v>4492</v>
      </c>
      <c r="K339" s="528">
        <f>K338-K337</f>
        <v>4418</v>
      </c>
      <c r="L339" s="407"/>
    </row>
    <row r="340" spans="1:15" ht="16.5" thickBot="1" x14ac:dyDescent="0.3">
      <c r="A340" s="1617"/>
      <c r="B340" s="1646"/>
      <c r="C340" s="1310" t="s">
        <v>270</v>
      </c>
      <c r="D340" s="1310"/>
      <c r="E340" s="565"/>
      <c r="F340" s="565"/>
      <c r="G340" s="565"/>
      <c r="H340" s="525">
        <f>H338/H336*100</f>
        <v>68.753561833428307</v>
      </c>
      <c r="I340" s="525">
        <f>I338/I336*100</f>
        <v>69.214087439278288</v>
      </c>
      <c r="J340" s="525">
        <f>J338/J336*100</f>
        <v>69.58493198465294</v>
      </c>
      <c r="K340" s="525">
        <f>K338/K336*100</f>
        <v>69.205355590332118</v>
      </c>
      <c r="L340" s="558"/>
    </row>
    <row r="341" spans="1:15" ht="16.5" thickBot="1" x14ac:dyDescent="0.3">
      <c r="A341" s="697" t="s">
        <v>248</v>
      </c>
      <c r="B341" s="694" t="s">
        <v>249</v>
      </c>
      <c r="C341" s="1501"/>
      <c r="D341" s="1501"/>
      <c r="E341" s="744">
        <v>2005</v>
      </c>
      <c r="F341" s="744">
        <v>2010</v>
      </c>
      <c r="G341" s="744">
        <v>2015</v>
      </c>
      <c r="H341" s="744">
        <v>2020</v>
      </c>
      <c r="I341" s="744">
        <v>2021</v>
      </c>
      <c r="J341" s="744">
        <v>2022</v>
      </c>
      <c r="K341" s="744">
        <v>2023</v>
      </c>
      <c r="L341" s="745">
        <v>2024</v>
      </c>
    </row>
    <row r="342" spans="1:15" s="516" customFormat="1" x14ac:dyDescent="0.25">
      <c r="A342" s="1653" t="s">
        <v>439</v>
      </c>
      <c r="B342" s="1655" t="s">
        <v>440</v>
      </c>
      <c r="C342" s="1637" t="s">
        <v>251</v>
      </c>
      <c r="D342" s="1637"/>
      <c r="E342" s="746">
        <v>82.6</v>
      </c>
      <c r="F342" s="747">
        <v>84</v>
      </c>
      <c r="G342" s="747">
        <v>84.1</v>
      </c>
      <c r="H342" s="747">
        <v>83.7</v>
      </c>
      <c r="I342" s="747">
        <v>85.3</v>
      </c>
      <c r="J342" s="748">
        <v>85.589942365411744</v>
      </c>
      <c r="K342" s="749">
        <v>86.2</v>
      </c>
      <c r="L342" s="125"/>
      <c r="M342" s="326"/>
      <c r="N342" s="326"/>
      <c r="O342" s="64"/>
    </row>
    <row r="343" spans="1:15" x14ac:dyDescent="0.25">
      <c r="A343" s="1653"/>
      <c r="B343" s="1656"/>
      <c r="C343" s="1452" t="s">
        <v>257</v>
      </c>
      <c r="D343" s="1452"/>
      <c r="E343" s="580">
        <v>79.2</v>
      </c>
      <c r="F343" s="581">
        <v>81.099999999999994</v>
      </c>
      <c r="G343" s="581">
        <v>81.099999999999994</v>
      </c>
      <c r="H343" s="581">
        <v>80.599999999999994</v>
      </c>
      <c r="I343" s="581">
        <v>82</v>
      </c>
      <c r="J343" s="582">
        <v>82.639697243590433</v>
      </c>
      <c r="K343" s="403">
        <v>83.6</v>
      </c>
      <c r="L343" s="407"/>
    </row>
    <row r="344" spans="1:15" x14ac:dyDescent="0.25">
      <c r="A344" s="1653"/>
      <c r="B344" s="1656"/>
      <c r="C344" s="1452" t="s">
        <v>263</v>
      </c>
      <c r="D344" s="1452"/>
      <c r="E344" s="580">
        <v>85</v>
      </c>
      <c r="F344" s="581">
        <v>85.8</v>
      </c>
      <c r="G344" s="581">
        <v>86.2</v>
      </c>
      <c r="H344" s="581">
        <v>86.1</v>
      </c>
      <c r="I344" s="581">
        <v>87.8</v>
      </c>
      <c r="J344" s="582">
        <v>87.697526310378834</v>
      </c>
      <c r="K344" s="403">
        <v>88.1</v>
      </c>
      <c r="L344" s="407"/>
    </row>
    <row r="345" spans="1:15" ht="16.5" thickBot="1" x14ac:dyDescent="0.3">
      <c r="A345" s="1653"/>
      <c r="B345" s="1657"/>
      <c r="C345" s="1454" t="s">
        <v>441</v>
      </c>
      <c r="D345" s="1454"/>
      <c r="E345" s="588">
        <f t="shared" ref="E345:K345" si="20">+E344-E343</f>
        <v>5.7999999999999972</v>
      </c>
      <c r="F345" s="588">
        <f t="shared" si="20"/>
        <v>4.7000000000000028</v>
      </c>
      <c r="G345" s="588">
        <f t="shared" si="20"/>
        <v>5.1000000000000085</v>
      </c>
      <c r="H345" s="588">
        <f t="shared" si="20"/>
        <v>5.5</v>
      </c>
      <c r="I345" s="588">
        <f t="shared" si="20"/>
        <v>5.7999999999999972</v>
      </c>
      <c r="J345" s="589">
        <f t="shared" si="20"/>
        <v>5.0578290667884005</v>
      </c>
      <c r="K345" s="589">
        <f t="shared" si="20"/>
        <v>4.5</v>
      </c>
      <c r="L345" s="557"/>
    </row>
    <row r="346" spans="1:15" s="516" customFormat="1" x14ac:dyDescent="0.25">
      <c r="A346" s="1654"/>
      <c r="B346" s="1655" t="s">
        <v>192</v>
      </c>
      <c r="C346" s="1498" t="s">
        <v>251</v>
      </c>
      <c r="D346" s="1498"/>
      <c r="E346" s="585"/>
      <c r="F346" s="590"/>
      <c r="G346" s="591">
        <v>6336</v>
      </c>
      <c r="H346" s="591">
        <v>7032</v>
      </c>
      <c r="I346" s="591">
        <v>6941</v>
      </c>
      <c r="J346" s="547">
        <v>7142</v>
      </c>
      <c r="K346" s="225">
        <v>6926</v>
      </c>
      <c r="L346" s="556"/>
      <c r="M346" s="64"/>
      <c r="N346" s="64"/>
      <c r="O346" s="64"/>
    </row>
    <row r="347" spans="1:15" ht="14.85" customHeight="1" x14ac:dyDescent="0.25">
      <c r="A347" s="1654"/>
      <c r="B347" s="1656"/>
      <c r="C347" s="1452" t="s">
        <v>257</v>
      </c>
      <c r="D347" s="1452"/>
      <c r="E347" s="580"/>
      <c r="F347" s="583"/>
      <c r="G347" s="584">
        <v>2815</v>
      </c>
      <c r="H347" s="584">
        <v>2977</v>
      </c>
      <c r="I347" s="584">
        <v>2938</v>
      </c>
      <c r="J347" s="404">
        <v>3032</v>
      </c>
      <c r="K347" s="96">
        <v>3046</v>
      </c>
      <c r="L347" s="407"/>
    </row>
    <row r="348" spans="1:15" x14ac:dyDescent="0.25">
      <c r="A348" s="1654"/>
      <c r="B348" s="1656"/>
      <c r="C348" s="1452" t="s">
        <v>263</v>
      </c>
      <c r="D348" s="1452"/>
      <c r="E348" s="580"/>
      <c r="F348" s="583"/>
      <c r="G348" s="584">
        <v>3521</v>
      </c>
      <c r="H348" s="584">
        <v>4055</v>
      </c>
      <c r="I348" s="584">
        <v>4003</v>
      </c>
      <c r="J348" s="404">
        <v>4110</v>
      </c>
      <c r="K348" s="96">
        <v>3880</v>
      </c>
      <c r="L348" s="407"/>
    </row>
    <row r="349" spans="1:15" ht="16.5" thickBot="1" x14ac:dyDescent="0.3">
      <c r="A349" s="1654"/>
      <c r="B349" s="1657"/>
      <c r="C349" s="1494" t="s">
        <v>270</v>
      </c>
      <c r="D349" s="1658"/>
      <c r="E349" s="592"/>
      <c r="F349" s="592"/>
      <c r="G349" s="525">
        <f>G348/G346*100</f>
        <v>55.571338383838388</v>
      </c>
      <c r="H349" s="525">
        <f>H348/H346*100</f>
        <v>57.664960182025027</v>
      </c>
      <c r="I349" s="525">
        <f>I348/I346*100</f>
        <v>57.671805215386826</v>
      </c>
      <c r="J349" s="525">
        <f>J348/J346*100</f>
        <v>57.546905628675439</v>
      </c>
      <c r="K349" s="525">
        <f>K348/K346*100</f>
        <v>56.020791221484266</v>
      </c>
      <c r="L349" s="558"/>
    </row>
    <row r="350" spans="1:15" ht="16.5" thickBot="1" x14ac:dyDescent="0.3">
      <c r="A350" s="697" t="s">
        <v>248</v>
      </c>
      <c r="B350" s="694" t="s">
        <v>249</v>
      </c>
      <c r="C350" s="1501"/>
      <c r="D350" s="1501"/>
      <c r="E350" s="744"/>
      <c r="F350" s="744" t="s">
        <v>555</v>
      </c>
      <c r="G350" s="744" t="s">
        <v>444</v>
      </c>
      <c r="H350" s="744" t="s">
        <v>445</v>
      </c>
      <c r="I350" s="744" t="s">
        <v>446</v>
      </c>
      <c r="J350" s="744" t="s">
        <v>447</v>
      </c>
      <c r="K350" s="744" t="s">
        <v>448</v>
      </c>
      <c r="L350" s="745" t="s">
        <v>449</v>
      </c>
    </row>
    <row r="351" spans="1:15" x14ac:dyDescent="0.25">
      <c r="A351" s="1517" t="s">
        <v>450</v>
      </c>
      <c r="B351" s="1661" t="s">
        <v>199</v>
      </c>
      <c r="C351" s="1388" t="s">
        <v>451</v>
      </c>
      <c r="D351" s="429" t="s">
        <v>435</v>
      </c>
      <c r="E351" s="220"/>
      <c r="F351" s="192">
        <v>7284</v>
      </c>
      <c r="G351" s="192">
        <v>7105</v>
      </c>
      <c r="H351" s="192">
        <v>6730</v>
      </c>
      <c r="I351" s="192">
        <v>6527</v>
      </c>
      <c r="J351" s="192">
        <v>6249</v>
      </c>
      <c r="K351" s="192">
        <v>6285</v>
      </c>
      <c r="L351" s="750"/>
    </row>
    <row r="352" spans="1:15" x14ac:dyDescent="0.25">
      <c r="A352" s="1517"/>
      <c r="B352" s="1662"/>
      <c r="C352" s="1348"/>
      <c r="D352" s="428" t="s">
        <v>436</v>
      </c>
      <c r="E352" s="96"/>
      <c r="F352" s="96">
        <v>3709</v>
      </c>
      <c r="G352" s="96">
        <v>3603</v>
      </c>
      <c r="H352" s="96">
        <v>3481</v>
      </c>
      <c r="I352" s="96">
        <v>3329</v>
      </c>
      <c r="J352" s="96">
        <v>3158</v>
      </c>
      <c r="K352" s="96">
        <v>3163</v>
      </c>
      <c r="L352" s="407"/>
    </row>
    <row r="353" spans="1:12" ht="16.5" thickBot="1" x14ac:dyDescent="0.3">
      <c r="A353" s="1517"/>
      <c r="B353" s="1662"/>
      <c r="C353" s="1506"/>
      <c r="D353" s="434" t="s">
        <v>437</v>
      </c>
      <c r="E353" s="360"/>
      <c r="F353" s="360">
        <v>3575</v>
      </c>
      <c r="G353" s="360">
        <v>3502</v>
      </c>
      <c r="H353" s="360">
        <v>3249</v>
      </c>
      <c r="I353" s="360">
        <v>3198</v>
      </c>
      <c r="J353" s="360">
        <v>3091</v>
      </c>
      <c r="K353" s="360">
        <v>3122</v>
      </c>
      <c r="L353" s="558"/>
    </row>
    <row r="354" spans="1:12" ht="15" customHeight="1" x14ac:dyDescent="0.25">
      <c r="A354" s="1517"/>
      <c r="B354" s="1662"/>
      <c r="C354" s="1347" t="s">
        <v>452</v>
      </c>
      <c r="D354" s="430" t="s">
        <v>435</v>
      </c>
      <c r="E354" s="225"/>
      <c r="F354" s="195">
        <v>4572</v>
      </c>
      <c r="G354" s="195">
        <v>4689</v>
      </c>
      <c r="H354" s="195">
        <v>4420</v>
      </c>
      <c r="I354" s="195">
        <v>4304</v>
      </c>
      <c r="J354" s="195">
        <v>4286</v>
      </c>
      <c r="K354" s="195">
        <v>4188</v>
      </c>
      <c r="L354" s="512"/>
    </row>
    <row r="355" spans="1:12" x14ac:dyDescent="0.25">
      <c r="A355" s="1517"/>
      <c r="B355" s="1662"/>
      <c r="C355" s="1348"/>
      <c r="D355" s="428" t="s">
        <v>436</v>
      </c>
      <c r="E355" s="96"/>
      <c r="F355" s="96">
        <v>2274</v>
      </c>
      <c r="G355" s="96">
        <v>2357</v>
      </c>
      <c r="H355" s="96">
        <v>2259</v>
      </c>
      <c r="I355" s="96">
        <v>2229</v>
      </c>
      <c r="J355" s="96">
        <v>2198</v>
      </c>
      <c r="K355" s="96">
        <v>2103</v>
      </c>
      <c r="L355" s="407"/>
    </row>
    <row r="356" spans="1:12" ht="16.5" thickBot="1" x14ac:dyDescent="0.3">
      <c r="A356" s="1517"/>
      <c r="B356" s="1662"/>
      <c r="C356" s="1506"/>
      <c r="D356" s="434" t="s">
        <v>437</v>
      </c>
      <c r="E356" s="360"/>
      <c r="F356" s="360">
        <v>2298</v>
      </c>
      <c r="G356" s="360">
        <v>2332</v>
      </c>
      <c r="H356" s="360">
        <v>2161</v>
      </c>
      <c r="I356" s="360">
        <v>2075</v>
      </c>
      <c r="J356" s="360">
        <v>2088</v>
      </c>
      <c r="K356" s="360">
        <v>2085</v>
      </c>
      <c r="L356" s="558"/>
    </row>
    <row r="357" spans="1:12" s="11" customFormat="1" x14ac:dyDescent="0.25">
      <c r="A357" s="1517"/>
      <c r="B357" s="1662"/>
      <c r="C357" s="1352" t="s">
        <v>453</v>
      </c>
      <c r="D357" s="1250"/>
      <c r="E357" s="225"/>
      <c r="F357" s="37">
        <f>+(F354/F351)*100</f>
        <v>62.7677100494234</v>
      </c>
      <c r="G357" s="37">
        <f t="shared" ref="G357:J357" si="21">+(G354/G351)*100</f>
        <v>65.995777621393387</v>
      </c>
      <c r="H357" s="37">
        <f t="shared" si="21"/>
        <v>65.676077265973248</v>
      </c>
      <c r="I357" s="37">
        <f t="shared" si="21"/>
        <v>65.941473877738616</v>
      </c>
      <c r="J357" s="37">
        <f t="shared" si="21"/>
        <v>68.586973915826533</v>
      </c>
      <c r="K357" s="37">
        <f>+(K354/K351)*100</f>
        <v>66.634844868735087</v>
      </c>
      <c r="L357" s="20"/>
    </row>
    <row r="358" spans="1:12" ht="15" customHeight="1" x14ac:dyDescent="0.25">
      <c r="A358" s="1517"/>
      <c r="B358" s="1662"/>
      <c r="C358" s="1363" t="s">
        <v>454</v>
      </c>
      <c r="D358" s="1236"/>
      <c r="E358" s="28"/>
      <c r="F358" s="187">
        <f t="shared" ref="F358:J359" si="22">F355/F352*100</f>
        <v>61.310326233486109</v>
      </c>
      <c r="G358" s="187">
        <f t="shared" si="22"/>
        <v>65.41770746600055</v>
      </c>
      <c r="H358" s="187">
        <f t="shared" si="22"/>
        <v>64.89514507325481</v>
      </c>
      <c r="I358" s="187">
        <f t="shared" si="22"/>
        <v>66.957044157404624</v>
      </c>
      <c r="J358" s="187">
        <f t="shared" si="22"/>
        <v>69.601013299556683</v>
      </c>
      <c r="K358" s="187">
        <f>K355/K352*100</f>
        <v>66.487511855833077</v>
      </c>
      <c r="L358" s="407"/>
    </row>
    <row r="359" spans="1:12" ht="15" customHeight="1" x14ac:dyDescent="0.25">
      <c r="A359" s="1517"/>
      <c r="B359" s="1662"/>
      <c r="C359" s="1363" t="s">
        <v>455</v>
      </c>
      <c r="D359" s="1236"/>
      <c r="E359" s="28"/>
      <c r="F359" s="187">
        <f t="shared" si="22"/>
        <v>64.27972027972028</v>
      </c>
      <c r="G359" s="187">
        <f t="shared" si="22"/>
        <v>66.590519703026843</v>
      </c>
      <c r="H359" s="187">
        <f t="shared" si="22"/>
        <v>66.5127731609726</v>
      </c>
      <c r="I359" s="187">
        <f t="shared" si="22"/>
        <v>64.884302689180743</v>
      </c>
      <c r="J359" s="187">
        <f t="shared" si="22"/>
        <v>67.550954383694588</v>
      </c>
      <c r="K359" s="187">
        <f>K356/K353*100</f>
        <v>66.784112748238314</v>
      </c>
      <c r="L359" s="407"/>
    </row>
    <row r="360" spans="1:12" ht="16.5" thickBot="1" x14ac:dyDescent="0.3">
      <c r="A360" s="1517"/>
      <c r="B360" s="1663"/>
      <c r="C360" s="1383" t="s">
        <v>354</v>
      </c>
      <c r="D360" s="1384"/>
      <c r="E360" s="110"/>
      <c r="F360" s="454">
        <f>+F359-F358</f>
        <v>2.9693940462341715</v>
      </c>
      <c r="G360" s="593">
        <f t="shared" ref="G360:I360" si="23">+G359-G358</f>
        <v>1.1728122370262923</v>
      </c>
      <c r="H360" s="593">
        <f t="shared" si="23"/>
        <v>1.6176280877177902</v>
      </c>
      <c r="I360" s="349">
        <f t="shared" si="23"/>
        <v>-2.0727414682238816</v>
      </c>
      <c r="J360" s="349">
        <f>+J359-J358</f>
        <v>-2.0500589158620954</v>
      </c>
      <c r="K360" s="349">
        <f>+K359-K358</f>
        <v>0.29660089240523746</v>
      </c>
      <c r="L360" s="558"/>
    </row>
    <row r="361" spans="1:12" ht="16.5" thickBot="1" x14ac:dyDescent="0.3">
      <c r="A361" s="697" t="s">
        <v>248</v>
      </c>
      <c r="B361" s="694" t="s">
        <v>249</v>
      </c>
      <c r="C361" s="1501"/>
      <c r="D361" s="1501"/>
      <c r="E361" s="744" t="s">
        <v>442</v>
      </c>
      <c r="F361" s="744" t="s">
        <v>443</v>
      </c>
      <c r="G361" s="744" t="s">
        <v>444</v>
      </c>
      <c r="H361" s="744" t="s">
        <v>445</v>
      </c>
      <c r="I361" s="744" t="s">
        <v>446</v>
      </c>
      <c r="J361" s="744" t="s">
        <v>447</v>
      </c>
      <c r="K361" s="744" t="s">
        <v>448</v>
      </c>
      <c r="L361" s="745" t="s">
        <v>449</v>
      </c>
    </row>
    <row r="362" spans="1:12" ht="15" customHeight="1" x14ac:dyDescent="0.25">
      <c r="A362" s="1429" t="s">
        <v>456</v>
      </c>
      <c r="B362" s="1354" t="s">
        <v>457</v>
      </c>
      <c r="C362" s="1388" t="s">
        <v>458</v>
      </c>
      <c r="D362" s="238" t="s">
        <v>459</v>
      </c>
      <c r="E362" s="192" t="s">
        <v>460</v>
      </c>
      <c r="F362" s="192">
        <v>2220</v>
      </c>
      <c r="G362" s="192">
        <v>2149</v>
      </c>
      <c r="H362" s="192">
        <v>2366</v>
      </c>
      <c r="I362" s="192">
        <v>2271</v>
      </c>
      <c r="J362" s="192">
        <v>2228</v>
      </c>
      <c r="K362" s="962">
        <v>2205</v>
      </c>
      <c r="L362" s="750"/>
    </row>
    <row r="363" spans="1:12" ht="14.1" customHeight="1" x14ac:dyDescent="0.25">
      <c r="A363" s="1429"/>
      <c r="B363" s="1355"/>
      <c r="C363" s="1348"/>
      <c r="D363" s="227" t="s">
        <v>436</v>
      </c>
      <c r="E363" s="96"/>
      <c r="F363" s="96">
        <v>1096</v>
      </c>
      <c r="G363" s="96">
        <v>1080</v>
      </c>
      <c r="H363" s="96">
        <v>1173</v>
      </c>
      <c r="I363" s="96">
        <v>1128</v>
      </c>
      <c r="J363" s="96">
        <v>1101</v>
      </c>
      <c r="K363" s="972">
        <v>1114</v>
      </c>
      <c r="L363" s="407"/>
    </row>
    <row r="364" spans="1:12" ht="16.5" thickBot="1" x14ac:dyDescent="0.3">
      <c r="A364" s="1429"/>
      <c r="B364" s="1355"/>
      <c r="C364" s="1506"/>
      <c r="D364" s="511" t="s">
        <v>437</v>
      </c>
      <c r="E364" s="360"/>
      <c r="F364" s="360">
        <v>1124</v>
      </c>
      <c r="G364" s="360">
        <v>1069</v>
      </c>
      <c r="H364" s="360">
        <v>1193</v>
      </c>
      <c r="I364" s="360">
        <v>1143</v>
      </c>
      <c r="J364" s="360">
        <v>1127</v>
      </c>
      <c r="K364" s="973">
        <v>1091</v>
      </c>
      <c r="L364" s="558"/>
    </row>
    <row r="365" spans="1:12" ht="15" customHeight="1" x14ac:dyDescent="0.25">
      <c r="A365" s="1429"/>
      <c r="B365" s="1355"/>
      <c r="C365" s="1347" t="s">
        <v>461</v>
      </c>
      <c r="D365" s="229" t="s">
        <v>459</v>
      </c>
      <c r="E365" s="195"/>
      <c r="F365" s="195">
        <v>1098</v>
      </c>
      <c r="G365" s="195">
        <f>550+509</f>
        <v>1059</v>
      </c>
      <c r="H365" s="195">
        <v>1270</v>
      </c>
      <c r="I365" s="195">
        <v>1197</v>
      </c>
      <c r="J365" s="195">
        <f>567+585</f>
        <v>1152</v>
      </c>
      <c r="K365" s="965">
        <v>1222</v>
      </c>
      <c r="L365" s="512"/>
    </row>
    <row r="366" spans="1:12" x14ac:dyDescent="0.25">
      <c r="A366" s="1429"/>
      <c r="B366" s="1355"/>
      <c r="C366" s="1348"/>
      <c r="D366" s="227" t="s">
        <v>436</v>
      </c>
      <c r="E366" s="96"/>
      <c r="F366" s="96">
        <v>580</v>
      </c>
      <c r="G366" s="96">
        <f>301+268</f>
        <v>569</v>
      </c>
      <c r="H366" s="96">
        <v>684</v>
      </c>
      <c r="I366" s="96">
        <v>648</v>
      </c>
      <c r="J366" s="96">
        <f>314+319</f>
        <v>633</v>
      </c>
      <c r="K366" s="972">
        <v>674</v>
      </c>
      <c r="L366" s="407"/>
    </row>
    <row r="367" spans="1:12" ht="16.5" thickBot="1" x14ac:dyDescent="0.3">
      <c r="A367" s="1429"/>
      <c r="B367" s="1355"/>
      <c r="C367" s="1506"/>
      <c r="D367" s="511" t="s">
        <v>437</v>
      </c>
      <c r="E367" s="360"/>
      <c r="F367" s="360">
        <v>518</v>
      </c>
      <c r="G367" s="360">
        <f>249+241</f>
        <v>490</v>
      </c>
      <c r="H367" s="360">
        <v>586</v>
      </c>
      <c r="I367" s="360">
        <v>549</v>
      </c>
      <c r="J367" s="360">
        <f>253+266</f>
        <v>519</v>
      </c>
      <c r="K367" s="973">
        <v>548</v>
      </c>
      <c r="L367" s="558"/>
    </row>
    <row r="368" spans="1:12" ht="15" customHeight="1" x14ac:dyDescent="0.25">
      <c r="A368" s="1429"/>
      <c r="B368" s="1355"/>
      <c r="C368" s="1389" t="s">
        <v>462</v>
      </c>
      <c r="D368" s="1390"/>
      <c r="E368" s="225"/>
      <c r="F368" s="283">
        <f>F366/F363*100</f>
        <v>52.919708029197075</v>
      </c>
      <c r="G368" s="283">
        <f t="shared" ref="G368:I369" si="24">G366/G363*100</f>
        <v>52.68518518518519</v>
      </c>
      <c r="H368" s="283">
        <f t="shared" si="24"/>
        <v>58.312020460358063</v>
      </c>
      <c r="I368" s="283">
        <f t="shared" si="24"/>
        <v>57.446808510638306</v>
      </c>
      <c r="J368" s="283">
        <f>J366/J363*100</f>
        <v>57.493188010899189</v>
      </c>
      <c r="K368" s="283">
        <f>K366/K363*100</f>
        <v>60.502692998204665</v>
      </c>
      <c r="L368" s="512"/>
    </row>
    <row r="369" spans="1:18" ht="15" customHeight="1" x14ac:dyDescent="0.25">
      <c r="A369" s="1429"/>
      <c r="B369" s="1355"/>
      <c r="C369" s="1123" t="s">
        <v>463</v>
      </c>
      <c r="D369" s="1124"/>
      <c r="E369" s="96"/>
      <c r="F369" s="29">
        <f>F367/F364*100</f>
        <v>46.085409252669038</v>
      </c>
      <c r="G369" s="29">
        <f t="shared" si="24"/>
        <v>45.837231057062681</v>
      </c>
      <c r="H369" s="29">
        <f t="shared" si="24"/>
        <v>49.119865884325229</v>
      </c>
      <c r="I369" s="29">
        <f t="shared" si="24"/>
        <v>48.031496062992126</v>
      </c>
      <c r="J369" s="29">
        <f>J367/J364*100</f>
        <v>46.051464063886421</v>
      </c>
      <c r="K369" s="29">
        <f>K367/K364*100</f>
        <v>50.229147571035746</v>
      </c>
      <c r="L369" s="407"/>
    </row>
    <row r="370" spans="1:18" ht="16.5" thickBot="1" x14ac:dyDescent="0.3">
      <c r="A370" s="1429"/>
      <c r="B370" s="1356"/>
      <c r="C370" s="1353" t="s">
        <v>354</v>
      </c>
      <c r="D370" s="1178"/>
      <c r="E370" s="110"/>
      <c r="F370" s="165">
        <f t="shared" ref="F370:K370" si="25">+F369-F368</f>
        <v>-6.834298776528037</v>
      </c>
      <c r="G370" s="165">
        <f t="shared" si="25"/>
        <v>-6.8479541281225096</v>
      </c>
      <c r="H370" s="165">
        <f t="shared" si="25"/>
        <v>-9.1921545760328343</v>
      </c>
      <c r="I370" s="165">
        <f t="shared" si="25"/>
        <v>-9.4153124476461798</v>
      </c>
      <c r="J370" s="165">
        <f t="shared" si="25"/>
        <v>-11.441723947012768</v>
      </c>
      <c r="K370" s="165">
        <f t="shared" si="25"/>
        <v>-10.273545427168919</v>
      </c>
      <c r="L370" s="558"/>
    </row>
    <row r="371" spans="1:18" ht="16.5" thickBot="1" x14ac:dyDescent="0.3">
      <c r="A371" s="1429"/>
      <c r="B371" s="694" t="s">
        <v>249</v>
      </c>
      <c r="C371" s="1501"/>
      <c r="D371" s="1501"/>
      <c r="E371" s="744" t="s">
        <v>442</v>
      </c>
      <c r="F371" s="744" t="s">
        <v>443</v>
      </c>
      <c r="G371" s="744" t="s">
        <v>444</v>
      </c>
      <c r="H371" s="744" t="s">
        <v>445</v>
      </c>
      <c r="I371" s="744" t="s">
        <v>446</v>
      </c>
      <c r="J371" s="744" t="s">
        <v>447</v>
      </c>
      <c r="K371" s="744" t="s">
        <v>448</v>
      </c>
      <c r="L371" s="745" t="s">
        <v>449</v>
      </c>
    </row>
    <row r="372" spans="1:18" s="516" customFormat="1" ht="15" customHeight="1" x14ac:dyDescent="0.25">
      <c r="A372" s="1429"/>
      <c r="B372" s="1354" t="s">
        <v>464</v>
      </c>
      <c r="C372" s="1251" t="s">
        <v>459</v>
      </c>
      <c r="D372" s="1206"/>
      <c r="E372" s="40"/>
      <c r="F372" s="195">
        <v>946</v>
      </c>
      <c r="G372" s="195">
        <v>1117</v>
      </c>
      <c r="H372" s="195">
        <v>1210</v>
      </c>
      <c r="I372" s="195">
        <v>1199</v>
      </c>
      <c r="J372" s="195">
        <v>1234</v>
      </c>
      <c r="K372" s="195">
        <v>1300</v>
      </c>
      <c r="L372" s="556"/>
      <c r="M372" s="64"/>
      <c r="N372" s="64"/>
      <c r="O372" s="64"/>
    </row>
    <row r="373" spans="1:18" x14ac:dyDescent="0.25">
      <c r="A373" s="1429"/>
      <c r="B373" s="1355"/>
      <c r="C373" s="1123" t="s">
        <v>436</v>
      </c>
      <c r="D373" s="1124"/>
      <c r="E373" s="96"/>
      <c r="F373" s="96">
        <v>271</v>
      </c>
      <c r="G373" s="96">
        <v>323</v>
      </c>
      <c r="H373" s="96">
        <v>532</v>
      </c>
      <c r="I373" s="96">
        <v>504</v>
      </c>
      <c r="J373" s="96">
        <v>492</v>
      </c>
      <c r="K373" s="96">
        <v>523</v>
      </c>
      <c r="L373" s="407"/>
    </row>
    <row r="374" spans="1:18" x14ac:dyDescent="0.25">
      <c r="A374" s="1429"/>
      <c r="B374" s="1355"/>
      <c r="C374" s="1123" t="s">
        <v>437</v>
      </c>
      <c r="D374" s="1124"/>
      <c r="E374" s="96"/>
      <c r="F374" s="96">
        <v>675</v>
      </c>
      <c r="G374" s="96">
        <v>794</v>
      </c>
      <c r="H374" s="96">
        <v>678</v>
      </c>
      <c r="I374" s="96">
        <v>695</v>
      </c>
      <c r="J374" s="96">
        <v>742</v>
      </c>
      <c r="K374" s="96">
        <v>777</v>
      </c>
      <c r="L374" s="407"/>
    </row>
    <row r="375" spans="1:18" ht="16.5" thickBot="1" x14ac:dyDescent="0.3">
      <c r="A375" s="1429"/>
      <c r="B375" s="1355"/>
      <c r="C375" s="1170" t="s">
        <v>270</v>
      </c>
      <c r="D375" s="1155"/>
      <c r="E375" s="190"/>
      <c r="F375" s="285">
        <f t="shared" ref="F375:J375" si="26">F374/F372*100</f>
        <v>71.353065539112052</v>
      </c>
      <c r="G375" s="285">
        <f t="shared" si="26"/>
        <v>71.08325872873769</v>
      </c>
      <c r="H375" s="285">
        <f t="shared" si="26"/>
        <v>56.033057851239661</v>
      </c>
      <c r="I375" s="285">
        <f t="shared" si="26"/>
        <v>57.964970809007511</v>
      </c>
      <c r="J375" s="285">
        <f t="shared" si="26"/>
        <v>60.129659643435986</v>
      </c>
      <c r="K375" s="285">
        <f>K374/K372*100</f>
        <v>59.769230769230774</v>
      </c>
      <c r="L375" s="557"/>
    </row>
    <row r="376" spans="1:18" s="11" customFormat="1" ht="14.85" customHeight="1" x14ac:dyDescent="0.25">
      <c r="A376" s="1429"/>
      <c r="B376" s="1355"/>
      <c r="C376" s="1159" t="s">
        <v>523</v>
      </c>
      <c r="D376" s="248" t="s">
        <v>251</v>
      </c>
      <c r="E376" s="249"/>
      <c r="F376" s="225">
        <v>72</v>
      </c>
      <c r="G376" s="225">
        <v>81</v>
      </c>
      <c r="H376" s="225">
        <v>85</v>
      </c>
      <c r="I376" s="225">
        <v>93</v>
      </c>
      <c r="J376" s="225">
        <v>89</v>
      </c>
      <c r="K376" s="36">
        <v>81</v>
      </c>
      <c r="L376" s="20"/>
    </row>
    <row r="377" spans="1:18" s="11" customFormat="1" x14ac:dyDescent="0.25">
      <c r="A377" s="1429"/>
      <c r="B377" s="1355"/>
      <c r="C377" s="1160"/>
      <c r="D377" s="28" t="s">
        <v>257</v>
      </c>
      <c r="E377" s="94"/>
      <c r="F377" s="96">
        <v>28</v>
      </c>
      <c r="G377" s="96">
        <v>30</v>
      </c>
      <c r="H377" s="96">
        <v>41</v>
      </c>
      <c r="I377" s="96">
        <v>47</v>
      </c>
      <c r="J377" s="96">
        <v>44</v>
      </c>
      <c r="K377" s="28">
        <v>39</v>
      </c>
      <c r="L377" s="21"/>
    </row>
    <row r="378" spans="1:18" s="11" customFormat="1" x14ac:dyDescent="0.25">
      <c r="A378" s="1429"/>
      <c r="B378" s="1355"/>
      <c r="C378" s="1160"/>
      <c r="D378" s="28" t="s">
        <v>263</v>
      </c>
      <c r="E378" s="94"/>
      <c r="F378" s="96">
        <v>44</v>
      </c>
      <c r="G378" s="96">
        <v>51</v>
      </c>
      <c r="H378" s="96">
        <v>44</v>
      </c>
      <c r="I378" s="96">
        <v>46</v>
      </c>
      <c r="J378" s="96">
        <v>45</v>
      </c>
      <c r="K378" s="28">
        <v>42</v>
      </c>
      <c r="L378" s="21"/>
    </row>
    <row r="379" spans="1:18" s="64" customFormat="1" ht="16.5" thickBot="1" x14ac:dyDescent="0.3">
      <c r="A379" s="1429"/>
      <c r="B379" s="1355"/>
      <c r="C379" s="1161"/>
      <c r="D379" s="203" t="s">
        <v>270</v>
      </c>
      <c r="E379" s="106"/>
      <c r="F379" s="251">
        <f>(F378*100)/F376</f>
        <v>61.111111111111114</v>
      </c>
      <c r="G379" s="251">
        <f t="shared" ref="G379:K379" si="27">(G378*100)/G376</f>
        <v>62.962962962962962</v>
      </c>
      <c r="H379" s="252">
        <f t="shared" si="27"/>
        <v>51.764705882352942</v>
      </c>
      <c r="I379" s="252">
        <f t="shared" si="27"/>
        <v>49.462365591397848</v>
      </c>
      <c r="J379" s="252">
        <f t="shared" si="27"/>
        <v>50.561797752808985</v>
      </c>
      <c r="K379" s="777">
        <f t="shared" si="27"/>
        <v>51.851851851851855</v>
      </c>
      <c r="L379" s="204"/>
      <c r="O379" s="11"/>
      <c r="P379" s="11"/>
      <c r="Q379" s="11"/>
      <c r="R379" s="11"/>
    </row>
    <row r="380" spans="1:18" s="11" customFormat="1" ht="14.85" customHeight="1" x14ac:dyDescent="0.25">
      <c r="A380" s="1429"/>
      <c r="B380" s="1355"/>
      <c r="C380" s="1159" t="s">
        <v>465</v>
      </c>
      <c r="D380" s="248" t="s">
        <v>251</v>
      </c>
      <c r="E380" s="249"/>
      <c r="F380" s="250">
        <v>155</v>
      </c>
      <c r="G380" s="250">
        <v>293</v>
      </c>
      <c r="H380" s="250">
        <v>186</v>
      </c>
      <c r="I380" s="250">
        <v>257</v>
      </c>
      <c r="J380" s="250">
        <v>307</v>
      </c>
      <c r="K380" s="36">
        <v>355</v>
      </c>
      <c r="L380" s="20"/>
      <c r="O380" s="64"/>
      <c r="P380" s="64"/>
      <c r="Q380" s="64"/>
      <c r="R380" s="64"/>
    </row>
    <row r="381" spans="1:18" s="11" customFormat="1" x14ac:dyDescent="0.25">
      <c r="A381" s="1429"/>
      <c r="B381" s="1355"/>
      <c r="C381" s="1160"/>
      <c r="D381" s="28" t="s">
        <v>257</v>
      </c>
      <c r="E381" s="94"/>
      <c r="F381" s="80">
        <v>24</v>
      </c>
      <c r="G381" s="80">
        <v>53</v>
      </c>
      <c r="H381" s="80">
        <v>28</v>
      </c>
      <c r="I381" s="80">
        <v>43</v>
      </c>
      <c r="J381" s="80">
        <v>36</v>
      </c>
      <c r="K381" s="999">
        <v>49</v>
      </c>
      <c r="L381" s="21"/>
    </row>
    <row r="382" spans="1:18" s="11" customFormat="1" x14ac:dyDescent="0.25">
      <c r="A382" s="1429"/>
      <c r="B382" s="1355"/>
      <c r="C382" s="1160"/>
      <c r="D382" s="28" t="s">
        <v>263</v>
      </c>
      <c r="E382" s="94"/>
      <c r="F382" s="80">
        <v>131</v>
      </c>
      <c r="G382" s="80">
        <v>240</v>
      </c>
      <c r="H382" s="80">
        <v>158</v>
      </c>
      <c r="I382" s="80">
        <v>214</v>
      </c>
      <c r="J382" s="80">
        <v>271</v>
      </c>
      <c r="K382" s="28">
        <v>306</v>
      </c>
      <c r="L382" s="21"/>
    </row>
    <row r="383" spans="1:18" s="64" customFormat="1" ht="15.95" customHeight="1" thickBot="1" x14ac:dyDescent="0.3">
      <c r="A383" s="1429"/>
      <c r="B383" s="1355"/>
      <c r="C383" s="1161"/>
      <c r="D383" s="203" t="s">
        <v>270</v>
      </c>
      <c r="E383" s="106"/>
      <c r="F383" s="251">
        <f>(F382*100)/F380</f>
        <v>84.516129032258064</v>
      </c>
      <c r="G383" s="251">
        <f t="shared" ref="G383:K383" si="28">(G382*100)/G380</f>
        <v>81.911262798634809</v>
      </c>
      <c r="H383" s="251">
        <f t="shared" si="28"/>
        <v>84.946236559139791</v>
      </c>
      <c r="I383" s="251">
        <f t="shared" si="28"/>
        <v>83.268482490272376</v>
      </c>
      <c r="J383" s="251">
        <f t="shared" si="28"/>
        <v>88.273615635179155</v>
      </c>
      <c r="K383" s="251">
        <f t="shared" si="28"/>
        <v>86.197183098591552</v>
      </c>
      <c r="L383" s="204"/>
      <c r="O383" s="11"/>
      <c r="P383" s="11"/>
      <c r="Q383" s="11"/>
      <c r="R383" s="11"/>
    </row>
    <row r="384" spans="1:18" s="11" customFormat="1" ht="14.85" customHeight="1" x14ac:dyDescent="0.25">
      <c r="A384" s="1429"/>
      <c r="B384" s="1355"/>
      <c r="C384" s="1159" t="s">
        <v>524</v>
      </c>
      <c r="D384" s="248" t="s">
        <v>251</v>
      </c>
      <c r="E384" s="249"/>
      <c r="F384" s="250">
        <v>33</v>
      </c>
      <c r="G384" s="250">
        <v>54</v>
      </c>
      <c r="H384" s="250">
        <v>83</v>
      </c>
      <c r="I384" s="250">
        <v>86</v>
      </c>
      <c r="J384" s="250">
        <v>105</v>
      </c>
      <c r="K384" s="36">
        <v>123</v>
      </c>
      <c r="L384" s="20"/>
      <c r="O384" s="64"/>
      <c r="P384" s="64"/>
      <c r="Q384" s="64"/>
      <c r="R384" s="64"/>
    </row>
    <row r="385" spans="1:18" s="11" customFormat="1" x14ac:dyDescent="0.25">
      <c r="A385" s="1429"/>
      <c r="B385" s="1355"/>
      <c r="C385" s="1160"/>
      <c r="D385" s="28" t="s">
        <v>257</v>
      </c>
      <c r="E385" s="94"/>
      <c r="F385" s="80">
        <v>28</v>
      </c>
      <c r="G385" s="80">
        <v>47</v>
      </c>
      <c r="H385" s="80">
        <v>15</v>
      </c>
      <c r="I385" s="80">
        <v>76</v>
      </c>
      <c r="J385" s="80">
        <v>87</v>
      </c>
      <c r="K385" s="28">
        <v>99</v>
      </c>
      <c r="L385" s="21"/>
    </row>
    <row r="386" spans="1:18" s="11" customFormat="1" x14ac:dyDescent="0.25">
      <c r="A386" s="1429"/>
      <c r="B386" s="1355"/>
      <c r="C386" s="1160"/>
      <c r="D386" s="28" t="s">
        <v>263</v>
      </c>
      <c r="E386" s="94"/>
      <c r="F386" s="80">
        <v>5</v>
      </c>
      <c r="G386" s="80">
        <v>7</v>
      </c>
      <c r="H386" s="80">
        <v>8</v>
      </c>
      <c r="I386" s="80">
        <v>10</v>
      </c>
      <c r="J386" s="80">
        <v>18</v>
      </c>
      <c r="K386" s="28">
        <v>24</v>
      </c>
      <c r="L386" s="21"/>
    </row>
    <row r="387" spans="1:18" s="64" customFormat="1" ht="15.95" customHeight="1" thickBot="1" x14ac:dyDescent="0.3">
      <c r="A387" s="1429"/>
      <c r="B387" s="1355"/>
      <c r="C387" s="1161"/>
      <c r="D387" s="203" t="s">
        <v>270</v>
      </c>
      <c r="E387" s="106"/>
      <c r="F387" s="253">
        <f>(F386*100)/F384</f>
        <v>15.151515151515152</v>
      </c>
      <c r="G387" s="253">
        <f t="shared" ref="G387:K387" si="29">(G386*100)/G384</f>
        <v>12.962962962962964</v>
      </c>
      <c r="H387" s="253">
        <f t="shared" si="29"/>
        <v>9.6385542168674707</v>
      </c>
      <c r="I387" s="253">
        <f t="shared" si="29"/>
        <v>11.627906976744185</v>
      </c>
      <c r="J387" s="253">
        <f t="shared" si="29"/>
        <v>17.142857142857142</v>
      </c>
      <c r="K387" s="253">
        <f t="shared" si="29"/>
        <v>19.512195121951219</v>
      </c>
      <c r="L387" s="204"/>
      <c r="O387" s="11"/>
      <c r="P387" s="11"/>
      <c r="Q387" s="11"/>
      <c r="R387" s="11"/>
    </row>
    <row r="388" spans="1:18" s="11" customFormat="1" ht="14.85" customHeight="1" x14ac:dyDescent="0.25">
      <c r="A388" s="1429"/>
      <c r="B388" s="1355"/>
      <c r="C388" s="1159" t="s">
        <v>556</v>
      </c>
      <c r="D388" s="248" t="s">
        <v>251</v>
      </c>
      <c r="E388" s="249"/>
      <c r="F388" s="250">
        <v>405</v>
      </c>
      <c r="G388" s="250">
        <v>343</v>
      </c>
      <c r="H388" s="250">
        <v>217</v>
      </c>
      <c r="I388" s="250">
        <v>179</v>
      </c>
      <c r="J388" s="250">
        <v>177</v>
      </c>
      <c r="K388" s="36">
        <v>165</v>
      </c>
      <c r="L388" s="20"/>
      <c r="O388" s="64"/>
      <c r="P388" s="64"/>
      <c r="Q388" s="64"/>
      <c r="R388" s="64"/>
    </row>
    <row r="389" spans="1:18" s="11" customFormat="1" x14ac:dyDescent="0.25">
      <c r="A389" s="1429"/>
      <c r="B389" s="1355"/>
      <c r="C389" s="1160"/>
      <c r="D389" s="28" t="s">
        <v>257</v>
      </c>
      <c r="E389" s="94"/>
      <c r="F389" s="80">
        <v>34</v>
      </c>
      <c r="G389" s="80">
        <v>39</v>
      </c>
      <c r="H389" s="80">
        <v>27</v>
      </c>
      <c r="I389" s="80">
        <v>15</v>
      </c>
      <c r="J389" s="80">
        <v>10</v>
      </c>
      <c r="K389" s="28">
        <v>12</v>
      </c>
      <c r="L389" s="21"/>
    </row>
    <row r="390" spans="1:18" s="11" customFormat="1" x14ac:dyDescent="0.25">
      <c r="A390" s="1429"/>
      <c r="B390" s="1355"/>
      <c r="C390" s="1160"/>
      <c r="D390" s="28" t="s">
        <v>263</v>
      </c>
      <c r="E390" s="94"/>
      <c r="F390" s="80">
        <v>371</v>
      </c>
      <c r="G390" s="80">
        <v>304</v>
      </c>
      <c r="H390" s="80">
        <v>190</v>
      </c>
      <c r="I390" s="80">
        <v>164</v>
      </c>
      <c r="J390" s="80">
        <v>167</v>
      </c>
      <c r="K390" s="28">
        <v>153</v>
      </c>
      <c r="L390" s="21"/>
    </row>
    <row r="391" spans="1:18" s="64" customFormat="1" ht="16.5" thickBot="1" x14ac:dyDescent="0.3">
      <c r="A391" s="1429"/>
      <c r="B391" s="1355"/>
      <c r="C391" s="1161"/>
      <c r="D391" s="203" t="s">
        <v>270</v>
      </c>
      <c r="E391" s="106"/>
      <c r="F391" s="251">
        <f>(F390*100)/F388</f>
        <v>91.604938271604937</v>
      </c>
      <c r="G391" s="251">
        <f t="shared" ref="G391:K391" si="30">(G390*100)/G388</f>
        <v>88.629737609329453</v>
      </c>
      <c r="H391" s="251">
        <f t="shared" si="30"/>
        <v>87.557603686635943</v>
      </c>
      <c r="I391" s="251">
        <f t="shared" si="30"/>
        <v>91.620111731843579</v>
      </c>
      <c r="J391" s="251">
        <f t="shared" si="30"/>
        <v>94.350282485875709</v>
      </c>
      <c r="K391" s="251">
        <f t="shared" si="30"/>
        <v>92.727272727272734</v>
      </c>
      <c r="L391" s="204"/>
      <c r="O391" s="11"/>
      <c r="P391" s="11"/>
      <c r="Q391" s="11"/>
      <c r="R391" s="11"/>
    </row>
    <row r="392" spans="1:18" s="11" customFormat="1" ht="14.85" customHeight="1" x14ac:dyDescent="0.25">
      <c r="A392" s="1429"/>
      <c r="B392" s="1355"/>
      <c r="C392" s="1159" t="s">
        <v>526</v>
      </c>
      <c r="D392" s="248" t="s">
        <v>251</v>
      </c>
      <c r="E392" s="249"/>
      <c r="F392" s="249">
        <v>138</v>
      </c>
      <c r="G392" s="250">
        <v>128</v>
      </c>
      <c r="H392" s="250">
        <v>175</v>
      </c>
      <c r="I392" s="250">
        <v>166</v>
      </c>
      <c r="J392" s="250">
        <v>159</v>
      </c>
      <c r="K392" s="36">
        <v>202</v>
      </c>
      <c r="L392" s="20"/>
      <c r="O392" s="64"/>
      <c r="P392" s="64"/>
      <c r="Q392" s="64"/>
      <c r="R392" s="64"/>
    </row>
    <row r="393" spans="1:18" s="11" customFormat="1" x14ac:dyDescent="0.25">
      <c r="A393" s="1429"/>
      <c r="B393" s="1355"/>
      <c r="C393" s="1160"/>
      <c r="D393" s="28" t="s">
        <v>257</v>
      </c>
      <c r="E393" s="94"/>
      <c r="F393" s="94">
        <v>87</v>
      </c>
      <c r="G393" s="80">
        <v>84</v>
      </c>
      <c r="H393" s="80">
        <v>99</v>
      </c>
      <c r="I393" s="80">
        <v>88</v>
      </c>
      <c r="J393" s="80">
        <v>77</v>
      </c>
      <c r="K393" s="999">
        <v>89</v>
      </c>
      <c r="L393" s="21"/>
    </row>
    <row r="394" spans="1:18" s="11" customFormat="1" x14ac:dyDescent="0.25">
      <c r="A394" s="1429"/>
      <c r="B394" s="1355"/>
      <c r="C394" s="1160"/>
      <c r="D394" s="28" t="s">
        <v>263</v>
      </c>
      <c r="E394" s="94"/>
      <c r="F394" s="94">
        <v>51</v>
      </c>
      <c r="G394" s="80">
        <v>44</v>
      </c>
      <c r="H394" s="80">
        <v>76</v>
      </c>
      <c r="I394" s="80">
        <v>78</v>
      </c>
      <c r="J394" s="80">
        <v>82</v>
      </c>
      <c r="K394" s="28">
        <v>113</v>
      </c>
      <c r="L394" s="21"/>
    </row>
    <row r="395" spans="1:18" s="64" customFormat="1" ht="15.95" customHeight="1" thickBot="1" x14ac:dyDescent="0.3">
      <c r="A395" s="1429"/>
      <c r="B395" s="1355"/>
      <c r="C395" s="1161"/>
      <c r="D395" s="203" t="s">
        <v>270</v>
      </c>
      <c r="E395" s="106"/>
      <c r="F395" s="253">
        <f t="shared" ref="F395:K395" si="31">(F394*100)/F392</f>
        <v>36.956521739130437</v>
      </c>
      <c r="G395" s="253">
        <f t="shared" si="31"/>
        <v>34.375</v>
      </c>
      <c r="H395" s="252">
        <f t="shared" si="31"/>
        <v>43.428571428571431</v>
      </c>
      <c r="I395" s="252">
        <f t="shared" si="31"/>
        <v>46.987951807228917</v>
      </c>
      <c r="J395" s="252">
        <f t="shared" si="31"/>
        <v>51.572327044025158</v>
      </c>
      <c r="K395" s="777">
        <f t="shared" si="31"/>
        <v>55.940594059405939</v>
      </c>
      <c r="L395" s="204"/>
      <c r="O395" s="11"/>
      <c r="P395" s="11"/>
      <c r="Q395" s="11"/>
      <c r="R395" s="11"/>
    </row>
    <row r="396" spans="1:18" s="11" customFormat="1" ht="14.85" customHeight="1" x14ac:dyDescent="0.25">
      <c r="A396" s="1429"/>
      <c r="B396" s="1355"/>
      <c r="C396" s="1159" t="s">
        <v>528</v>
      </c>
      <c r="D396" s="248" t="s">
        <v>251</v>
      </c>
      <c r="E396" s="249"/>
      <c r="F396" s="225">
        <v>52</v>
      </c>
      <c r="G396" s="225">
        <v>80</v>
      </c>
      <c r="H396" s="225">
        <v>102</v>
      </c>
      <c r="I396" s="225">
        <v>87</v>
      </c>
      <c r="J396" s="225">
        <v>89</v>
      </c>
      <c r="K396" s="20">
        <v>80</v>
      </c>
      <c r="L396" s="778"/>
      <c r="O396" s="64"/>
      <c r="P396" s="64"/>
      <c r="Q396" s="64"/>
      <c r="R396" s="64"/>
    </row>
    <row r="397" spans="1:18" s="11" customFormat="1" x14ac:dyDescent="0.25">
      <c r="A397" s="1429"/>
      <c r="B397" s="1355"/>
      <c r="C397" s="1160"/>
      <c r="D397" s="28" t="s">
        <v>257</v>
      </c>
      <c r="E397" s="94"/>
      <c r="F397" s="96">
        <v>8</v>
      </c>
      <c r="G397" s="96">
        <v>16</v>
      </c>
      <c r="H397" s="96">
        <v>22</v>
      </c>
      <c r="I397" s="96">
        <v>19</v>
      </c>
      <c r="J397" s="96">
        <v>23</v>
      </c>
      <c r="K397" s="96">
        <v>21</v>
      </c>
      <c r="L397" s="601"/>
    </row>
    <row r="398" spans="1:18" s="11" customFormat="1" x14ac:dyDescent="0.25">
      <c r="A398" s="1429"/>
      <c r="B398" s="1355"/>
      <c r="C398" s="1160"/>
      <c r="D398" s="28" t="s">
        <v>263</v>
      </c>
      <c r="E398" s="94"/>
      <c r="F398" s="96">
        <v>44</v>
      </c>
      <c r="G398" s="96">
        <v>64</v>
      </c>
      <c r="H398" s="96">
        <v>80</v>
      </c>
      <c r="I398" s="96">
        <v>68</v>
      </c>
      <c r="J398" s="96">
        <v>66</v>
      </c>
      <c r="K398" s="96">
        <v>59</v>
      </c>
      <c r="L398" s="601"/>
    </row>
    <row r="399" spans="1:18" s="64" customFormat="1" ht="15.95" customHeight="1" thickBot="1" x14ac:dyDescent="0.3">
      <c r="A399" s="1429"/>
      <c r="B399" s="1355"/>
      <c r="C399" s="1519"/>
      <c r="D399" s="336" t="s">
        <v>270</v>
      </c>
      <c r="E399" s="128"/>
      <c r="F399" s="594">
        <f>(F398*100)/F396</f>
        <v>84.615384615384613</v>
      </c>
      <c r="G399" s="594">
        <f t="shared" ref="G399:K399" si="32">(G398*100)/G396</f>
        <v>80</v>
      </c>
      <c r="H399" s="594">
        <f t="shared" si="32"/>
        <v>78.431372549019613</v>
      </c>
      <c r="I399" s="594">
        <f t="shared" si="32"/>
        <v>78.160919540229884</v>
      </c>
      <c r="J399" s="594">
        <f t="shared" si="32"/>
        <v>74.157303370786522</v>
      </c>
      <c r="K399" s="949">
        <f t="shared" si="32"/>
        <v>73.75</v>
      </c>
      <c r="L399" s="946"/>
      <c r="O399" s="11"/>
      <c r="P399" s="11"/>
      <c r="Q399" s="11"/>
      <c r="R399" s="11"/>
    </row>
    <row r="400" spans="1:18" s="11" customFormat="1" ht="14.85" customHeight="1" x14ac:dyDescent="0.25">
      <c r="A400" s="1429"/>
      <c r="B400" s="1355"/>
      <c r="C400" s="1159" t="s">
        <v>482</v>
      </c>
      <c r="D400" s="248" t="s">
        <v>251</v>
      </c>
      <c r="E400" s="249"/>
      <c r="F400" s="250">
        <v>91</v>
      </c>
      <c r="G400" s="250">
        <v>86</v>
      </c>
      <c r="H400" s="250">
        <v>181</v>
      </c>
      <c r="I400" s="250">
        <v>131</v>
      </c>
      <c r="J400" s="250">
        <v>114</v>
      </c>
      <c r="K400" s="20">
        <v>96</v>
      </c>
      <c r="L400" s="778"/>
      <c r="O400" s="64"/>
      <c r="P400" s="64"/>
      <c r="Q400" s="64"/>
      <c r="R400" s="64"/>
    </row>
    <row r="401" spans="1:18" s="11" customFormat="1" x14ac:dyDescent="0.25">
      <c r="A401" s="1429"/>
      <c r="B401" s="1355"/>
      <c r="C401" s="1160"/>
      <c r="D401" s="28" t="s">
        <v>257</v>
      </c>
      <c r="E401" s="94"/>
      <c r="F401" s="80">
        <v>62</v>
      </c>
      <c r="G401" s="80">
        <v>51</v>
      </c>
      <c r="H401" s="80">
        <v>122</v>
      </c>
      <c r="I401" s="80">
        <v>89</v>
      </c>
      <c r="J401" s="80">
        <v>84</v>
      </c>
      <c r="K401" s="21">
        <v>67</v>
      </c>
      <c r="L401" s="601"/>
    </row>
    <row r="402" spans="1:18" s="11" customFormat="1" x14ac:dyDescent="0.25">
      <c r="A402" s="1429"/>
      <c r="B402" s="1355"/>
      <c r="C402" s="1160"/>
      <c r="D402" s="28" t="s">
        <v>263</v>
      </c>
      <c r="E402" s="94"/>
      <c r="F402" s="80">
        <v>29</v>
      </c>
      <c r="G402" s="80">
        <v>35</v>
      </c>
      <c r="H402" s="80">
        <v>59</v>
      </c>
      <c r="I402" s="80">
        <v>42</v>
      </c>
      <c r="J402" s="80">
        <v>30</v>
      </c>
      <c r="K402" s="21">
        <v>29</v>
      </c>
      <c r="L402" s="601"/>
    </row>
    <row r="403" spans="1:18" s="64" customFormat="1" ht="15.95" customHeight="1" thickBot="1" x14ac:dyDescent="0.3">
      <c r="A403" s="1429"/>
      <c r="B403" s="1355"/>
      <c r="C403" s="1161"/>
      <c r="D403" s="203" t="s">
        <v>270</v>
      </c>
      <c r="E403" s="106"/>
      <c r="F403" s="253">
        <f>(F402*100)/F400</f>
        <v>31.868131868131869</v>
      </c>
      <c r="G403" s="252">
        <f t="shared" ref="G403:K403" si="33">(G402*100)/G400</f>
        <v>40.697674418604649</v>
      </c>
      <c r="H403" s="253">
        <f t="shared" si="33"/>
        <v>32.596685082872931</v>
      </c>
      <c r="I403" s="253">
        <f t="shared" si="33"/>
        <v>32.061068702290079</v>
      </c>
      <c r="J403" s="253">
        <f t="shared" si="33"/>
        <v>26.315789473684209</v>
      </c>
      <c r="K403" s="950">
        <f t="shared" si="33"/>
        <v>30.208333333333332</v>
      </c>
      <c r="L403" s="779"/>
      <c r="O403" s="11"/>
      <c r="P403" s="11"/>
      <c r="Q403" s="11"/>
      <c r="R403" s="11"/>
    </row>
    <row r="404" spans="1:18" s="11" customFormat="1" ht="14.85" customHeight="1" x14ac:dyDescent="0.25">
      <c r="A404" s="1429"/>
      <c r="B404" s="1355"/>
      <c r="C404" s="1659" t="s">
        <v>552</v>
      </c>
      <c r="D404" s="241" t="s">
        <v>251</v>
      </c>
      <c r="E404" s="242"/>
      <c r="F404" s="243"/>
      <c r="G404" s="243">
        <v>52</v>
      </c>
      <c r="H404" s="243">
        <v>38</v>
      </c>
      <c r="I404" s="243">
        <v>41</v>
      </c>
      <c r="J404" s="243">
        <v>30</v>
      </c>
      <c r="K404" s="122">
        <v>21</v>
      </c>
      <c r="L404" s="87"/>
      <c r="O404" s="64"/>
      <c r="P404" s="64"/>
      <c r="Q404" s="64"/>
      <c r="R404" s="64"/>
    </row>
    <row r="405" spans="1:18" s="11" customFormat="1" x14ac:dyDescent="0.25">
      <c r="A405" s="1429"/>
      <c r="B405" s="1355"/>
      <c r="C405" s="1160"/>
      <c r="D405" s="28" t="s">
        <v>257</v>
      </c>
      <c r="E405" s="94"/>
      <c r="F405" s="80"/>
      <c r="G405" s="80">
        <v>3</v>
      </c>
      <c r="H405" s="80">
        <v>7</v>
      </c>
      <c r="I405" s="80">
        <v>4</v>
      </c>
      <c r="J405" s="80">
        <v>4</v>
      </c>
      <c r="K405" s="999">
        <v>2</v>
      </c>
      <c r="L405" s="21"/>
    </row>
    <row r="406" spans="1:18" s="11" customFormat="1" x14ac:dyDescent="0.25">
      <c r="A406" s="1429"/>
      <c r="B406" s="1355"/>
      <c r="C406" s="1160"/>
      <c r="D406" s="28" t="s">
        <v>263</v>
      </c>
      <c r="E406" s="94"/>
      <c r="F406" s="80"/>
      <c r="G406" s="80">
        <v>49</v>
      </c>
      <c r="H406" s="80">
        <v>31</v>
      </c>
      <c r="I406" s="80">
        <v>37</v>
      </c>
      <c r="J406" s="80">
        <v>26</v>
      </c>
      <c r="K406" s="28">
        <v>19</v>
      </c>
      <c r="L406" s="21"/>
    </row>
    <row r="407" spans="1:18" s="64" customFormat="1" ht="15.95" customHeight="1" thickBot="1" x14ac:dyDescent="0.3">
      <c r="A407" s="1429"/>
      <c r="B407" s="1355"/>
      <c r="C407" s="1161"/>
      <c r="D407" s="203" t="s">
        <v>270</v>
      </c>
      <c r="E407" s="106"/>
      <c r="F407" s="197"/>
      <c r="G407" s="251">
        <f>(G406*100)/G404</f>
        <v>94.230769230769226</v>
      </c>
      <c r="H407" s="251">
        <f t="shared" ref="H407:J407" si="34">(H406*100)/H404</f>
        <v>81.578947368421055</v>
      </c>
      <c r="I407" s="251">
        <f t="shared" si="34"/>
        <v>90.243902439024396</v>
      </c>
      <c r="J407" s="251">
        <f t="shared" si="34"/>
        <v>86.666666666666671</v>
      </c>
      <c r="K407" s="251">
        <f>(K406*100)/K404</f>
        <v>90.476190476190482</v>
      </c>
      <c r="L407" s="204"/>
      <c r="O407" s="11"/>
      <c r="P407" s="11"/>
      <c r="Q407" s="11"/>
      <c r="R407" s="11"/>
    </row>
    <row r="408" spans="1:18" s="11" customFormat="1" ht="14.85" customHeight="1" x14ac:dyDescent="0.25">
      <c r="A408" s="1429"/>
      <c r="B408" s="1355"/>
      <c r="C408" s="1159" t="s">
        <v>480</v>
      </c>
      <c r="D408" s="248" t="s">
        <v>251</v>
      </c>
      <c r="E408" s="249"/>
      <c r="F408" s="250"/>
      <c r="G408" s="250"/>
      <c r="H408" s="250">
        <v>24</v>
      </c>
      <c r="I408" s="250">
        <v>30</v>
      </c>
      <c r="J408" s="250">
        <v>25</v>
      </c>
      <c r="K408" s="36">
        <v>28</v>
      </c>
      <c r="L408" s="20"/>
      <c r="O408" s="64"/>
      <c r="P408" s="64"/>
      <c r="Q408" s="64"/>
      <c r="R408" s="64"/>
    </row>
    <row r="409" spans="1:18" s="11" customFormat="1" x14ac:dyDescent="0.25">
      <c r="A409" s="1429"/>
      <c r="B409" s="1355"/>
      <c r="C409" s="1160"/>
      <c r="D409" s="28" t="s">
        <v>257</v>
      </c>
      <c r="E409" s="94"/>
      <c r="F409" s="80"/>
      <c r="G409" s="80"/>
      <c r="H409" s="80">
        <v>17</v>
      </c>
      <c r="I409" s="80">
        <v>20</v>
      </c>
      <c r="J409" s="80">
        <v>14</v>
      </c>
      <c r="K409" s="28">
        <v>19</v>
      </c>
      <c r="L409" s="21"/>
    </row>
    <row r="410" spans="1:18" s="11" customFormat="1" x14ac:dyDescent="0.25">
      <c r="A410" s="1429"/>
      <c r="B410" s="1355"/>
      <c r="C410" s="1160"/>
      <c r="D410" s="28" t="s">
        <v>263</v>
      </c>
      <c r="E410" s="94"/>
      <c r="F410" s="80"/>
      <c r="G410" s="80"/>
      <c r="H410" s="80">
        <v>7</v>
      </c>
      <c r="I410" s="80">
        <v>10</v>
      </c>
      <c r="J410" s="80">
        <v>11</v>
      </c>
      <c r="K410" s="28">
        <v>9</v>
      </c>
      <c r="L410" s="21"/>
    </row>
    <row r="411" spans="1:18" s="64" customFormat="1" ht="15.95" customHeight="1" thickBot="1" x14ac:dyDescent="0.3">
      <c r="A411" s="1429"/>
      <c r="B411" s="1355"/>
      <c r="C411" s="1161"/>
      <c r="D411" s="203" t="s">
        <v>270</v>
      </c>
      <c r="E411" s="106"/>
      <c r="F411" s="197"/>
      <c r="G411" s="197"/>
      <c r="H411" s="253">
        <f t="shared" ref="H411:I411" si="35">(H410*100)/H408</f>
        <v>29.166666666666668</v>
      </c>
      <c r="I411" s="253">
        <f t="shared" si="35"/>
        <v>33.333333333333336</v>
      </c>
      <c r="J411" s="252">
        <f t="shared" ref="J411" si="36">(J410*100)/J408</f>
        <v>44</v>
      </c>
      <c r="K411" s="777">
        <f>K410/K408*100</f>
        <v>32.142857142857146</v>
      </c>
      <c r="L411" s="204"/>
      <c r="O411" s="11"/>
      <c r="P411" s="11"/>
      <c r="Q411" s="11"/>
      <c r="R411" s="11"/>
    </row>
    <row r="412" spans="1:18" s="11" customFormat="1" ht="14.85" customHeight="1" x14ac:dyDescent="0.25">
      <c r="A412" s="1429"/>
      <c r="B412" s="1355"/>
      <c r="C412" s="1159" t="s">
        <v>539</v>
      </c>
      <c r="D412" s="248" t="s">
        <v>251</v>
      </c>
      <c r="E412" s="249"/>
      <c r="F412" s="225"/>
      <c r="G412" s="225"/>
      <c r="H412" s="225">
        <v>119</v>
      </c>
      <c r="I412" s="225">
        <v>129</v>
      </c>
      <c r="J412" s="225">
        <v>139</v>
      </c>
      <c r="K412" s="36">
        <v>149</v>
      </c>
      <c r="L412" s="20"/>
      <c r="O412" s="64"/>
      <c r="P412" s="64"/>
      <c r="Q412" s="64"/>
      <c r="R412" s="64"/>
    </row>
    <row r="413" spans="1:18" s="11" customFormat="1" x14ac:dyDescent="0.25">
      <c r="A413" s="1429"/>
      <c r="B413" s="1355"/>
      <c r="C413" s="1160"/>
      <c r="D413" s="28" t="s">
        <v>257</v>
      </c>
      <c r="E413" s="94"/>
      <c r="F413" s="96"/>
      <c r="G413" s="96"/>
      <c r="H413" s="96">
        <v>94</v>
      </c>
      <c r="I413" s="96">
        <v>103</v>
      </c>
      <c r="J413" s="96">
        <v>113</v>
      </c>
      <c r="K413" s="28">
        <v>126</v>
      </c>
      <c r="L413" s="21"/>
    </row>
    <row r="414" spans="1:18" s="11" customFormat="1" x14ac:dyDescent="0.25">
      <c r="A414" s="1429"/>
      <c r="B414" s="1355"/>
      <c r="C414" s="1160"/>
      <c r="D414" s="28" t="s">
        <v>263</v>
      </c>
      <c r="E414" s="94"/>
      <c r="F414" s="96"/>
      <c r="G414" s="96"/>
      <c r="H414" s="96">
        <v>25</v>
      </c>
      <c r="I414" s="96">
        <v>26</v>
      </c>
      <c r="J414" s="96">
        <v>26</v>
      </c>
      <c r="K414" s="28">
        <v>23</v>
      </c>
      <c r="L414" s="21"/>
    </row>
    <row r="415" spans="1:18" s="64" customFormat="1" ht="16.5" thickBot="1" x14ac:dyDescent="0.3">
      <c r="A415" s="1429"/>
      <c r="B415" s="1355"/>
      <c r="C415" s="1161"/>
      <c r="D415" s="203" t="s">
        <v>270</v>
      </c>
      <c r="E415" s="106"/>
      <c r="F415" s="197"/>
      <c r="G415" s="197"/>
      <c r="H415" s="258">
        <f t="shared" ref="H415:I415" si="37">(H414*100)/H412</f>
        <v>21.008403361344538</v>
      </c>
      <c r="I415" s="258">
        <f t="shared" si="37"/>
        <v>20.155038759689923</v>
      </c>
      <c r="J415" s="258">
        <f t="shared" ref="J415" si="38">(J414*100)/J412</f>
        <v>18.705035971223023</v>
      </c>
      <c r="K415" s="253">
        <f>K414/K412*100</f>
        <v>15.436241610738255</v>
      </c>
      <c r="L415" s="204"/>
    </row>
    <row r="416" spans="1:18" s="11" customFormat="1" x14ac:dyDescent="0.25">
      <c r="A416" s="1429"/>
      <c r="B416" s="1355"/>
      <c r="C416" s="1166" t="s">
        <v>472</v>
      </c>
      <c r="D416" s="308" t="s">
        <v>473</v>
      </c>
      <c r="E416" s="249"/>
      <c r="F416" s="261">
        <f>3/7*100</f>
        <v>42.857142857142854</v>
      </c>
      <c r="G416" s="261">
        <f>2/8*100</f>
        <v>25</v>
      </c>
      <c r="H416" s="261">
        <f>4/10*100</f>
        <v>40</v>
      </c>
      <c r="I416" s="261">
        <f>4/10*100</f>
        <v>40</v>
      </c>
      <c r="J416" s="261">
        <v>30</v>
      </c>
      <c r="K416" s="261">
        <f>4/10*100</f>
        <v>40</v>
      </c>
      <c r="L416" s="20"/>
    </row>
    <row r="417" spans="1:12" s="11" customFormat="1" x14ac:dyDescent="0.25">
      <c r="A417" s="1429"/>
      <c r="B417" s="1355"/>
      <c r="C417" s="1167"/>
      <c r="D417" s="232" t="s">
        <v>474</v>
      </c>
      <c r="E417" s="94"/>
      <c r="F417" s="234">
        <f>4/7*100</f>
        <v>57.142857142857139</v>
      </c>
      <c r="G417" s="234">
        <f>5/8*100</f>
        <v>62.5</v>
      </c>
      <c r="H417" s="234">
        <v>40</v>
      </c>
      <c r="I417" s="234">
        <v>40</v>
      </c>
      <c r="J417" s="234">
        <v>40</v>
      </c>
      <c r="K417" s="234">
        <f>4/10*100</f>
        <v>40</v>
      </c>
      <c r="L417" s="21"/>
    </row>
    <row r="418" spans="1:12" s="11" customFormat="1" ht="16.5" thickBot="1" x14ac:dyDescent="0.3">
      <c r="A418" s="1429"/>
      <c r="B418" s="1356"/>
      <c r="C418" s="1255"/>
      <c r="D418" s="311" t="s">
        <v>475</v>
      </c>
      <c r="E418" s="104"/>
      <c r="F418" s="312">
        <v>0</v>
      </c>
      <c r="G418" s="312">
        <f>1/8*100</f>
        <v>12.5</v>
      </c>
      <c r="H418" s="312">
        <v>20</v>
      </c>
      <c r="I418" s="312">
        <v>20</v>
      </c>
      <c r="J418" s="312">
        <v>30</v>
      </c>
      <c r="K418" s="312">
        <f>2/10*100</f>
        <v>20</v>
      </c>
      <c r="L418" s="22"/>
    </row>
    <row r="419" spans="1:12" s="11" customFormat="1" ht="16.5" thickBot="1" x14ac:dyDescent="0.3">
      <c r="A419" s="1382"/>
      <c r="B419" s="697" t="s">
        <v>249</v>
      </c>
      <c r="C419" s="1635"/>
      <c r="D419" s="1636"/>
      <c r="E419" s="775" t="s">
        <v>442</v>
      </c>
      <c r="F419" s="775" t="s">
        <v>443</v>
      </c>
      <c r="G419" s="775" t="s">
        <v>444</v>
      </c>
      <c r="H419" s="775" t="s">
        <v>445</v>
      </c>
      <c r="I419" s="775" t="s">
        <v>446</v>
      </c>
      <c r="J419" s="775" t="s">
        <v>447</v>
      </c>
      <c r="K419" s="775" t="s">
        <v>448</v>
      </c>
      <c r="L419" s="776" t="s">
        <v>449</v>
      </c>
    </row>
    <row r="420" spans="1:12" ht="15" customHeight="1" x14ac:dyDescent="0.25">
      <c r="A420" s="1429"/>
      <c r="B420" s="1354" t="s">
        <v>476</v>
      </c>
      <c r="C420" s="1121" t="s">
        <v>459</v>
      </c>
      <c r="D420" s="1122"/>
      <c r="E420" s="122"/>
      <c r="F420" s="192">
        <v>1809</v>
      </c>
      <c r="G420" s="192">
        <v>2096</v>
      </c>
      <c r="H420" s="192">
        <v>3324</v>
      </c>
      <c r="I420" s="192">
        <v>3017</v>
      </c>
      <c r="J420" s="192">
        <v>3384</v>
      </c>
      <c r="K420" s="192">
        <v>3597</v>
      </c>
      <c r="L420" s="750"/>
    </row>
    <row r="421" spans="1:12" x14ac:dyDescent="0.25">
      <c r="A421" s="1429"/>
      <c r="B421" s="1355"/>
      <c r="C421" s="1123" t="s">
        <v>436</v>
      </c>
      <c r="D421" s="1124"/>
      <c r="E421" s="96"/>
      <c r="F421" s="96">
        <v>696</v>
      </c>
      <c r="G421" s="96">
        <v>1084</v>
      </c>
      <c r="H421" s="96">
        <v>1611</v>
      </c>
      <c r="I421" s="96">
        <v>1417</v>
      </c>
      <c r="J421" s="96">
        <v>1621</v>
      </c>
      <c r="K421" s="955">
        <v>1731</v>
      </c>
      <c r="L421" s="407"/>
    </row>
    <row r="422" spans="1:12" x14ac:dyDescent="0.25">
      <c r="A422" s="1429"/>
      <c r="B422" s="1355"/>
      <c r="C422" s="1123" t="s">
        <v>437</v>
      </c>
      <c r="D422" s="1124"/>
      <c r="E422" s="96"/>
      <c r="F422" s="96">
        <v>1113</v>
      </c>
      <c r="G422" s="96">
        <v>1012</v>
      </c>
      <c r="H422" s="96">
        <v>1713</v>
      </c>
      <c r="I422" s="96">
        <v>1600</v>
      </c>
      <c r="J422" s="96">
        <v>1763</v>
      </c>
      <c r="K422" s="955">
        <v>1866</v>
      </c>
      <c r="L422" s="407"/>
    </row>
    <row r="423" spans="1:12" ht="16.5" thickBot="1" x14ac:dyDescent="0.3">
      <c r="A423" s="1429"/>
      <c r="B423" s="1355"/>
      <c r="C423" s="1577" t="s">
        <v>270</v>
      </c>
      <c r="D423" s="1634"/>
      <c r="E423" s="360"/>
      <c r="F423" s="435">
        <f t="shared" ref="F423:H423" si="39">F422/F420*100</f>
        <v>61.525704809286893</v>
      </c>
      <c r="G423" s="435">
        <f t="shared" si="39"/>
        <v>48.282442748091604</v>
      </c>
      <c r="H423" s="435">
        <f t="shared" si="39"/>
        <v>51.534296028880867</v>
      </c>
      <c r="I423" s="435">
        <f>I422/I420*100</f>
        <v>53.032814053695724</v>
      </c>
      <c r="J423" s="435">
        <f t="shared" ref="J423:K423" si="40">J422/J420*100</f>
        <v>52.098108747044911</v>
      </c>
      <c r="K423" s="435">
        <f t="shared" si="40"/>
        <v>51.876563803169304</v>
      </c>
      <c r="L423" s="558"/>
    </row>
    <row r="424" spans="1:12" s="11" customFormat="1" ht="14.85" customHeight="1" x14ac:dyDescent="0.25">
      <c r="A424" s="1429"/>
      <c r="B424" s="1355"/>
      <c r="C424" s="1159" t="s">
        <v>523</v>
      </c>
      <c r="D424" s="248" t="s">
        <v>251</v>
      </c>
      <c r="E424" s="249"/>
      <c r="F424" s="250">
        <v>180</v>
      </c>
      <c r="G424" s="250">
        <v>144</v>
      </c>
      <c r="H424" s="250">
        <v>240</v>
      </c>
      <c r="I424" s="250">
        <v>237</v>
      </c>
      <c r="J424" s="250">
        <v>262</v>
      </c>
      <c r="K424" s="36">
        <v>370</v>
      </c>
      <c r="L424" s="20"/>
    </row>
    <row r="425" spans="1:12" s="11" customFormat="1" x14ac:dyDescent="0.25">
      <c r="A425" s="1429"/>
      <c r="B425" s="1355"/>
      <c r="C425" s="1160"/>
      <c r="D425" s="28" t="s">
        <v>257</v>
      </c>
      <c r="E425" s="94"/>
      <c r="F425" s="80">
        <v>49</v>
      </c>
      <c r="G425" s="80">
        <v>56</v>
      </c>
      <c r="H425" s="80">
        <v>96</v>
      </c>
      <c r="I425" s="80">
        <v>88</v>
      </c>
      <c r="J425" s="80">
        <v>108</v>
      </c>
      <c r="K425" s="956">
        <v>164</v>
      </c>
      <c r="L425" s="21"/>
    </row>
    <row r="426" spans="1:12" s="11" customFormat="1" x14ac:dyDescent="0.25">
      <c r="A426" s="1429"/>
      <c r="B426" s="1355"/>
      <c r="C426" s="1160"/>
      <c r="D426" s="28" t="s">
        <v>263</v>
      </c>
      <c r="E426" s="94"/>
      <c r="F426" s="80">
        <v>131</v>
      </c>
      <c r="G426" s="80">
        <v>88</v>
      </c>
      <c r="H426" s="80">
        <v>144</v>
      </c>
      <c r="I426" s="80">
        <v>149</v>
      </c>
      <c r="J426" s="80">
        <v>154</v>
      </c>
      <c r="K426" s="956">
        <v>206</v>
      </c>
      <c r="L426" s="21"/>
    </row>
    <row r="427" spans="1:12" s="64" customFormat="1" ht="16.5" thickBot="1" x14ac:dyDescent="0.3">
      <c r="A427" s="1429"/>
      <c r="B427" s="1355"/>
      <c r="C427" s="1519"/>
      <c r="D427" s="336" t="s">
        <v>270</v>
      </c>
      <c r="E427" s="128"/>
      <c r="F427" s="594">
        <f>(F426*100)/F424</f>
        <v>72.777777777777771</v>
      </c>
      <c r="G427" s="594">
        <f t="shared" ref="G427:K427" si="41">(G426*100)/G424</f>
        <v>61.111111111111114</v>
      </c>
      <c r="H427" s="594">
        <f t="shared" si="41"/>
        <v>60</v>
      </c>
      <c r="I427" s="594">
        <f t="shared" si="41"/>
        <v>62.869198312236286</v>
      </c>
      <c r="J427" s="595">
        <f t="shared" si="41"/>
        <v>58.778625954198475</v>
      </c>
      <c r="K427" s="595">
        <f t="shared" si="41"/>
        <v>55.675675675675677</v>
      </c>
      <c r="L427" s="352"/>
    </row>
    <row r="428" spans="1:12" s="11" customFormat="1" ht="14.85" customHeight="1" x14ac:dyDescent="0.25">
      <c r="A428" s="1429"/>
      <c r="B428" s="1355"/>
      <c r="C428" s="1159" t="s">
        <v>465</v>
      </c>
      <c r="D428" s="248" t="s">
        <v>251</v>
      </c>
      <c r="E428" s="249"/>
      <c r="F428" s="250">
        <v>162</v>
      </c>
      <c r="G428" s="250">
        <v>264</v>
      </c>
      <c r="H428" s="250">
        <v>700</v>
      </c>
      <c r="I428" s="250">
        <v>696</v>
      </c>
      <c r="J428" s="250">
        <v>698</v>
      </c>
      <c r="K428" s="36">
        <v>620</v>
      </c>
      <c r="L428" s="20"/>
    </row>
    <row r="429" spans="1:12" s="11" customFormat="1" x14ac:dyDescent="0.25">
      <c r="A429" s="1429"/>
      <c r="B429" s="1355"/>
      <c r="C429" s="1160"/>
      <c r="D429" s="28" t="s">
        <v>257</v>
      </c>
      <c r="E429" s="94"/>
      <c r="F429" s="80">
        <v>46</v>
      </c>
      <c r="G429" s="80">
        <v>89</v>
      </c>
      <c r="H429" s="80">
        <v>217</v>
      </c>
      <c r="I429" s="80">
        <v>235</v>
      </c>
      <c r="J429" s="80">
        <v>235</v>
      </c>
      <c r="K429" s="28">
        <v>238</v>
      </c>
      <c r="L429" s="21"/>
    </row>
    <row r="430" spans="1:12" s="11" customFormat="1" x14ac:dyDescent="0.25">
      <c r="A430" s="1429"/>
      <c r="B430" s="1355"/>
      <c r="C430" s="1160"/>
      <c r="D430" s="28" t="s">
        <v>263</v>
      </c>
      <c r="E430" s="94"/>
      <c r="F430" s="80">
        <v>116</v>
      </c>
      <c r="G430" s="80">
        <v>175</v>
      </c>
      <c r="H430" s="80">
        <v>483</v>
      </c>
      <c r="I430" s="80">
        <v>461</v>
      </c>
      <c r="J430" s="80">
        <v>463</v>
      </c>
      <c r="K430" s="28">
        <v>382</v>
      </c>
      <c r="L430" s="21"/>
    </row>
    <row r="431" spans="1:12" s="64" customFormat="1" ht="16.5" thickBot="1" x14ac:dyDescent="0.3">
      <c r="A431" s="1429"/>
      <c r="B431" s="1355"/>
      <c r="C431" s="1519"/>
      <c r="D431" s="336" t="s">
        <v>270</v>
      </c>
      <c r="E431" s="128"/>
      <c r="F431" s="594">
        <f>(F430*100)/F428</f>
        <v>71.604938271604937</v>
      </c>
      <c r="G431" s="594">
        <f t="shared" ref="G431:K431" si="42">(G430*100)/G428</f>
        <v>66.287878787878782</v>
      </c>
      <c r="H431" s="594">
        <f t="shared" si="42"/>
        <v>69</v>
      </c>
      <c r="I431" s="594">
        <f t="shared" si="42"/>
        <v>66.235632183908052</v>
      </c>
      <c r="J431" s="594">
        <f t="shared" si="42"/>
        <v>66.332378223495695</v>
      </c>
      <c r="K431" s="594">
        <f t="shared" si="42"/>
        <v>61.612903225806448</v>
      </c>
      <c r="L431" s="352"/>
    </row>
    <row r="432" spans="1:12" s="11" customFormat="1" ht="14.85" customHeight="1" x14ac:dyDescent="0.25">
      <c r="A432" s="1429"/>
      <c r="B432" s="1355"/>
      <c r="C432" s="1159" t="s">
        <v>524</v>
      </c>
      <c r="D432" s="248" t="s">
        <v>251</v>
      </c>
      <c r="E432" s="249"/>
      <c r="F432" s="250">
        <v>68</v>
      </c>
      <c r="G432" s="250">
        <v>132</v>
      </c>
      <c r="H432" s="250">
        <v>392</v>
      </c>
      <c r="I432" s="250">
        <v>338</v>
      </c>
      <c r="J432" s="250">
        <v>500</v>
      </c>
      <c r="K432" s="36">
        <v>612</v>
      </c>
      <c r="L432" s="20"/>
    </row>
    <row r="433" spans="1:12" s="11" customFormat="1" x14ac:dyDescent="0.25">
      <c r="A433" s="1429"/>
      <c r="B433" s="1355"/>
      <c r="C433" s="1160"/>
      <c r="D433" s="28" t="s">
        <v>257</v>
      </c>
      <c r="E433" s="94"/>
      <c r="F433" s="80">
        <v>53</v>
      </c>
      <c r="G433" s="80">
        <v>121</v>
      </c>
      <c r="H433" s="80">
        <v>332</v>
      </c>
      <c r="I433" s="80">
        <v>287</v>
      </c>
      <c r="J433" s="80">
        <v>427</v>
      </c>
      <c r="K433" s="956">
        <v>484</v>
      </c>
      <c r="L433" s="21"/>
    </row>
    <row r="434" spans="1:12" s="11" customFormat="1" x14ac:dyDescent="0.25">
      <c r="A434" s="1429"/>
      <c r="B434" s="1355"/>
      <c r="C434" s="1160"/>
      <c r="D434" s="28" t="s">
        <v>263</v>
      </c>
      <c r="E434" s="94"/>
      <c r="F434" s="80">
        <v>15</v>
      </c>
      <c r="G434" s="80">
        <v>11</v>
      </c>
      <c r="H434" s="80">
        <v>60</v>
      </c>
      <c r="I434" s="80">
        <v>51</v>
      </c>
      <c r="J434" s="80">
        <v>73</v>
      </c>
      <c r="K434" s="956">
        <v>128</v>
      </c>
      <c r="L434" s="21"/>
    </row>
    <row r="435" spans="1:12" s="64" customFormat="1" ht="16.5" thickBot="1" x14ac:dyDescent="0.3">
      <c r="A435" s="1429"/>
      <c r="B435" s="1355"/>
      <c r="C435" s="1161"/>
      <c r="D435" s="203" t="s">
        <v>270</v>
      </c>
      <c r="E435" s="106"/>
      <c r="F435" s="253">
        <f>(F434*100)/F432</f>
        <v>22.058823529411764</v>
      </c>
      <c r="G435" s="253">
        <f t="shared" ref="G435:K435" si="43">(G434*100)/G432</f>
        <v>8.3333333333333339</v>
      </c>
      <c r="H435" s="253">
        <f t="shared" si="43"/>
        <v>15.306122448979592</v>
      </c>
      <c r="I435" s="253">
        <f t="shared" si="43"/>
        <v>15.088757396449704</v>
      </c>
      <c r="J435" s="253">
        <f t="shared" si="43"/>
        <v>14.6</v>
      </c>
      <c r="K435" s="253">
        <f t="shared" si="43"/>
        <v>20.915032679738562</v>
      </c>
      <c r="L435" s="204"/>
    </row>
    <row r="436" spans="1:12" s="11" customFormat="1" ht="14.85" customHeight="1" x14ac:dyDescent="0.25">
      <c r="A436" s="1429"/>
      <c r="B436" s="1355"/>
      <c r="C436" s="1159" t="s">
        <v>556</v>
      </c>
      <c r="D436" s="248" t="s">
        <v>251</v>
      </c>
      <c r="E436" s="249"/>
      <c r="F436" s="250">
        <v>355</v>
      </c>
      <c r="G436" s="250">
        <v>252</v>
      </c>
      <c r="H436" s="250">
        <v>253</v>
      </c>
      <c r="I436" s="250">
        <v>267</v>
      </c>
      <c r="J436" s="250">
        <v>342</v>
      </c>
      <c r="K436" s="36">
        <v>381</v>
      </c>
      <c r="L436" s="20"/>
    </row>
    <row r="437" spans="1:12" s="11" customFormat="1" x14ac:dyDescent="0.25">
      <c r="A437" s="1429"/>
      <c r="B437" s="1355"/>
      <c r="C437" s="1160"/>
      <c r="D437" s="28" t="s">
        <v>257</v>
      </c>
      <c r="E437" s="94"/>
      <c r="F437" s="80">
        <v>21</v>
      </c>
      <c r="G437" s="80">
        <v>18</v>
      </c>
      <c r="H437" s="80">
        <v>14</v>
      </c>
      <c r="I437" s="80">
        <v>18</v>
      </c>
      <c r="J437" s="80">
        <v>35</v>
      </c>
      <c r="K437" s="956">
        <v>36</v>
      </c>
      <c r="L437" s="21"/>
    </row>
    <row r="438" spans="1:12" s="11" customFormat="1" x14ac:dyDescent="0.25">
      <c r="A438" s="1429"/>
      <c r="B438" s="1355"/>
      <c r="C438" s="1160"/>
      <c r="D438" s="28" t="s">
        <v>263</v>
      </c>
      <c r="E438" s="94"/>
      <c r="F438" s="80">
        <v>334</v>
      </c>
      <c r="G438" s="80">
        <v>234</v>
      </c>
      <c r="H438" s="80">
        <v>239</v>
      </c>
      <c r="I438" s="80">
        <v>249</v>
      </c>
      <c r="J438" s="80">
        <v>307</v>
      </c>
      <c r="K438" s="956">
        <v>345</v>
      </c>
      <c r="L438" s="21"/>
    </row>
    <row r="439" spans="1:12" s="64" customFormat="1" ht="16.5" thickBot="1" x14ac:dyDescent="0.3">
      <c r="A439" s="1429"/>
      <c r="B439" s="1355"/>
      <c r="C439" s="1161"/>
      <c r="D439" s="203" t="s">
        <v>270</v>
      </c>
      <c r="E439" s="106"/>
      <c r="F439" s="251">
        <f>(F438*100)/F436</f>
        <v>94.08450704225352</v>
      </c>
      <c r="G439" s="251">
        <f>(G438*100)/G436</f>
        <v>92.857142857142861</v>
      </c>
      <c r="H439" s="251">
        <f t="shared" ref="H439:K439" si="44">(H438*100)/H436</f>
        <v>94.466403162055343</v>
      </c>
      <c r="I439" s="251">
        <f t="shared" si="44"/>
        <v>93.258426966292134</v>
      </c>
      <c r="J439" s="251">
        <f t="shared" si="44"/>
        <v>89.766081871345023</v>
      </c>
      <c r="K439" s="251">
        <f t="shared" si="44"/>
        <v>90.551181102362207</v>
      </c>
      <c r="L439" s="204"/>
    </row>
    <row r="440" spans="1:12" s="11" customFormat="1" ht="14.85" customHeight="1" x14ac:dyDescent="0.25">
      <c r="A440" s="1429"/>
      <c r="B440" s="1355"/>
      <c r="C440" s="1159" t="s">
        <v>526</v>
      </c>
      <c r="D440" s="248" t="s">
        <v>251</v>
      </c>
      <c r="E440" s="249"/>
      <c r="F440" s="344">
        <v>172</v>
      </c>
      <c r="G440" s="250">
        <v>174</v>
      </c>
      <c r="H440" s="250">
        <v>216</v>
      </c>
      <c r="I440" s="250">
        <v>195</v>
      </c>
      <c r="J440" s="250">
        <v>188</v>
      </c>
      <c r="K440" s="36">
        <v>185</v>
      </c>
      <c r="L440" s="20"/>
    </row>
    <row r="441" spans="1:12" s="11" customFormat="1" x14ac:dyDescent="0.25">
      <c r="A441" s="1429"/>
      <c r="B441" s="1355"/>
      <c r="C441" s="1160"/>
      <c r="D441" s="28" t="s">
        <v>257</v>
      </c>
      <c r="E441" s="94"/>
      <c r="F441" s="181">
        <v>92</v>
      </c>
      <c r="G441" s="80">
        <v>92</v>
      </c>
      <c r="H441" s="80">
        <v>101</v>
      </c>
      <c r="I441" s="80">
        <v>75</v>
      </c>
      <c r="J441" s="80">
        <v>72</v>
      </c>
      <c r="K441" s="28">
        <v>62</v>
      </c>
      <c r="L441" s="21"/>
    </row>
    <row r="442" spans="1:12" s="11" customFormat="1" x14ac:dyDescent="0.25">
      <c r="A442" s="1429"/>
      <c r="B442" s="1355"/>
      <c r="C442" s="1160"/>
      <c r="D442" s="28" t="s">
        <v>263</v>
      </c>
      <c r="E442" s="94"/>
      <c r="F442" s="181">
        <v>80</v>
      </c>
      <c r="G442" s="80">
        <v>82</v>
      </c>
      <c r="H442" s="80">
        <v>115</v>
      </c>
      <c r="I442" s="80">
        <v>120</v>
      </c>
      <c r="J442" s="80">
        <v>116</v>
      </c>
      <c r="K442" s="28">
        <v>123</v>
      </c>
      <c r="L442" s="21"/>
    </row>
    <row r="443" spans="1:12" s="64" customFormat="1" ht="16.5" thickBot="1" x14ac:dyDescent="0.3">
      <c r="A443" s="1429"/>
      <c r="B443" s="1355"/>
      <c r="C443" s="1161"/>
      <c r="D443" s="203" t="s">
        <v>270</v>
      </c>
      <c r="E443" s="106"/>
      <c r="F443" s="252">
        <f>(F442*100)/F440</f>
        <v>46.511627906976742</v>
      </c>
      <c r="G443" s="252">
        <f t="shared" ref="G443:K443" si="45">(G442*100)/G440</f>
        <v>47.126436781609193</v>
      </c>
      <c r="H443" s="252">
        <f t="shared" si="45"/>
        <v>53.24074074074074</v>
      </c>
      <c r="I443" s="251">
        <f t="shared" si="45"/>
        <v>61.53846153846154</v>
      </c>
      <c r="J443" s="251">
        <f t="shared" si="45"/>
        <v>61.702127659574465</v>
      </c>
      <c r="K443" s="251">
        <f t="shared" si="45"/>
        <v>66.486486486486484</v>
      </c>
      <c r="L443" s="204"/>
    </row>
    <row r="444" spans="1:12" s="11" customFormat="1" ht="14.85" customHeight="1" x14ac:dyDescent="0.25">
      <c r="A444" s="1429"/>
      <c r="B444" s="1355"/>
      <c r="C444" s="1159" t="s">
        <v>528</v>
      </c>
      <c r="D444" s="248" t="s">
        <v>251</v>
      </c>
      <c r="E444" s="249"/>
      <c r="F444" s="250">
        <v>95</v>
      </c>
      <c r="G444" s="250">
        <v>143</v>
      </c>
      <c r="H444" s="250">
        <v>240</v>
      </c>
      <c r="I444" s="250">
        <v>212</v>
      </c>
      <c r="J444" s="250">
        <v>215</v>
      </c>
      <c r="K444" s="36">
        <v>213</v>
      </c>
      <c r="L444" s="20"/>
    </row>
    <row r="445" spans="1:12" s="11" customFormat="1" x14ac:dyDescent="0.25">
      <c r="A445" s="1429"/>
      <c r="B445" s="1355"/>
      <c r="C445" s="1160"/>
      <c r="D445" s="28" t="s">
        <v>257</v>
      </c>
      <c r="E445" s="94"/>
      <c r="F445" s="236">
        <v>10</v>
      </c>
      <c r="G445" s="236">
        <v>24</v>
      </c>
      <c r="H445" s="236">
        <v>34</v>
      </c>
      <c r="I445" s="236">
        <v>42</v>
      </c>
      <c r="J445" s="236">
        <v>42</v>
      </c>
      <c r="K445" s="956">
        <v>50</v>
      </c>
      <c r="L445" s="21"/>
    </row>
    <row r="446" spans="1:12" s="11" customFormat="1" x14ac:dyDescent="0.25">
      <c r="A446" s="1429"/>
      <c r="B446" s="1355"/>
      <c r="C446" s="1160"/>
      <c r="D446" s="28" t="s">
        <v>263</v>
      </c>
      <c r="E446" s="94"/>
      <c r="F446" s="236">
        <v>85</v>
      </c>
      <c r="G446" s="236">
        <v>119</v>
      </c>
      <c r="H446" s="236">
        <v>206</v>
      </c>
      <c r="I446" s="236">
        <v>170</v>
      </c>
      <c r="J446" s="236">
        <v>173</v>
      </c>
      <c r="K446" s="956">
        <v>163</v>
      </c>
      <c r="L446" s="21"/>
    </row>
    <row r="447" spans="1:12" s="64" customFormat="1" ht="16.5" thickBot="1" x14ac:dyDescent="0.3">
      <c r="A447" s="1429"/>
      <c r="B447" s="1355"/>
      <c r="C447" s="1519"/>
      <c r="D447" s="336" t="s">
        <v>270</v>
      </c>
      <c r="E447" s="128"/>
      <c r="F447" s="594">
        <f>(F446*100)/F444</f>
        <v>89.473684210526315</v>
      </c>
      <c r="G447" s="594">
        <f t="shared" ref="G447:K447" si="46">(G446*100)/G444</f>
        <v>83.216783216783213</v>
      </c>
      <c r="H447" s="594">
        <f t="shared" si="46"/>
        <v>85.833333333333329</v>
      </c>
      <c r="I447" s="594">
        <f t="shared" si="46"/>
        <v>80.188679245283012</v>
      </c>
      <c r="J447" s="594">
        <f t="shared" si="46"/>
        <v>80.465116279069761</v>
      </c>
      <c r="K447" s="594">
        <f t="shared" si="46"/>
        <v>76.525821596244128</v>
      </c>
      <c r="L447" s="352"/>
    </row>
    <row r="448" spans="1:12" s="11" customFormat="1" ht="14.85" customHeight="1" x14ac:dyDescent="0.25">
      <c r="A448" s="1429"/>
      <c r="B448" s="1355"/>
      <c r="C448" s="1159" t="s">
        <v>482</v>
      </c>
      <c r="D448" s="248" t="s">
        <v>251</v>
      </c>
      <c r="E448" s="249"/>
      <c r="F448" s="250">
        <v>360</v>
      </c>
      <c r="G448" s="250">
        <v>724</v>
      </c>
      <c r="H448" s="250">
        <v>808</v>
      </c>
      <c r="I448" s="250">
        <v>628</v>
      </c>
      <c r="J448" s="250">
        <v>652</v>
      </c>
      <c r="K448" s="36">
        <v>541</v>
      </c>
      <c r="L448" s="20"/>
    </row>
    <row r="449" spans="1:12" s="11" customFormat="1" x14ac:dyDescent="0.25">
      <c r="A449" s="1429"/>
      <c r="B449" s="1355"/>
      <c r="C449" s="1160"/>
      <c r="D449" s="28" t="s">
        <v>257</v>
      </c>
      <c r="E449" s="94"/>
      <c r="F449" s="80">
        <v>243</v>
      </c>
      <c r="G449" s="80">
        <v>548</v>
      </c>
      <c r="H449" s="80">
        <v>540</v>
      </c>
      <c r="I449" s="80">
        <v>423</v>
      </c>
      <c r="J449" s="80">
        <v>421</v>
      </c>
      <c r="K449" s="956">
        <v>354</v>
      </c>
      <c r="L449" s="21"/>
    </row>
    <row r="450" spans="1:12" s="11" customFormat="1" x14ac:dyDescent="0.25">
      <c r="A450" s="1429"/>
      <c r="B450" s="1355"/>
      <c r="C450" s="1160"/>
      <c r="D450" s="28" t="s">
        <v>263</v>
      </c>
      <c r="E450" s="94"/>
      <c r="F450" s="80">
        <v>117</v>
      </c>
      <c r="G450" s="80">
        <v>176</v>
      </c>
      <c r="H450" s="80">
        <v>268</v>
      </c>
      <c r="I450" s="80">
        <v>205</v>
      </c>
      <c r="J450" s="80">
        <v>231</v>
      </c>
      <c r="K450" s="956">
        <v>187</v>
      </c>
      <c r="L450" s="21"/>
    </row>
    <row r="451" spans="1:12" s="64" customFormat="1" ht="16.5" thickBot="1" x14ac:dyDescent="0.3">
      <c r="A451" s="1429"/>
      <c r="B451" s="1355"/>
      <c r="C451" s="1161"/>
      <c r="D451" s="203" t="s">
        <v>270</v>
      </c>
      <c r="E451" s="106"/>
      <c r="F451" s="253">
        <f>(F450*100)/F448</f>
        <v>32.5</v>
      </c>
      <c r="G451" s="253">
        <f t="shared" ref="G451:K451" si="47">(G450*100)/G448</f>
        <v>24.30939226519337</v>
      </c>
      <c r="H451" s="253">
        <f t="shared" si="47"/>
        <v>33.168316831683171</v>
      </c>
      <c r="I451" s="253">
        <f t="shared" si="47"/>
        <v>32.64331210191083</v>
      </c>
      <c r="J451" s="253">
        <f t="shared" si="47"/>
        <v>35.429447852760738</v>
      </c>
      <c r="K451" s="253">
        <f t="shared" si="47"/>
        <v>34.565619223659887</v>
      </c>
      <c r="L451" s="204"/>
    </row>
    <row r="452" spans="1:12" s="11" customFormat="1" ht="14.85" customHeight="1" x14ac:dyDescent="0.25">
      <c r="A452" s="1429"/>
      <c r="B452" s="1355"/>
      <c r="C452" s="1659" t="s">
        <v>552</v>
      </c>
      <c r="D452" s="241" t="s">
        <v>251</v>
      </c>
      <c r="E452" s="242"/>
      <c r="F452" s="243">
        <v>106</v>
      </c>
      <c r="G452" s="243">
        <v>25</v>
      </c>
      <c r="H452" s="243">
        <v>66</v>
      </c>
      <c r="I452" s="243">
        <v>58</v>
      </c>
      <c r="J452" s="243">
        <v>57</v>
      </c>
      <c r="K452" s="122">
        <v>57</v>
      </c>
      <c r="L452" s="87"/>
    </row>
    <row r="453" spans="1:12" s="11" customFormat="1" x14ac:dyDescent="0.25">
      <c r="A453" s="1429"/>
      <c r="B453" s="1355"/>
      <c r="C453" s="1160"/>
      <c r="D453" s="28" t="s">
        <v>257</v>
      </c>
      <c r="E453" s="94"/>
      <c r="F453" s="80">
        <v>2</v>
      </c>
      <c r="G453" s="80">
        <v>1</v>
      </c>
      <c r="H453" s="80">
        <v>4</v>
      </c>
      <c r="I453" s="80">
        <v>4</v>
      </c>
      <c r="J453" s="80">
        <v>5</v>
      </c>
      <c r="K453" s="956">
        <v>3</v>
      </c>
      <c r="L453" s="21"/>
    </row>
    <row r="454" spans="1:12" s="11" customFormat="1" x14ac:dyDescent="0.25">
      <c r="A454" s="1429"/>
      <c r="B454" s="1355"/>
      <c r="C454" s="1160"/>
      <c r="D454" s="28" t="s">
        <v>263</v>
      </c>
      <c r="E454" s="94"/>
      <c r="F454" s="80">
        <v>104</v>
      </c>
      <c r="G454" s="80">
        <v>25</v>
      </c>
      <c r="H454" s="80">
        <v>62</v>
      </c>
      <c r="I454" s="80">
        <v>54</v>
      </c>
      <c r="J454" s="80">
        <v>52</v>
      </c>
      <c r="K454" s="956">
        <v>54</v>
      </c>
      <c r="L454" s="21"/>
    </row>
    <row r="455" spans="1:12" s="64" customFormat="1" ht="16.5" thickBot="1" x14ac:dyDescent="0.3">
      <c r="A455" s="1429"/>
      <c r="B455" s="1355"/>
      <c r="C455" s="1519"/>
      <c r="D455" s="336" t="s">
        <v>270</v>
      </c>
      <c r="E455" s="128"/>
      <c r="F455" s="594">
        <f t="shared" ref="F455:K455" si="48">(F454*100)/F452</f>
        <v>98.113207547169807</v>
      </c>
      <c r="G455" s="594">
        <f t="shared" si="48"/>
        <v>100</v>
      </c>
      <c r="H455" s="594">
        <f t="shared" si="48"/>
        <v>93.939393939393938</v>
      </c>
      <c r="I455" s="594">
        <f t="shared" si="48"/>
        <v>93.103448275862064</v>
      </c>
      <c r="J455" s="594">
        <f t="shared" si="48"/>
        <v>91.228070175438603</v>
      </c>
      <c r="K455" s="594">
        <f t="shared" si="48"/>
        <v>94.736842105263165</v>
      </c>
      <c r="L455" s="352"/>
    </row>
    <row r="456" spans="1:12" s="11" customFormat="1" ht="14.85" customHeight="1" x14ac:dyDescent="0.25">
      <c r="A456" s="1429"/>
      <c r="B456" s="1355"/>
      <c r="C456" s="1159" t="s">
        <v>480</v>
      </c>
      <c r="D456" s="248" t="s">
        <v>251</v>
      </c>
      <c r="E456" s="249"/>
      <c r="F456" s="250">
        <v>70</v>
      </c>
      <c r="G456" s="250">
        <v>9</v>
      </c>
      <c r="H456" s="250"/>
      <c r="I456" s="250"/>
      <c r="J456" s="250"/>
      <c r="K456" s="36"/>
      <c r="L456" s="20"/>
    </row>
    <row r="457" spans="1:12" s="11" customFormat="1" x14ac:dyDescent="0.25">
      <c r="A457" s="1429"/>
      <c r="B457" s="1355"/>
      <c r="C457" s="1160"/>
      <c r="D457" s="28" t="s">
        <v>257</v>
      </c>
      <c r="E457" s="94"/>
      <c r="F457" s="80">
        <v>27</v>
      </c>
      <c r="G457" s="80">
        <v>3</v>
      </c>
      <c r="H457" s="80"/>
      <c r="I457" s="80"/>
      <c r="J457" s="80"/>
      <c r="K457" s="28"/>
      <c r="L457" s="21"/>
    </row>
    <row r="458" spans="1:12" s="11" customFormat="1" x14ac:dyDescent="0.25">
      <c r="A458" s="1429"/>
      <c r="B458" s="1355"/>
      <c r="C458" s="1160"/>
      <c r="D458" s="28" t="s">
        <v>263</v>
      </c>
      <c r="E458" s="94"/>
      <c r="F458" s="80">
        <v>43</v>
      </c>
      <c r="G458" s="80">
        <v>6</v>
      </c>
      <c r="H458" s="80"/>
      <c r="I458" s="80"/>
      <c r="J458" s="80"/>
      <c r="K458" s="28"/>
      <c r="L458" s="21"/>
    </row>
    <row r="459" spans="1:12" s="64" customFormat="1" ht="16.5" thickBot="1" x14ac:dyDescent="0.3">
      <c r="A459" s="1429"/>
      <c r="B459" s="1355"/>
      <c r="C459" s="1519"/>
      <c r="D459" s="336" t="s">
        <v>270</v>
      </c>
      <c r="E459" s="128"/>
      <c r="F459" s="594">
        <f t="shared" ref="F459:G459" si="49">(F458*100)/F456</f>
        <v>61.428571428571431</v>
      </c>
      <c r="G459" s="594">
        <f t="shared" si="49"/>
        <v>66.666666666666671</v>
      </c>
      <c r="H459" s="441"/>
      <c r="I459" s="441"/>
      <c r="J459" s="441"/>
      <c r="K459" s="336"/>
      <c r="L459" s="352"/>
    </row>
    <row r="460" spans="1:12" s="11" customFormat="1" ht="14.85" customHeight="1" x14ac:dyDescent="0.25">
      <c r="A460" s="1429"/>
      <c r="B460" s="1355"/>
      <c r="C460" s="1159" t="s">
        <v>530</v>
      </c>
      <c r="D460" s="248" t="s">
        <v>251</v>
      </c>
      <c r="E460" s="249"/>
      <c r="F460" s="250">
        <v>154</v>
      </c>
      <c r="G460" s="250">
        <v>95</v>
      </c>
      <c r="H460" s="250">
        <v>154</v>
      </c>
      <c r="I460" s="250">
        <v>143</v>
      </c>
      <c r="J460" s="250">
        <v>150</v>
      </c>
      <c r="K460" s="36">
        <v>138</v>
      </c>
      <c r="L460" s="20"/>
    </row>
    <row r="461" spans="1:12" s="11" customFormat="1" x14ac:dyDescent="0.25">
      <c r="A461" s="1429"/>
      <c r="B461" s="1355"/>
      <c r="C461" s="1160"/>
      <c r="D461" s="28" t="s">
        <v>257</v>
      </c>
      <c r="E461" s="94"/>
      <c r="F461" s="80">
        <v>101</v>
      </c>
      <c r="G461" s="80">
        <v>61</v>
      </c>
      <c r="H461" s="80">
        <v>106</v>
      </c>
      <c r="I461" s="80">
        <v>90</v>
      </c>
      <c r="J461" s="80">
        <v>89</v>
      </c>
      <c r="K461" s="28">
        <v>80</v>
      </c>
      <c r="L461" s="21"/>
    </row>
    <row r="462" spans="1:12" s="11" customFormat="1" x14ac:dyDescent="0.25">
      <c r="A462" s="1429"/>
      <c r="B462" s="1355"/>
      <c r="C462" s="1160"/>
      <c r="D462" s="28" t="s">
        <v>263</v>
      </c>
      <c r="E462" s="94"/>
      <c r="F462" s="80">
        <v>53</v>
      </c>
      <c r="G462" s="80">
        <v>34</v>
      </c>
      <c r="H462" s="80">
        <v>48</v>
      </c>
      <c r="I462" s="80">
        <v>53</v>
      </c>
      <c r="J462" s="80">
        <v>61</v>
      </c>
      <c r="K462" s="28">
        <v>58</v>
      </c>
      <c r="L462" s="21"/>
    </row>
    <row r="463" spans="1:12" s="64" customFormat="1" ht="16.5" thickBot="1" x14ac:dyDescent="0.3">
      <c r="A463" s="1429"/>
      <c r="B463" s="1355"/>
      <c r="C463" s="1519"/>
      <c r="D463" s="336" t="s">
        <v>270</v>
      </c>
      <c r="E463" s="128"/>
      <c r="F463" s="596">
        <f>(F462*100)/F460</f>
        <v>34.415584415584412</v>
      </c>
      <c r="G463" s="596">
        <f t="shared" ref="G463:K463" si="50">(G462*100)/G460</f>
        <v>35.789473684210527</v>
      </c>
      <c r="H463" s="596">
        <f t="shared" si="50"/>
        <v>31.168831168831169</v>
      </c>
      <c r="I463" s="596">
        <f t="shared" si="50"/>
        <v>37.06293706293706</v>
      </c>
      <c r="J463" s="595">
        <f t="shared" si="50"/>
        <v>40.666666666666664</v>
      </c>
      <c r="K463" s="595">
        <f t="shared" si="50"/>
        <v>42.028985507246375</v>
      </c>
      <c r="L463" s="352"/>
    </row>
    <row r="464" spans="1:12" s="11" customFormat="1" ht="14.85" customHeight="1" x14ac:dyDescent="0.25">
      <c r="A464" s="1429"/>
      <c r="B464" s="1355"/>
      <c r="C464" s="1159" t="s">
        <v>532</v>
      </c>
      <c r="D464" s="248" t="s">
        <v>251</v>
      </c>
      <c r="E464" s="249"/>
      <c r="F464" s="250">
        <v>87</v>
      </c>
      <c r="G464" s="250">
        <v>134</v>
      </c>
      <c r="H464" s="250">
        <v>193</v>
      </c>
      <c r="I464" s="250">
        <v>184</v>
      </c>
      <c r="J464" s="250">
        <v>267</v>
      </c>
      <c r="K464" s="36">
        <v>437</v>
      </c>
      <c r="L464" s="20"/>
    </row>
    <row r="465" spans="1:12" s="11" customFormat="1" x14ac:dyDescent="0.25">
      <c r="A465" s="1429"/>
      <c r="B465" s="1355"/>
      <c r="C465" s="1160"/>
      <c r="D465" s="28" t="s">
        <v>257</v>
      </c>
      <c r="E465" s="94"/>
      <c r="F465" s="80">
        <v>52</v>
      </c>
      <c r="G465" s="80">
        <v>71</v>
      </c>
      <c r="H465" s="80">
        <v>116</v>
      </c>
      <c r="I465" s="80">
        <v>108</v>
      </c>
      <c r="J465" s="80">
        <v>144</v>
      </c>
      <c r="K465" s="28">
        <v>224</v>
      </c>
      <c r="L465" s="21"/>
    </row>
    <row r="466" spans="1:12" s="11" customFormat="1" x14ac:dyDescent="0.25">
      <c r="A466" s="1429"/>
      <c r="B466" s="1355"/>
      <c r="C466" s="1160"/>
      <c r="D466" s="28" t="s">
        <v>263</v>
      </c>
      <c r="E466" s="94"/>
      <c r="F466" s="80">
        <v>35</v>
      </c>
      <c r="G466" s="80">
        <v>63</v>
      </c>
      <c r="H466" s="80">
        <v>77</v>
      </c>
      <c r="I466" s="80">
        <v>76</v>
      </c>
      <c r="J466" s="80">
        <v>123</v>
      </c>
      <c r="K466" s="28">
        <v>213</v>
      </c>
      <c r="L466" s="21"/>
    </row>
    <row r="467" spans="1:12" s="64" customFormat="1" ht="16.5" thickBot="1" x14ac:dyDescent="0.3">
      <c r="A467" s="1429"/>
      <c r="B467" s="1355"/>
      <c r="C467" s="1519"/>
      <c r="D467" s="336" t="s">
        <v>270</v>
      </c>
      <c r="E467" s="128"/>
      <c r="F467" s="595">
        <f>(F466*100)/F464</f>
        <v>40.229885057471265</v>
      </c>
      <c r="G467" s="595">
        <f t="shared" ref="G467:H467" si="51">(G466*100)/G464</f>
        <v>47.014925373134325</v>
      </c>
      <c r="H467" s="596">
        <f t="shared" si="51"/>
        <v>39.896373056994818</v>
      </c>
      <c r="I467" s="595">
        <f t="shared" ref="I467" si="52">(I466*100)/I464</f>
        <v>41.304347826086953</v>
      </c>
      <c r="J467" s="595">
        <f t="shared" ref="J467:K467" si="53">(J466*100)/J464</f>
        <v>46.067415730337082</v>
      </c>
      <c r="K467" s="595">
        <f t="shared" si="53"/>
        <v>48.741418764302061</v>
      </c>
      <c r="L467" s="352"/>
    </row>
    <row r="468" spans="1:12" s="11" customFormat="1" ht="14.85" customHeight="1" x14ac:dyDescent="0.25">
      <c r="A468" s="1429"/>
      <c r="B468" s="1355"/>
      <c r="C468" s="1159" t="s">
        <v>539</v>
      </c>
      <c r="D468" s="248" t="s">
        <v>251</v>
      </c>
      <c r="E468" s="249"/>
      <c r="F468" s="225"/>
      <c r="G468" s="225"/>
      <c r="H468" s="225">
        <v>62</v>
      </c>
      <c r="I468" s="225">
        <v>59</v>
      </c>
      <c r="J468" s="225">
        <v>53</v>
      </c>
      <c r="K468" s="36">
        <v>43</v>
      </c>
      <c r="L468" s="20"/>
    </row>
    <row r="469" spans="1:12" s="11" customFormat="1" x14ac:dyDescent="0.25">
      <c r="A469" s="1429"/>
      <c r="B469" s="1355"/>
      <c r="C469" s="1160"/>
      <c r="D469" s="28" t="s">
        <v>257</v>
      </c>
      <c r="E469" s="94"/>
      <c r="F469" s="96"/>
      <c r="G469" s="96"/>
      <c r="H469" s="96">
        <v>51</v>
      </c>
      <c r="I469" s="96">
        <v>47</v>
      </c>
      <c r="J469" s="96">
        <v>43</v>
      </c>
      <c r="K469" s="28">
        <v>36</v>
      </c>
      <c r="L469" s="21"/>
    </row>
    <row r="470" spans="1:12" s="11" customFormat="1" x14ac:dyDescent="0.25">
      <c r="A470" s="1429"/>
      <c r="B470" s="1355"/>
      <c r="C470" s="1160"/>
      <c r="D470" s="28" t="s">
        <v>263</v>
      </c>
      <c r="E470" s="94"/>
      <c r="F470" s="96"/>
      <c r="G470" s="96"/>
      <c r="H470" s="96">
        <v>11</v>
      </c>
      <c r="I470" s="96">
        <v>12</v>
      </c>
      <c r="J470" s="96">
        <v>10</v>
      </c>
      <c r="K470" s="28">
        <v>7</v>
      </c>
      <c r="L470" s="21"/>
    </row>
    <row r="471" spans="1:12" s="64" customFormat="1" ht="16.5" thickBot="1" x14ac:dyDescent="0.3">
      <c r="A471" s="1429"/>
      <c r="B471" s="1355"/>
      <c r="C471" s="1519"/>
      <c r="D471" s="336" t="s">
        <v>270</v>
      </c>
      <c r="E471" s="128"/>
      <c r="F471" s="441"/>
      <c r="G471" s="441"/>
      <c r="H471" s="442">
        <f>(H470*100)/H468</f>
        <v>17.741935483870968</v>
      </c>
      <c r="I471" s="442">
        <f t="shared" ref="I471:K471" si="54">(I470*100)/I468</f>
        <v>20.338983050847457</v>
      </c>
      <c r="J471" s="442">
        <f t="shared" si="54"/>
        <v>18.867924528301888</v>
      </c>
      <c r="K471" s="442">
        <f t="shared" si="54"/>
        <v>16.279069767441861</v>
      </c>
      <c r="L471" s="352"/>
    </row>
    <row r="472" spans="1:12" s="11" customFormat="1" x14ac:dyDescent="0.25">
      <c r="A472" s="1429"/>
      <c r="B472" s="1355"/>
      <c r="C472" s="1347" t="s">
        <v>548</v>
      </c>
      <c r="D472" s="308" t="s">
        <v>473</v>
      </c>
      <c r="E472" s="249"/>
      <c r="F472" s="261">
        <f>3/11*100</f>
        <v>27.27272727272727</v>
      </c>
      <c r="G472" s="261">
        <f>3/11*100</f>
        <v>27.27272727272727</v>
      </c>
      <c r="H472" s="261">
        <f>5/11*100</f>
        <v>45.454545454545453</v>
      </c>
      <c r="I472" s="261">
        <f>4/11*100</f>
        <v>36.363636363636367</v>
      </c>
      <c r="J472" s="261">
        <f>3/11*100</f>
        <v>27.27272727272727</v>
      </c>
      <c r="K472" s="261">
        <f>3/11*100</f>
        <v>27.27272727272727</v>
      </c>
      <c r="L472" s="20"/>
    </row>
    <row r="473" spans="1:12" s="11" customFormat="1" x14ac:dyDescent="0.25">
      <c r="A473" s="1429"/>
      <c r="B473" s="1355"/>
      <c r="C473" s="1348"/>
      <c r="D473" s="232" t="s">
        <v>474</v>
      </c>
      <c r="E473" s="94"/>
      <c r="F473" s="234">
        <f>6/11*100</f>
        <v>54.54545454545454</v>
      </c>
      <c r="G473" s="234">
        <f>6/11*100</f>
        <v>54.54545454545454</v>
      </c>
      <c r="H473" s="234">
        <v>45.454545454545453</v>
      </c>
      <c r="I473" s="234">
        <f>6/11*100</f>
        <v>54.54545454545454</v>
      </c>
      <c r="J473" s="234">
        <f>5/11*100</f>
        <v>45.454545454545453</v>
      </c>
      <c r="K473" s="234">
        <f>5/11*100</f>
        <v>45.454545454545453</v>
      </c>
      <c r="L473" s="21"/>
    </row>
    <row r="474" spans="1:12" s="11" customFormat="1" ht="16.5" thickBot="1" x14ac:dyDescent="0.3">
      <c r="A474" s="1429"/>
      <c r="B474" s="1356"/>
      <c r="C474" s="1506"/>
      <c r="D474" s="357" t="s">
        <v>475</v>
      </c>
      <c r="E474" s="126"/>
      <c r="F474" s="355">
        <f>2/11*100</f>
        <v>18.181818181818183</v>
      </c>
      <c r="G474" s="355">
        <f>2/11*100</f>
        <v>18.181818181818183</v>
      </c>
      <c r="H474" s="355">
        <f>1/11*100</f>
        <v>9.0909090909090917</v>
      </c>
      <c r="I474" s="355">
        <f>1/11*100</f>
        <v>9.0909090909090917</v>
      </c>
      <c r="J474" s="355">
        <f>3/10*100</f>
        <v>30</v>
      </c>
      <c r="K474" s="355">
        <f>3/11*100</f>
        <v>27.27272727272727</v>
      </c>
      <c r="L474" s="53"/>
    </row>
    <row r="475" spans="1:12" s="11" customFormat="1" ht="16.5" thickBot="1" x14ac:dyDescent="0.3">
      <c r="A475" s="1382"/>
      <c r="B475" s="697" t="s">
        <v>249</v>
      </c>
      <c r="C475" s="1129"/>
      <c r="D475" s="1129"/>
      <c r="E475" s="744" t="s">
        <v>442</v>
      </c>
      <c r="F475" s="744" t="s">
        <v>443</v>
      </c>
      <c r="G475" s="744" t="s">
        <v>444</v>
      </c>
      <c r="H475" s="744" t="s">
        <v>445</v>
      </c>
      <c r="I475" s="744" t="s">
        <v>446</v>
      </c>
      <c r="J475" s="744" t="s">
        <v>447</v>
      </c>
      <c r="K475" s="744" t="s">
        <v>448</v>
      </c>
      <c r="L475" s="745" t="s">
        <v>449</v>
      </c>
    </row>
    <row r="476" spans="1:12" ht="15" customHeight="1" x14ac:dyDescent="0.25">
      <c r="A476" s="1382"/>
      <c r="B476" s="1354" t="s">
        <v>219</v>
      </c>
      <c r="C476" s="1153" t="s">
        <v>459</v>
      </c>
      <c r="D476" s="1122"/>
      <c r="E476" s="122"/>
      <c r="F476" s="713"/>
      <c r="G476" s="713"/>
      <c r="H476" s="447">
        <v>147</v>
      </c>
      <c r="I476" s="447">
        <v>261</v>
      </c>
      <c r="J476" s="447">
        <v>291</v>
      </c>
      <c r="K476" s="447">
        <v>432</v>
      </c>
      <c r="L476" s="750"/>
    </row>
    <row r="477" spans="1:12" x14ac:dyDescent="0.25">
      <c r="A477" s="1382"/>
      <c r="B477" s="1355"/>
      <c r="C477" s="1148" t="s">
        <v>436</v>
      </c>
      <c r="D477" s="1124"/>
      <c r="E477" s="28"/>
      <c r="F477" s="187"/>
      <c r="G477" s="187"/>
      <c r="H477" s="358">
        <v>77</v>
      </c>
      <c r="I477" s="358">
        <v>126</v>
      </c>
      <c r="J477" s="358">
        <v>134</v>
      </c>
      <c r="K477" s="358">
        <v>243</v>
      </c>
      <c r="L477" s="407"/>
    </row>
    <row r="478" spans="1:12" x14ac:dyDescent="0.25">
      <c r="A478" s="1382"/>
      <c r="B478" s="1355"/>
      <c r="C478" s="1148" t="s">
        <v>437</v>
      </c>
      <c r="D478" s="1124"/>
      <c r="E478" s="96"/>
      <c r="F478" s="96"/>
      <c r="G478" s="96"/>
      <c r="H478" s="358">
        <v>70</v>
      </c>
      <c r="I478" s="358">
        <v>135</v>
      </c>
      <c r="J478" s="358">
        <v>157</v>
      </c>
      <c r="K478" s="358">
        <v>189</v>
      </c>
      <c r="L478" s="407"/>
    </row>
    <row r="479" spans="1:12" s="11" customFormat="1" x14ac:dyDescent="0.25">
      <c r="A479" s="1382"/>
      <c r="B479" s="1355"/>
      <c r="C479" s="1190" t="s">
        <v>353</v>
      </c>
      <c r="D479" s="1112"/>
      <c r="E479" s="157"/>
      <c r="F479" s="157"/>
      <c r="G479" s="157"/>
      <c r="H479" s="157">
        <f>H478-H477</f>
        <v>-7</v>
      </c>
      <c r="I479" s="157">
        <f>I478-I477</f>
        <v>9</v>
      </c>
      <c r="J479" s="157">
        <f>J478-J477</f>
        <v>23</v>
      </c>
      <c r="K479" s="157">
        <f>K478-K477</f>
        <v>-54</v>
      </c>
      <c r="L479" s="21"/>
    </row>
    <row r="480" spans="1:12" ht="16.5" thickBot="1" x14ac:dyDescent="0.3">
      <c r="A480" s="1382"/>
      <c r="B480" s="1355"/>
      <c r="C480" s="1177" t="s">
        <v>270</v>
      </c>
      <c r="D480" s="1178"/>
      <c r="E480" s="360"/>
      <c r="F480" s="360"/>
      <c r="G480" s="360"/>
      <c r="H480" s="423">
        <f>H478/H476*100</f>
        <v>47.619047619047613</v>
      </c>
      <c r="I480" s="597">
        <f>I478/I476*100</f>
        <v>51.724137931034484</v>
      </c>
      <c r="J480" s="597">
        <f>J478/J476*100</f>
        <v>53.951890034364261</v>
      </c>
      <c r="K480" s="423">
        <f>K478/K476*100</f>
        <v>43.75</v>
      </c>
      <c r="L480" s="558"/>
    </row>
    <row r="481" spans="1:12" ht="15" customHeight="1" x14ac:dyDescent="0.25">
      <c r="A481" s="1382"/>
      <c r="B481" s="1355"/>
      <c r="C481" s="1665" t="s">
        <v>484</v>
      </c>
      <c r="D481" s="1405"/>
      <c r="E481" s="225"/>
      <c r="F481" s="225"/>
      <c r="G481" s="225"/>
      <c r="H481" s="261">
        <v>0</v>
      </c>
      <c r="I481" s="261">
        <f>2/5*100</f>
        <v>40</v>
      </c>
      <c r="J481" s="261">
        <f>2/5*100</f>
        <v>40</v>
      </c>
      <c r="K481" s="315">
        <v>40</v>
      </c>
      <c r="L481" s="512"/>
    </row>
    <row r="482" spans="1:12" x14ac:dyDescent="0.25">
      <c r="A482" s="1382"/>
      <c r="B482" s="1355"/>
      <c r="C482" s="1190" t="s">
        <v>485</v>
      </c>
      <c r="D482" s="1112"/>
      <c r="E482" s="96"/>
      <c r="F482" s="96"/>
      <c r="G482" s="96"/>
      <c r="H482" s="235">
        <v>25</v>
      </c>
      <c r="I482" s="235">
        <f>1/5*100</f>
        <v>20</v>
      </c>
      <c r="J482" s="235">
        <f>2/5*100</f>
        <v>40</v>
      </c>
      <c r="K482" s="237">
        <v>20</v>
      </c>
      <c r="L482" s="407"/>
    </row>
    <row r="483" spans="1:12" ht="16.5" thickBot="1" x14ac:dyDescent="0.3">
      <c r="A483" s="1382"/>
      <c r="B483" s="1356"/>
      <c r="C483" s="1224" t="s">
        <v>486</v>
      </c>
      <c r="D483" s="1225"/>
      <c r="E483" s="190"/>
      <c r="F483" s="190"/>
      <c r="G483" s="190"/>
      <c r="H483" s="904">
        <v>75</v>
      </c>
      <c r="I483" s="904">
        <f>2/5*100</f>
        <v>40</v>
      </c>
      <c r="J483" s="904">
        <f>1/5*100</f>
        <v>20</v>
      </c>
      <c r="K483" s="256">
        <v>40</v>
      </c>
      <c r="L483" s="557"/>
    </row>
    <row r="484" spans="1:12" ht="16.5" thickBot="1" x14ac:dyDescent="0.3">
      <c r="A484" s="697" t="s">
        <v>248</v>
      </c>
      <c r="B484" s="951" t="s">
        <v>249</v>
      </c>
      <c r="C484" s="1664"/>
      <c r="D484" s="1664"/>
      <c r="E484" s="952">
        <v>2005</v>
      </c>
      <c r="F484" s="952">
        <v>2010</v>
      </c>
      <c r="G484" s="952">
        <v>2015</v>
      </c>
      <c r="H484" s="952">
        <v>2020</v>
      </c>
      <c r="I484" s="952">
        <v>2021</v>
      </c>
      <c r="J484" s="952">
        <v>2022</v>
      </c>
      <c r="K484" s="952">
        <v>2023</v>
      </c>
      <c r="L484" s="953">
        <v>2024</v>
      </c>
    </row>
    <row r="485" spans="1:12" ht="15" customHeight="1" x14ac:dyDescent="0.25">
      <c r="A485" s="1338" t="s">
        <v>487</v>
      </c>
      <c r="B485" s="1341" t="s">
        <v>227</v>
      </c>
      <c r="C485" s="1121" t="s">
        <v>435</v>
      </c>
      <c r="D485" s="1122"/>
      <c r="E485" s="122"/>
      <c r="F485" s="122"/>
      <c r="G485" s="122"/>
      <c r="H485" s="122"/>
      <c r="I485" s="122"/>
      <c r="J485" s="122"/>
      <c r="K485" s="192">
        <v>1010</v>
      </c>
      <c r="L485" s="1075">
        <v>1060</v>
      </c>
    </row>
    <row r="486" spans="1:12" x14ac:dyDescent="0.25">
      <c r="A486" s="1338"/>
      <c r="B486" s="1342"/>
      <c r="C486" s="1123" t="s">
        <v>533</v>
      </c>
      <c r="D486" s="1124"/>
      <c r="E486" s="28"/>
      <c r="F486" s="28"/>
      <c r="G486" s="28"/>
      <c r="H486" s="28"/>
      <c r="I486" s="28"/>
      <c r="J486" s="28"/>
      <c r="K486" s="28">
        <v>299</v>
      </c>
      <c r="L486" s="407">
        <v>315</v>
      </c>
    </row>
    <row r="487" spans="1:12" x14ac:dyDescent="0.25">
      <c r="A487" s="1338"/>
      <c r="B487" s="1342"/>
      <c r="C487" s="1123" t="s">
        <v>534</v>
      </c>
      <c r="D487" s="1124"/>
      <c r="E487" s="28"/>
      <c r="F487" s="28"/>
      <c r="G487" s="28"/>
      <c r="H487" s="28"/>
      <c r="I487" s="28"/>
      <c r="J487" s="28"/>
      <c r="K487" s="28">
        <v>711</v>
      </c>
      <c r="L487" s="407">
        <v>745</v>
      </c>
    </row>
    <row r="488" spans="1:12" s="11" customFormat="1" x14ac:dyDescent="0.25">
      <c r="A488" s="1338"/>
      <c r="B488" s="1342"/>
      <c r="C488" s="1127" t="s">
        <v>353</v>
      </c>
      <c r="D488" s="1128"/>
      <c r="E488" s="28"/>
      <c r="F488" s="28"/>
      <c r="G488" s="28"/>
      <c r="H488" s="28"/>
      <c r="I488" s="28"/>
      <c r="J488" s="28"/>
      <c r="K488" s="262">
        <f t="shared" ref="K488" si="55">K487-K486</f>
        <v>412</v>
      </c>
      <c r="L488" s="317">
        <v>430</v>
      </c>
    </row>
    <row r="489" spans="1:12" ht="16.5" thickBot="1" x14ac:dyDescent="0.3">
      <c r="A489" s="1338"/>
      <c r="B489" s="1660"/>
      <c r="C489" s="1353" t="s">
        <v>270</v>
      </c>
      <c r="D489" s="1178"/>
      <c r="E489" s="441"/>
      <c r="F489" s="441"/>
      <c r="G489" s="441"/>
      <c r="H489" s="441"/>
      <c r="I489" s="441"/>
      <c r="J489" s="441"/>
      <c r="K489" s="165">
        <f t="shared" ref="K489" si="56">K487/K485*100</f>
        <v>70.396039603960389</v>
      </c>
      <c r="L489" s="551">
        <v>70.283018867924525</v>
      </c>
    </row>
    <row r="490" spans="1:12" x14ac:dyDescent="0.25">
      <c r="A490" s="1338"/>
      <c r="B490" s="1341" t="s">
        <v>488</v>
      </c>
      <c r="C490" s="1406" t="s">
        <v>489</v>
      </c>
      <c r="D490" s="1405"/>
      <c r="E490" s="36"/>
      <c r="F490" s="40">
        <v>75</v>
      </c>
      <c r="G490" s="40">
        <v>84</v>
      </c>
      <c r="H490" s="40">
        <v>130</v>
      </c>
      <c r="I490" s="40"/>
      <c r="J490" s="40"/>
      <c r="K490" s="40">
        <v>159</v>
      </c>
      <c r="L490" s="1072">
        <v>49</v>
      </c>
    </row>
    <row r="491" spans="1:12" x14ac:dyDescent="0.25">
      <c r="A491" s="1338"/>
      <c r="B491" s="1342"/>
      <c r="C491" s="1111" t="s">
        <v>490</v>
      </c>
      <c r="D491" s="1112"/>
      <c r="E491" s="28"/>
      <c r="F491" s="44">
        <v>9</v>
      </c>
      <c r="G491" s="44">
        <v>5</v>
      </c>
      <c r="H491" s="44">
        <v>11</v>
      </c>
      <c r="I491" s="44"/>
      <c r="J491" s="44"/>
      <c r="K491" s="44">
        <v>13</v>
      </c>
      <c r="L491" s="1072">
        <v>2</v>
      </c>
    </row>
    <row r="492" spans="1:12" ht="16.5" thickBot="1" x14ac:dyDescent="0.3">
      <c r="A492" s="1338"/>
      <c r="B492" s="1660"/>
      <c r="C492" s="1277" t="s">
        <v>491</v>
      </c>
      <c r="D492" s="1142"/>
      <c r="E492" s="110"/>
      <c r="F492" s="165">
        <f>F491/F490*100</f>
        <v>12</v>
      </c>
      <c r="G492" s="165">
        <f t="shared" ref="G492:H492" si="57">G491/G490*100</f>
        <v>5.9523809523809517</v>
      </c>
      <c r="H492" s="165">
        <f t="shared" si="57"/>
        <v>8.4615384615384617</v>
      </c>
      <c r="I492" s="336"/>
      <c r="J492" s="336"/>
      <c r="K492" s="165">
        <f>K491/K490*100</f>
        <v>8.1761006289308167</v>
      </c>
      <c r="L492" s="859">
        <v>4.0816326530612246</v>
      </c>
    </row>
    <row r="493" spans="1:12" ht="16.5" thickBot="1" x14ac:dyDescent="0.3">
      <c r="A493" s="697" t="s">
        <v>248</v>
      </c>
      <c r="B493" s="712" t="s">
        <v>249</v>
      </c>
      <c r="C493" s="1501"/>
      <c r="D493" s="1501"/>
      <c r="E493" s="753">
        <v>2005</v>
      </c>
      <c r="F493" s="753">
        <v>2010</v>
      </c>
      <c r="G493" s="753">
        <v>2015</v>
      </c>
      <c r="H493" s="753">
        <v>2020</v>
      </c>
      <c r="I493" s="753">
        <v>2021</v>
      </c>
      <c r="J493" s="753">
        <v>2022</v>
      </c>
      <c r="K493" s="744">
        <v>2023</v>
      </c>
      <c r="L493" s="745">
        <v>2024</v>
      </c>
    </row>
    <row r="494" spans="1:12" ht="15" customHeight="1" x14ac:dyDescent="0.25">
      <c r="A494" s="1261" t="s">
        <v>492</v>
      </c>
      <c r="B494" s="1666" t="s">
        <v>493</v>
      </c>
      <c r="C494" s="1121" t="s">
        <v>459</v>
      </c>
      <c r="D494" s="1122"/>
      <c r="E494" s="122"/>
      <c r="F494" s="220">
        <v>1499</v>
      </c>
      <c r="G494" s="220">
        <v>1579</v>
      </c>
      <c r="H494" s="220">
        <v>1491</v>
      </c>
      <c r="I494" s="220">
        <v>2036</v>
      </c>
      <c r="J494" s="220">
        <v>2320</v>
      </c>
      <c r="K494" s="220">
        <v>2135</v>
      </c>
      <c r="L494" s="750">
        <v>2184</v>
      </c>
    </row>
    <row r="495" spans="1:12" x14ac:dyDescent="0.25">
      <c r="A495" s="1261"/>
      <c r="B495" s="1667"/>
      <c r="C495" s="1320" t="s">
        <v>436</v>
      </c>
      <c r="D495" s="28" t="s">
        <v>494</v>
      </c>
      <c r="E495" s="28"/>
      <c r="F495" s="96">
        <v>676</v>
      </c>
      <c r="G495" s="96">
        <v>763</v>
      </c>
      <c r="H495" s="96">
        <v>874</v>
      </c>
      <c r="I495" s="96">
        <v>1164</v>
      </c>
      <c r="J495" s="96">
        <v>1293</v>
      </c>
      <c r="K495" s="96">
        <v>1223</v>
      </c>
      <c r="L495" s="407">
        <v>1234</v>
      </c>
    </row>
    <row r="496" spans="1:12" x14ac:dyDescent="0.25">
      <c r="A496" s="1261"/>
      <c r="B496" s="1667"/>
      <c r="C496" s="1320"/>
      <c r="D496" s="28" t="s">
        <v>495</v>
      </c>
      <c r="E496" s="28"/>
      <c r="F496" s="96">
        <v>88</v>
      </c>
      <c r="G496" s="96">
        <v>101</v>
      </c>
      <c r="H496" s="96">
        <v>54</v>
      </c>
      <c r="I496" s="96">
        <v>100</v>
      </c>
      <c r="J496" s="96">
        <v>130</v>
      </c>
      <c r="K496" s="96">
        <v>119</v>
      </c>
      <c r="L496" s="407">
        <v>128</v>
      </c>
    </row>
    <row r="497" spans="1:12" x14ac:dyDescent="0.25">
      <c r="A497" s="1261"/>
      <c r="B497" s="1667"/>
      <c r="C497" s="1320" t="s">
        <v>437</v>
      </c>
      <c r="D497" s="28" t="s">
        <v>496</v>
      </c>
      <c r="E497" s="28"/>
      <c r="F497" s="96">
        <v>199</v>
      </c>
      <c r="G497" s="96">
        <v>214</v>
      </c>
      <c r="H497" s="96">
        <v>272</v>
      </c>
      <c r="I497" s="96">
        <v>369</v>
      </c>
      <c r="J497" s="96">
        <v>442</v>
      </c>
      <c r="K497" s="96">
        <v>356</v>
      </c>
      <c r="L497" s="407">
        <v>397</v>
      </c>
    </row>
    <row r="498" spans="1:12" ht="16.5" thickBot="1" x14ac:dyDescent="0.3">
      <c r="A498" s="1261"/>
      <c r="B498" s="1667"/>
      <c r="C498" s="1321"/>
      <c r="D498" s="33" t="s">
        <v>497</v>
      </c>
      <c r="E498" s="33"/>
      <c r="F498" s="190">
        <v>130</v>
      </c>
      <c r="G498" s="190">
        <v>135</v>
      </c>
      <c r="H498" s="190">
        <v>109</v>
      </c>
      <c r="I498" s="190">
        <v>145</v>
      </c>
      <c r="J498" s="190">
        <v>192</v>
      </c>
      <c r="K498" s="190">
        <v>164</v>
      </c>
      <c r="L498" s="557">
        <v>169</v>
      </c>
    </row>
    <row r="499" spans="1:12" x14ac:dyDescent="0.25">
      <c r="A499" s="1261"/>
      <c r="B499" s="1667"/>
      <c r="C499" s="1441" t="s">
        <v>353</v>
      </c>
      <c r="D499" s="40" t="s">
        <v>498</v>
      </c>
      <c r="E499" s="36"/>
      <c r="F499" s="81">
        <f t="shared" ref="F499:L499" si="58">+F497-F495</f>
        <v>-477</v>
      </c>
      <c r="G499" s="81">
        <f t="shared" si="58"/>
        <v>-549</v>
      </c>
      <c r="H499" s="81">
        <f t="shared" si="58"/>
        <v>-602</v>
      </c>
      <c r="I499" s="81">
        <f t="shared" si="58"/>
        <v>-795</v>
      </c>
      <c r="J499" s="81">
        <f t="shared" si="58"/>
        <v>-851</v>
      </c>
      <c r="K499" s="81">
        <f t="shared" si="58"/>
        <v>-867</v>
      </c>
      <c r="L499" s="81">
        <f t="shared" si="58"/>
        <v>-837</v>
      </c>
    </row>
    <row r="500" spans="1:12" x14ac:dyDescent="0.25">
      <c r="A500" s="1261"/>
      <c r="B500" s="1667"/>
      <c r="C500" s="1560"/>
      <c r="D500" s="44" t="s">
        <v>499</v>
      </c>
      <c r="E500" s="28"/>
      <c r="F500" s="79">
        <f t="shared" ref="F500:L500" si="59">F498-F496</f>
        <v>42</v>
      </c>
      <c r="G500" s="79">
        <f t="shared" si="59"/>
        <v>34</v>
      </c>
      <c r="H500" s="79">
        <f t="shared" si="59"/>
        <v>55</v>
      </c>
      <c r="I500" s="79">
        <f t="shared" si="59"/>
        <v>45</v>
      </c>
      <c r="J500" s="79">
        <f t="shared" si="59"/>
        <v>62</v>
      </c>
      <c r="K500" s="79">
        <f t="shared" si="59"/>
        <v>45</v>
      </c>
      <c r="L500" s="79">
        <f t="shared" si="59"/>
        <v>41</v>
      </c>
    </row>
    <row r="501" spans="1:12" s="11" customFormat="1" ht="16.5" customHeight="1" x14ac:dyDescent="0.25">
      <c r="A501" s="1261"/>
      <c r="B501" s="1667"/>
      <c r="C501" s="1560" t="s">
        <v>270</v>
      </c>
      <c r="D501" s="44" t="s">
        <v>500</v>
      </c>
      <c r="E501" s="28"/>
      <c r="F501" s="263">
        <f>+F497/(F497+F495)*100</f>
        <v>22.742857142857144</v>
      </c>
      <c r="G501" s="263">
        <f t="shared" ref="G501:L502" si="60">+G497/(G497+G495)*100</f>
        <v>21.903787103377688</v>
      </c>
      <c r="H501" s="263">
        <f t="shared" si="60"/>
        <v>23.734729493891798</v>
      </c>
      <c r="I501" s="263">
        <f t="shared" si="60"/>
        <v>24.070450097847356</v>
      </c>
      <c r="J501" s="263">
        <f t="shared" si="60"/>
        <v>25.475504322766568</v>
      </c>
      <c r="K501" s="263">
        <f t="shared" si="60"/>
        <v>22.545915136162129</v>
      </c>
      <c r="L501" s="263">
        <f t="shared" si="60"/>
        <v>24.340895156345802</v>
      </c>
    </row>
    <row r="502" spans="1:12" s="11" customFormat="1" ht="16.5" thickBot="1" x14ac:dyDescent="0.3">
      <c r="A502" s="1262"/>
      <c r="B502" s="1668"/>
      <c r="C502" s="1421"/>
      <c r="D502" s="203" t="s">
        <v>501</v>
      </c>
      <c r="E502" s="33"/>
      <c r="F502" s="230">
        <f>+F498/(F498+F496)*100</f>
        <v>59.633027522935777</v>
      </c>
      <c r="G502" s="230">
        <f t="shared" si="60"/>
        <v>57.203389830508478</v>
      </c>
      <c r="H502" s="230">
        <f t="shared" si="60"/>
        <v>66.871165644171782</v>
      </c>
      <c r="I502" s="230">
        <f t="shared" si="60"/>
        <v>59.183673469387756</v>
      </c>
      <c r="J502" s="230">
        <f t="shared" si="60"/>
        <v>59.627329192546583</v>
      </c>
      <c r="K502" s="230">
        <f t="shared" si="60"/>
        <v>57.950530035335689</v>
      </c>
      <c r="L502" s="230">
        <f t="shared" si="60"/>
        <v>56.9023569023569</v>
      </c>
    </row>
  </sheetData>
  <mergeCells count="236">
    <mergeCell ref="C495:C496"/>
    <mergeCell ref="C488:D488"/>
    <mergeCell ref="C501:C502"/>
    <mergeCell ref="A494:A502"/>
    <mergeCell ref="B494:B502"/>
    <mergeCell ref="A362:A483"/>
    <mergeCell ref="B362:B370"/>
    <mergeCell ref="C362:C364"/>
    <mergeCell ref="C365:C367"/>
    <mergeCell ref="C368:D368"/>
    <mergeCell ref="C369:D369"/>
    <mergeCell ref="C370:D370"/>
    <mergeCell ref="C420:D420"/>
    <mergeCell ref="C421:D421"/>
    <mergeCell ref="C422:D422"/>
    <mergeCell ref="C475:D475"/>
    <mergeCell ref="C476:D476"/>
    <mergeCell ref="C477:D477"/>
    <mergeCell ref="C478:D478"/>
    <mergeCell ref="B476:B483"/>
    <mergeCell ref="C372:D372"/>
    <mergeCell ref="C373:D373"/>
    <mergeCell ref="C497:C498"/>
    <mergeCell ref="C499:C500"/>
    <mergeCell ref="C428:C431"/>
    <mergeCell ref="C432:C435"/>
    <mergeCell ref="C436:C439"/>
    <mergeCell ref="C440:C443"/>
    <mergeCell ref="C416:C418"/>
    <mergeCell ref="C371:D371"/>
    <mergeCell ref="C483:D483"/>
    <mergeCell ref="B351:B360"/>
    <mergeCell ref="C484:D484"/>
    <mergeCell ref="C361:D361"/>
    <mergeCell ref="C480:D480"/>
    <mergeCell ref="C481:D481"/>
    <mergeCell ref="C482:D482"/>
    <mergeCell ref="C351:C353"/>
    <mergeCell ref="C354:C356"/>
    <mergeCell ref="C376:C379"/>
    <mergeCell ref="C380:C383"/>
    <mergeCell ref="C384:C387"/>
    <mergeCell ref="C479:D479"/>
    <mergeCell ref="C358:D358"/>
    <mergeCell ref="C359:D359"/>
    <mergeCell ref="C494:D494"/>
    <mergeCell ref="A485:A492"/>
    <mergeCell ref="B485:B489"/>
    <mergeCell ref="C485:D485"/>
    <mergeCell ref="C486:D486"/>
    <mergeCell ref="C487:D487"/>
    <mergeCell ref="C489:D489"/>
    <mergeCell ref="B490:B492"/>
    <mergeCell ref="C490:D490"/>
    <mergeCell ref="C491:D491"/>
    <mergeCell ref="C493:D493"/>
    <mergeCell ref="C492:D492"/>
    <mergeCell ref="A342:A349"/>
    <mergeCell ref="B342:B345"/>
    <mergeCell ref="B346:B349"/>
    <mergeCell ref="C346:D346"/>
    <mergeCell ref="C347:D347"/>
    <mergeCell ref="C348:D348"/>
    <mergeCell ref="C349:D349"/>
    <mergeCell ref="C444:C447"/>
    <mergeCell ref="C448:C451"/>
    <mergeCell ref="C404:C407"/>
    <mergeCell ref="C408:C411"/>
    <mergeCell ref="C412:C415"/>
    <mergeCell ref="B420:B474"/>
    <mergeCell ref="A351:A360"/>
    <mergeCell ref="B372:B418"/>
    <mergeCell ref="C472:C474"/>
    <mergeCell ref="C452:C455"/>
    <mergeCell ref="C456:C459"/>
    <mergeCell ref="C350:D350"/>
    <mergeCell ref="C360:D360"/>
    <mergeCell ref="C460:C463"/>
    <mergeCell ref="C464:C467"/>
    <mergeCell ref="C468:C471"/>
    <mergeCell ref="C424:C427"/>
    <mergeCell ref="A47:A315"/>
    <mergeCell ref="B47:B51"/>
    <mergeCell ref="C47:D47"/>
    <mergeCell ref="C48:D48"/>
    <mergeCell ref="C49:D49"/>
    <mergeCell ref="C50:D50"/>
    <mergeCell ref="C51:D51"/>
    <mergeCell ref="B52:B55"/>
    <mergeCell ref="C52:D52"/>
    <mergeCell ref="C53:D53"/>
    <mergeCell ref="C54:D54"/>
    <mergeCell ref="C55:D55"/>
    <mergeCell ref="C57:D57"/>
    <mergeCell ref="C58:D58"/>
    <mergeCell ref="C59:D59"/>
    <mergeCell ref="C60:D60"/>
    <mergeCell ref="B62:B315"/>
    <mergeCell ref="C62:C64"/>
    <mergeCell ref="C65:C68"/>
    <mergeCell ref="C69:C72"/>
    <mergeCell ref="C73:C76"/>
    <mergeCell ref="C77:C80"/>
    <mergeCell ref="C81:C84"/>
    <mergeCell ref="C85:C88"/>
    <mergeCell ref="A317:A340"/>
    <mergeCell ref="B317:B321"/>
    <mergeCell ref="C317:D317"/>
    <mergeCell ref="C318:D318"/>
    <mergeCell ref="C319:D319"/>
    <mergeCell ref="C320:D320"/>
    <mergeCell ref="C321:D321"/>
    <mergeCell ref="C322:D322"/>
    <mergeCell ref="C323:D323"/>
    <mergeCell ref="C324:D324"/>
    <mergeCell ref="C325:D325"/>
    <mergeCell ref="B322:B325"/>
    <mergeCell ref="B326:B335"/>
    <mergeCell ref="C326:C330"/>
    <mergeCell ref="C331:C335"/>
    <mergeCell ref="B336:B340"/>
    <mergeCell ref="C336:D336"/>
    <mergeCell ref="C337:D337"/>
    <mergeCell ref="C338:D338"/>
    <mergeCell ref="C339:D339"/>
    <mergeCell ref="C2:D2"/>
    <mergeCell ref="C32:D32"/>
    <mergeCell ref="C31:D31"/>
    <mergeCell ref="C30:D30"/>
    <mergeCell ref="C89:C92"/>
    <mergeCell ref="C93:C96"/>
    <mergeCell ref="C97:C100"/>
    <mergeCell ref="C101:C104"/>
    <mergeCell ref="C105:C108"/>
    <mergeCell ref="C6:D6"/>
    <mergeCell ref="C7:D7"/>
    <mergeCell ref="C20:C24"/>
    <mergeCell ref="C25:C29"/>
    <mergeCell ref="C61:D61"/>
    <mergeCell ref="C4:D4"/>
    <mergeCell ref="A3:A45"/>
    <mergeCell ref="C46:D46"/>
    <mergeCell ref="B36:B40"/>
    <mergeCell ref="C36:D36"/>
    <mergeCell ref="C37:D37"/>
    <mergeCell ref="C38:D38"/>
    <mergeCell ref="C39:D39"/>
    <mergeCell ref="C40:D40"/>
    <mergeCell ref="B31:B35"/>
    <mergeCell ref="C41:D41"/>
    <mergeCell ref="C42:D42"/>
    <mergeCell ref="C43:D43"/>
    <mergeCell ref="C44:D44"/>
    <mergeCell ref="C33:D33"/>
    <mergeCell ref="C34:D34"/>
    <mergeCell ref="C35:D35"/>
    <mergeCell ref="C45:D45"/>
    <mergeCell ref="B3:B7"/>
    <mergeCell ref="C3:D3"/>
    <mergeCell ref="C5:D5"/>
    <mergeCell ref="B8:B29"/>
    <mergeCell ref="C8:C13"/>
    <mergeCell ref="C14:C19"/>
    <mergeCell ref="C153:C156"/>
    <mergeCell ref="C157:C160"/>
    <mergeCell ref="C161:C164"/>
    <mergeCell ref="C165:C168"/>
    <mergeCell ref="C169:C172"/>
    <mergeCell ref="B41:B45"/>
    <mergeCell ref="B56:B60"/>
    <mergeCell ref="C56:D56"/>
    <mergeCell ref="C129:C132"/>
    <mergeCell ref="C133:C136"/>
    <mergeCell ref="C137:C140"/>
    <mergeCell ref="C141:C144"/>
    <mergeCell ref="C145:C148"/>
    <mergeCell ref="C149:C152"/>
    <mergeCell ref="C109:C112"/>
    <mergeCell ref="C113:C116"/>
    <mergeCell ref="C117:C120"/>
    <mergeCell ref="C121:C124"/>
    <mergeCell ref="C125:C128"/>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97:C300"/>
    <mergeCell ref="C301:C304"/>
    <mergeCell ref="C305:C308"/>
    <mergeCell ref="C261:C264"/>
    <mergeCell ref="C265:C268"/>
    <mergeCell ref="C269:C272"/>
    <mergeCell ref="C273:C276"/>
    <mergeCell ref="C277:C280"/>
    <mergeCell ref="C281:C284"/>
    <mergeCell ref="C285:C288"/>
    <mergeCell ref="C289:C292"/>
    <mergeCell ref="C293:C296"/>
    <mergeCell ref="C309:C312"/>
    <mergeCell ref="C313:D313"/>
    <mergeCell ref="C314:D314"/>
    <mergeCell ref="C315:D315"/>
    <mergeCell ref="C316:D316"/>
    <mergeCell ref="C341:D341"/>
    <mergeCell ref="C374:D374"/>
    <mergeCell ref="C375:D375"/>
    <mergeCell ref="C423:D423"/>
    <mergeCell ref="C419:D419"/>
    <mergeCell ref="C388:C391"/>
    <mergeCell ref="C392:C395"/>
    <mergeCell ref="C396:C399"/>
    <mergeCell ref="C400:C403"/>
    <mergeCell ref="C344:D344"/>
    <mergeCell ref="C345:D345"/>
    <mergeCell ref="C340:D340"/>
    <mergeCell ref="C357:D357"/>
    <mergeCell ref="C342:D342"/>
    <mergeCell ref="C343:D343"/>
  </mergeCells>
  <conditionalFormatting sqref="E349:F349">
    <cfRule type="cellIs" dxfId="940" priority="171" operator="lessThan">
      <formula>0</formula>
    </cfRule>
    <cfRule type="cellIs" dxfId="939" priority="172" operator="greaterThan">
      <formula>0</formula>
    </cfRule>
  </conditionalFormatting>
  <conditionalFormatting sqref="E39:L39">
    <cfRule type="cellIs" dxfId="938" priority="312" operator="greaterThan">
      <formula>1</formula>
    </cfRule>
    <cfRule type="cellIs" dxfId="937" priority="311" operator="lessThan">
      <formula>1</formula>
    </cfRule>
    <cfRule type="cellIs" dxfId="936" priority="310" operator="greaterThan">
      <formula>1</formula>
    </cfRule>
    <cfRule type="cellIs" dxfId="935" priority="309" operator="greaterThan">
      <formula>1</formula>
    </cfRule>
  </conditionalFormatting>
  <conditionalFormatting sqref="E40:L40">
    <cfRule type="cellIs" dxfId="934" priority="314" operator="greaterThan">
      <formula>50</formula>
    </cfRule>
    <cfRule type="cellIs" dxfId="933" priority="313" operator="lessThan">
      <formula>50</formula>
    </cfRule>
    <cfRule type="cellIs" dxfId="932" priority="308" operator="greaterThan">
      <formula>50</formula>
    </cfRule>
  </conditionalFormatting>
  <conditionalFormatting sqref="E44:L44">
    <cfRule type="cellIs" dxfId="931" priority="307" operator="greaterThan">
      <formula>1</formula>
    </cfRule>
    <cfRule type="cellIs" dxfId="930" priority="306" operator="lessThan">
      <formula>1</formula>
    </cfRule>
    <cfRule type="cellIs" dxfId="929" priority="305" operator="greaterThan">
      <formula>1</formula>
    </cfRule>
    <cfRule type="cellIs" dxfId="928" priority="304" operator="greaterThan">
      <formula>1</formula>
    </cfRule>
  </conditionalFormatting>
  <conditionalFormatting sqref="E45:L45">
    <cfRule type="cellIs" dxfId="927" priority="302" operator="lessThan">
      <formula>50</formula>
    </cfRule>
    <cfRule type="cellIs" dxfId="926" priority="303" operator="greaterThan">
      <formula>50</formula>
    </cfRule>
    <cfRule type="cellIs" dxfId="925" priority="301" operator="greaterThan">
      <formula>50</formula>
    </cfRule>
  </conditionalFormatting>
  <conditionalFormatting sqref="E50:L50">
    <cfRule type="cellIs" dxfId="924" priority="151" operator="lessThan">
      <formula>1</formula>
    </cfRule>
    <cfRule type="cellIs" dxfId="923" priority="152" operator="greaterThan">
      <formula>1</formula>
    </cfRule>
    <cfRule type="cellIs" dxfId="922" priority="153" operator="greaterThan">
      <formula>1</formula>
    </cfRule>
    <cfRule type="cellIs" dxfId="921" priority="154" operator="lessThan">
      <formula>1</formula>
    </cfRule>
    <cfRule type="cellIs" dxfId="920" priority="155" operator="greaterThan">
      <formula>1</formula>
    </cfRule>
  </conditionalFormatting>
  <conditionalFormatting sqref="E51:L51">
    <cfRule type="cellIs" dxfId="919" priority="162" operator="greaterThan">
      <formula>50</formula>
    </cfRule>
    <cfRule type="cellIs" dxfId="918" priority="163" operator="lessThan">
      <formula>50</formula>
    </cfRule>
    <cfRule type="cellIs" dxfId="917" priority="164" operator="greaterThan">
      <formula>50</formula>
    </cfRule>
  </conditionalFormatting>
  <conditionalFormatting sqref="F370:K370">
    <cfRule type="cellIs" dxfId="916" priority="85" operator="lessThan">
      <formula>0</formula>
    </cfRule>
  </conditionalFormatting>
  <conditionalFormatting sqref="F320:L321">
    <cfRule type="cellIs" dxfId="915" priority="182" operator="lessThan">
      <formula>1</formula>
    </cfRule>
  </conditionalFormatting>
  <conditionalFormatting sqref="F499:L499">
    <cfRule type="cellIs" dxfId="914" priority="15" operator="lessThan">
      <formula>0</formula>
    </cfRule>
  </conditionalFormatting>
  <conditionalFormatting sqref="F500:L502">
    <cfRule type="cellIs" dxfId="913" priority="13" operator="greaterThan">
      <formula>0</formula>
    </cfRule>
  </conditionalFormatting>
  <conditionalFormatting sqref="F502:L502">
    <cfRule type="cellIs" dxfId="912" priority="17" operator="greaterThan">
      <formula>0</formula>
    </cfRule>
    <cfRule type="cellIs" dxfId="911" priority="18" operator="lessThan">
      <formula>0</formula>
    </cfRule>
  </conditionalFormatting>
  <conditionalFormatting sqref="G325:L325">
    <cfRule type="cellIs" dxfId="910" priority="188" operator="greaterThan">
      <formula>0</formula>
    </cfRule>
    <cfRule type="cellIs" dxfId="909" priority="189" operator="lessThan">
      <formula>1</formula>
    </cfRule>
  </conditionalFormatting>
  <conditionalFormatting sqref="H480">
    <cfRule type="cellIs" dxfId="908" priority="4" operator="greaterThan">
      <formula>50</formula>
    </cfRule>
    <cfRule type="cellIs" dxfId="907" priority="3" operator="lessThan">
      <formula>50</formula>
    </cfRule>
  </conditionalFormatting>
  <conditionalFormatting sqref="H479:J479">
    <cfRule type="cellIs" dxfId="906" priority="2" operator="greaterThan">
      <formula>0</formula>
    </cfRule>
  </conditionalFormatting>
  <conditionalFormatting sqref="H59:K59">
    <cfRule type="cellIs" dxfId="905" priority="158" operator="greaterThan">
      <formula>0</formula>
    </cfRule>
  </conditionalFormatting>
  <conditionalFormatting sqref="H60:K60">
    <cfRule type="cellIs" dxfId="904" priority="160" operator="greaterThan">
      <formula>50</formula>
    </cfRule>
    <cfRule type="cellIs" dxfId="903" priority="159" operator="lessThan">
      <formula>50</formula>
    </cfRule>
    <cfRule type="cellIs" dxfId="902" priority="157" operator="greaterThan">
      <formula>50</formula>
    </cfRule>
    <cfRule type="cellIs" dxfId="901" priority="156" operator="lessThan">
      <formula>50</formula>
    </cfRule>
  </conditionalFormatting>
  <conditionalFormatting sqref="H339:K339">
    <cfRule type="cellIs" dxfId="900" priority="191" operator="lessThan">
      <formula>0</formula>
    </cfRule>
    <cfRule type="cellIs" dxfId="899" priority="197" operator="greaterThan">
      <formula>0</formula>
    </cfRule>
    <cfRule type="cellIs" dxfId="898" priority="198" operator="lessThan">
      <formula>0</formula>
    </cfRule>
    <cfRule type="cellIs" dxfId="897" priority="199" operator="greaterThan">
      <formula>0</formula>
    </cfRule>
  </conditionalFormatting>
  <conditionalFormatting sqref="H479:K479">
    <cfRule type="cellIs" dxfId="896" priority="1" operator="lessThan">
      <formula>0</formula>
    </cfRule>
  </conditionalFormatting>
  <conditionalFormatting sqref="H55:L55">
    <cfRule type="cellIs" dxfId="895" priority="161" operator="greaterThan">
      <formula>0</formula>
    </cfRule>
  </conditionalFormatting>
  <conditionalFormatting sqref="I334:J334">
    <cfRule type="cellIs" dxfId="894" priority="192" operator="greaterThan">
      <formula>0</formula>
    </cfRule>
    <cfRule type="cellIs" dxfId="893" priority="193" operator="lessThan">
      <formula>1</formula>
    </cfRule>
  </conditionalFormatting>
  <conditionalFormatting sqref="I335:J335">
    <cfRule type="cellIs" dxfId="892" priority="320" operator="greaterThan">
      <formula>50</formula>
    </cfRule>
    <cfRule type="cellIs" dxfId="891" priority="320" operator="lessThan">
      <formula>50</formula>
    </cfRule>
  </conditionalFormatting>
  <conditionalFormatting sqref="I360:K360">
    <cfRule type="cellIs" dxfId="890" priority="27" operator="lessThan">
      <formula>0</formula>
    </cfRule>
    <cfRule type="cellIs" dxfId="889" priority="28" operator="greaterThan">
      <formula>0</formula>
    </cfRule>
  </conditionalFormatting>
  <conditionalFormatting sqref="K480">
    <cfRule type="cellIs" dxfId="888" priority="6" operator="greaterThan">
      <formula>50</formula>
    </cfRule>
    <cfRule type="cellIs" dxfId="887" priority="5" operator="lessThan">
      <formula>50</formula>
    </cfRule>
  </conditionalFormatting>
  <conditionalFormatting sqref="K489">
    <cfRule type="cellIs" dxfId="886" priority="11" operator="lessThan">
      <formula>50</formula>
    </cfRule>
    <cfRule type="cellIs" dxfId="885" priority="12" operator="greaterThan">
      <formula>50</formula>
    </cfRule>
    <cfRule type="cellIs" dxfId="884" priority="10" operator="lessThan">
      <formula>50</formula>
    </cfRule>
  </conditionalFormatting>
  <conditionalFormatting sqref="K329:L329">
    <cfRule type="cellIs" dxfId="883" priority="184" operator="greaterThan">
      <formula>0</formula>
    </cfRule>
    <cfRule type="cellIs" dxfId="882" priority="185" operator="lessThan">
      <formula>1</formula>
    </cfRule>
  </conditionalFormatting>
  <conditionalFormatting sqref="K330:L330">
    <cfRule type="cellIs" dxfId="881" priority="183" operator="greaterThan">
      <formula>50</formula>
    </cfRule>
    <cfRule type="cellIs" dxfId="880" priority="186" operator="lessThan">
      <formula>50</formula>
    </cfRule>
  </conditionalFormatting>
  <hyperlinks>
    <hyperlink ref="M1" location="INDICADORES!A1" display="INDICADORES" xr:uid="{E67570E7-AF65-452C-AEA7-0E5A73C2223B}"/>
    <hyperlink ref="O1" location="DISTRITOS!A1" display="DISTRITOS" xr:uid="{81C357EE-CACA-468D-BD95-D6F2557AD887}"/>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CEA1B-D532-43EE-A3CB-ECA16076468E}">
  <sheetPr codeName="Hoja11">
    <tabColor theme="8" tint="-0.249977111117893"/>
  </sheetPr>
  <dimension ref="A1:Q534"/>
  <sheetViews>
    <sheetView showGridLines="0" topLeftCell="AD1" zoomScale="80" zoomScaleNormal="80" workbookViewId="0">
      <pane ySplit="2" topLeftCell="A25" activePane="bottomLeft" state="frozen"/>
      <selection activeCell="F334" sqref="F334"/>
      <selection pane="bottomLeft" activeCell="L521" sqref="L521"/>
    </sheetView>
  </sheetViews>
  <sheetFormatPr baseColWidth="10" defaultColWidth="11.42578125" defaultRowHeight="15.75" x14ac:dyDescent="0.25"/>
  <cols>
    <col min="1" max="1" width="26.5703125" style="11" customWidth="1"/>
    <col min="2" max="2" width="50.5703125" style="11" customWidth="1"/>
    <col min="3" max="4" width="30.5703125" style="11" customWidth="1"/>
    <col min="5" max="12" width="13.5703125" style="11" customWidth="1"/>
    <col min="13" max="13" width="14.5703125" style="11" customWidth="1"/>
    <col min="14" max="14" width="4.140625" style="11" customWidth="1"/>
    <col min="15" max="15" width="14.5703125" style="11" customWidth="1"/>
    <col min="16" max="16384" width="11.42578125" style="11"/>
  </cols>
  <sheetData>
    <row r="1" spans="1:15" ht="30" customHeight="1" thickTop="1" thickBot="1" x14ac:dyDescent="0.3">
      <c r="A1" s="1020" t="s">
        <v>557</v>
      </c>
      <c r="B1" s="1020"/>
      <c r="C1" s="1020"/>
      <c r="D1" s="1020"/>
      <c r="E1" s="1020"/>
      <c r="F1" s="1020"/>
      <c r="G1" s="1020"/>
      <c r="H1" s="1020"/>
      <c r="I1" s="1020"/>
      <c r="J1" s="1020"/>
      <c r="K1" s="1020"/>
      <c r="M1" s="479" t="s">
        <v>246</v>
      </c>
      <c r="N1" s="480"/>
      <c r="O1" s="481" t="s">
        <v>247</v>
      </c>
    </row>
    <row r="2" spans="1:15" ht="18" customHeight="1" thickTop="1" thickBot="1" x14ac:dyDescent="0.3">
      <c r="A2" s="151" t="s">
        <v>248</v>
      </c>
      <c r="B2" s="728" t="s">
        <v>249</v>
      </c>
      <c r="C2" s="1280"/>
      <c r="D2" s="1280"/>
      <c r="E2" s="724">
        <v>2005</v>
      </c>
      <c r="F2" s="724">
        <v>2010</v>
      </c>
      <c r="G2" s="724">
        <v>2015</v>
      </c>
      <c r="H2" s="724">
        <v>2020</v>
      </c>
      <c r="I2" s="724">
        <v>2021</v>
      </c>
      <c r="J2" s="724">
        <v>2022</v>
      </c>
      <c r="K2" s="724">
        <v>2023</v>
      </c>
      <c r="L2" s="729">
        <v>2024</v>
      </c>
    </row>
    <row r="3" spans="1:15" s="64" customFormat="1" ht="14.45" customHeight="1" x14ac:dyDescent="0.25">
      <c r="A3" s="1669" t="s">
        <v>26</v>
      </c>
      <c r="B3" s="1426" t="s">
        <v>250</v>
      </c>
      <c r="C3" s="1211" t="s">
        <v>251</v>
      </c>
      <c r="D3" s="1211"/>
      <c r="E3" s="81">
        <v>206610</v>
      </c>
      <c r="F3" s="81">
        <v>229758</v>
      </c>
      <c r="G3" s="81">
        <v>232889</v>
      </c>
      <c r="H3" s="81">
        <v>249973</v>
      </c>
      <c r="I3" s="81">
        <v>247692</v>
      </c>
      <c r="J3" s="81">
        <v>246281</v>
      </c>
      <c r="K3" s="81">
        <v>248443</v>
      </c>
      <c r="L3" s="82">
        <v>253898</v>
      </c>
      <c r="M3" s="11"/>
    </row>
    <row r="4" spans="1:15" ht="14.45" customHeight="1" x14ac:dyDescent="0.25">
      <c r="A4" s="1670"/>
      <c r="B4" s="1195"/>
      <c r="C4" s="1213" t="s">
        <v>257</v>
      </c>
      <c r="D4" s="1213"/>
      <c r="E4" s="80">
        <v>97606</v>
      </c>
      <c r="F4" s="80">
        <v>108145</v>
      </c>
      <c r="G4" s="80">
        <v>109565</v>
      </c>
      <c r="H4" s="80">
        <v>117640</v>
      </c>
      <c r="I4" s="80">
        <v>116520</v>
      </c>
      <c r="J4" s="80">
        <v>115955</v>
      </c>
      <c r="K4" s="80">
        <v>116944</v>
      </c>
      <c r="L4" s="83">
        <v>119721</v>
      </c>
    </row>
    <row r="5" spans="1:15" ht="14.45" customHeight="1" x14ac:dyDescent="0.25">
      <c r="A5" s="1670"/>
      <c r="B5" s="1195"/>
      <c r="C5" s="1213" t="s">
        <v>263</v>
      </c>
      <c r="D5" s="1213"/>
      <c r="E5" s="80">
        <v>109004</v>
      </c>
      <c r="F5" s="80">
        <v>121613</v>
      </c>
      <c r="G5" s="80">
        <v>123324</v>
      </c>
      <c r="H5" s="80">
        <v>132333</v>
      </c>
      <c r="I5" s="80">
        <v>131172</v>
      </c>
      <c r="J5" s="80">
        <v>130326</v>
      </c>
      <c r="K5" s="80">
        <v>131499</v>
      </c>
      <c r="L5" s="83">
        <v>134177</v>
      </c>
    </row>
    <row r="6" spans="1:15" ht="14.45" customHeight="1" x14ac:dyDescent="0.25">
      <c r="A6" s="1670"/>
      <c r="B6" s="1196"/>
      <c r="C6" s="1215" t="s">
        <v>269</v>
      </c>
      <c r="D6" s="1215"/>
      <c r="E6" s="363">
        <f t="shared" ref="E6:L6" si="0">+E5-E4</f>
        <v>11398</v>
      </c>
      <c r="F6" s="363">
        <f t="shared" si="0"/>
        <v>13468</v>
      </c>
      <c r="G6" s="363">
        <f t="shared" si="0"/>
        <v>13759</v>
      </c>
      <c r="H6" s="363">
        <f t="shared" si="0"/>
        <v>14693</v>
      </c>
      <c r="I6" s="363">
        <f t="shared" si="0"/>
        <v>14652</v>
      </c>
      <c r="J6" s="363">
        <f t="shared" si="0"/>
        <v>14371</v>
      </c>
      <c r="K6" s="363">
        <f t="shared" si="0"/>
        <v>14555</v>
      </c>
      <c r="L6" s="365">
        <f t="shared" si="0"/>
        <v>14456</v>
      </c>
    </row>
    <row r="7" spans="1:15" ht="15" customHeight="1" thickBot="1" x14ac:dyDescent="0.3">
      <c r="A7" s="1670"/>
      <c r="B7" s="1197"/>
      <c r="C7" s="1178" t="s">
        <v>270</v>
      </c>
      <c r="D7" s="1178"/>
      <c r="E7" s="378">
        <f t="shared" ref="E7:L7" si="1">E5/E3*100</f>
        <v>52.758336963360918</v>
      </c>
      <c r="F7" s="378">
        <f t="shared" si="1"/>
        <v>52.930909913909417</v>
      </c>
      <c r="G7" s="378">
        <f t="shared" si="1"/>
        <v>52.953982369283224</v>
      </c>
      <c r="H7" s="378">
        <f t="shared" si="1"/>
        <v>52.938917403079536</v>
      </c>
      <c r="I7" s="378">
        <f t="shared" si="1"/>
        <v>52.957705537522401</v>
      </c>
      <c r="J7" s="378">
        <f t="shared" si="1"/>
        <v>52.917602251087168</v>
      </c>
      <c r="K7" s="378">
        <f t="shared" si="1"/>
        <v>52.929243327443324</v>
      </c>
      <c r="L7" s="379">
        <f t="shared" si="1"/>
        <v>52.846812499507678</v>
      </c>
    </row>
    <row r="8" spans="1:15" ht="15" customHeight="1" thickBot="1" x14ac:dyDescent="0.3">
      <c r="A8" s="1193"/>
      <c r="B8" s="1198" t="s">
        <v>271</v>
      </c>
      <c r="C8" s="1300" t="s">
        <v>257</v>
      </c>
      <c r="D8" s="168" t="s">
        <v>272</v>
      </c>
      <c r="E8" s="81">
        <v>97606</v>
      </c>
      <c r="F8" s="81">
        <v>108145</v>
      </c>
      <c r="G8" s="81">
        <v>109565</v>
      </c>
      <c r="H8" s="81">
        <v>117640</v>
      </c>
      <c r="I8" s="81">
        <v>116520</v>
      </c>
      <c r="J8" s="81">
        <v>115955</v>
      </c>
      <c r="K8" s="81">
        <v>116944</v>
      </c>
      <c r="L8" s="82">
        <v>119721</v>
      </c>
    </row>
    <row r="9" spans="1:15" ht="15" customHeight="1" thickBot="1" x14ac:dyDescent="0.3">
      <c r="A9" s="1193"/>
      <c r="B9" s="1199"/>
      <c r="C9" s="1301"/>
      <c r="D9" s="164" t="s">
        <v>275</v>
      </c>
      <c r="E9" s="80">
        <v>14769</v>
      </c>
      <c r="F9" s="80">
        <v>18167</v>
      </c>
      <c r="G9" s="80">
        <v>20605</v>
      </c>
      <c r="H9" s="80">
        <v>22950</v>
      </c>
      <c r="I9" s="80">
        <v>22610</v>
      </c>
      <c r="J9" s="80">
        <v>22256</v>
      </c>
      <c r="K9" s="80">
        <v>21991</v>
      </c>
      <c r="L9" s="83">
        <v>20528</v>
      </c>
    </row>
    <row r="10" spans="1:15" ht="15" customHeight="1" thickBot="1" x14ac:dyDescent="0.3">
      <c r="A10" s="1193"/>
      <c r="B10" s="1199"/>
      <c r="C10" s="1301"/>
      <c r="D10" s="164" t="s">
        <v>282</v>
      </c>
      <c r="E10" s="80">
        <v>69089</v>
      </c>
      <c r="F10" s="80">
        <v>73397</v>
      </c>
      <c r="G10" s="80">
        <v>69285</v>
      </c>
      <c r="H10" s="80">
        <v>73087</v>
      </c>
      <c r="I10" s="80">
        <v>72452</v>
      </c>
      <c r="J10" s="80">
        <v>71961</v>
      </c>
      <c r="K10" s="80">
        <v>72967</v>
      </c>
      <c r="L10" s="83">
        <v>76699</v>
      </c>
    </row>
    <row r="11" spans="1:15" ht="15" customHeight="1" thickBot="1" x14ac:dyDescent="0.3">
      <c r="A11" s="1193"/>
      <c r="B11" s="1199"/>
      <c r="C11" s="1301"/>
      <c r="D11" s="164" t="s">
        <v>288</v>
      </c>
      <c r="E11" s="80">
        <v>13744</v>
      </c>
      <c r="F11" s="80">
        <v>16579</v>
      </c>
      <c r="G11" s="80">
        <v>19675</v>
      </c>
      <c r="H11" s="80">
        <v>21603</v>
      </c>
      <c r="I11" s="80">
        <v>21458</v>
      </c>
      <c r="J11" s="80">
        <v>21738</v>
      </c>
      <c r="K11" s="80">
        <v>21986</v>
      </c>
      <c r="L11" s="83">
        <v>22494</v>
      </c>
    </row>
    <row r="12" spans="1:15" ht="15" customHeight="1" thickBot="1" x14ac:dyDescent="0.3">
      <c r="A12" s="1193"/>
      <c r="B12" s="1199"/>
      <c r="C12" s="1301"/>
      <c r="D12" s="164" t="s">
        <v>295</v>
      </c>
      <c r="E12" s="80">
        <v>2724</v>
      </c>
      <c r="F12" s="80">
        <v>3503</v>
      </c>
      <c r="G12" s="80">
        <v>4696</v>
      </c>
      <c r="H12" s="80">
        <v>5652</v>
      </c>
      <c r="I12" s="80">
        <v>5764</v>
      </c>
      <c r="J12" s="80">
        <v>5981</v>
      </c>
      <c r="K12" s="80">
        <v>6179</v>
      </c>
      <c r="L12" s="83">
        <v>6633</v>
      </c>
    </row>
    <row r="13" spans="1:15" ht="15" customHeight="1" thickBot="1" x14ac:dyDescent="0.3">
      <c r="A13" s="1193"/>
      <c r="B13" s="1199"/>
      <c r="C13" s="1302"/>
      <c r="D13" s="169" t="s">
        <v>296</v>
      </c>
      <c r="E13" s="381">
        <v>4</v>
      </c>
      <c r="F13" s="381">
        <v>2</v>
      </c>
      <c r="G13" s="381">
        <v>0</v>
      </c>
      <c r="H13" s="381">
        <v>0</v>
      </c>
      <c r="I13" s="381">
        <v>0</v>
      </c>
      <c r="J13" s="381">
        <v>0</v>
      </c>
      <c r="K13" s="381">
        <v>0</v>
      </c>
      <c r="L13" s="268">
        <v>0</v>
      </c>
    </row>
    <row r="14" spans="1:15" ht="15" customHeight="1" thickBot="1" x14ac:dyDescent="0.3">
      <c r="A14" s="1193"/>
      <c r="B14" s="1199"/>
      <c r="C14" s="1303" t="s">
        <v>263</v>
      </c>
      <c r="D14" s="168" t="s">
        <v>272</v>
      </c>
      <c r="E14" s="81">
        <v>109004</v>
      </c>
      <c r="F14" s="81">
        <v>121613</v>
      </c>
      <c r="G14" s="81">
        <v>123324</v>
      </c>
      <c r="H14" s="81">
        <v>132333</v>
      </c>
      <c r="I14" s="81">
        <v>131172</v>
      </c>
      <c r="J14" s="81">
        <v>130326</v>
      </c>
      <c r="K14" s="81">
        <v>131499</v>
      </c>
      <c r="L14" s="82">
        <v>134177</v>
      </c>
    </row>
    <row r="15" spans="1:15" ht="15" customHeight="1" thickBot="1" x14ac:dyDescent="0.3">
      <c r="A15" s="1193"/>
      <c r="B15" s="1199"/>
      <c r="C15" s="1304"/>
      <c r="D15" s="164" t="s">
        <v>275</v>
      </c>
      <c r="E15" s="80">
        <v>14127</v>
      </c>
      <c r="F15" s="80">
        <v>17503</v>
      </c>
      <c r="G15" s="80">
        <v>19475</v>
      </c>
      <c r="H15" s="80">
        <v>21751</v>
      </c>
      <c r="I15" s="80">
        <v>21330</v>
      </c>
      <c r="J15" s="80">
        <v>20902</v>
      </c>
      <c r="K15" s="80">
        <v>20613</v>
      </c>
      <c r="L15" s="83">
        <v>19218</v>
      </c>
    </row>
    <row r="16" spans="1:15" ht="15" customHeight="1" thickBot="1" x14ac:dyDescent="0.3">
      <c r="A16" s="1193"/>
      <c r="B16" s="1199"/>
      <c r="C16" s="1304"/>
      <c r="D16" s="164" t="s">
        <v>282</v>
      </c>
      <c r="E16" s="80">
        <v>75031</v>
      </c>
      <c r="F16" s="80">
        <v>80885</v>
      </c>
      <c r="G16" s="80">
        <v>76483</v>
      </c>
      <c r="H16" s="80">
        <v>80021</v>
      </c>
      <c r="I16" s="80">
        <v>79146</v>
      </c>
      <c r="J16" s="80">
        <v>78237</v>
      </c>
      <c r="K16" s="80">
        <v>79165</v>
      </c>
      <c r="L16" s="83">
        <v>82470</v>
      </c>
    </row>
    <row r="17" spans="1:13" ht="15" customHeight="1" thickBot="1" x14ac:dyDescent="0.3">
      <c r="A17" s="1193"/>
      <c r="B17" s="1199"/>
      <c r="C17" s="1304"/>
      <c r="D17" s="164" t="s">
        <v>288</v>
      </c>
      <c r="E17" s="80">
        <v>19844</v>
      </c>
      <c r="F17" s="80">
        <v>23225</v>
      </c>
      <c r="G17" s="80">
        <v>27366</v>
      </c>
      <c r="H17" s="80">
        <v>30561</v>
      </c>
      <c r="I17" s="80">
        <v>30696</v>
      </c>
      <c r="J17" s="80">
        <v>31187</v>
      </c>
      <c r="K17" s="80">
        <v>31721</v>
      </c>
      <c r="L17" s="83">
        <v>32489</v>
      </c>
    </row>
    <row r="18" spans="1:13" ht="15" customHeight="1" thickBot="1" x14ac:dyDescent="0.3">
      <c r="A18" s="1193"/>
      <c r="B18" s="1199"/>
      <c r="C18" s="1304"/>
      <c r="D18" s="164" t="s">
        <v>295</v>
      </c>
      <c r="E18" s="80">
        <v>5684</v>
      </c>
      <c r="F18" s="80">
        <v>7095</v>
      </c>
      <c r="G18" s="80">
        <v>8663</v>
      </c>
      <c r="H18" s="80">
        <v>9708</v>
      </c>
      <c r="I18" s="80">
        <v>9836</v>
      </c>
      <c r="J18" s="80">
        <v>10094</v>
      </c>
      <c r="K18" s="80">
        <v>10356</v>
      </c>
      <c r="L18" s="83">
        <v>10897</v>
      </c>
    </row>
    <row r="19" spans="1:13" ht="15" customHeight="1" thickBot="1" x14ac:dyDescent="0.3">
      <c r="A19" s="1193"/>
      <c r="B19" s="1199"/>
      <c r="C19" s="1305"/>
      <c r="D19" s="169" t="s">
        <v>296</v>
      </c>
      <c r="E19" s="381">
        <v>2</v>
      </c>
      <c r="F19" s="381">
        <v>0</v>
      </c>
      <c r="G19" s="381">
        <v>0</v>
      </c>
      <c r="H19" s="381">
        <v>0</v>
      </c>
      <c r="I19" s="381">
        <v>0</v>
      </c>
      <c r="J19" s="381">
        <v>0</v>
      </c>
      <c r="K19" s="381">
        <v>0</v>
      </c>
      <c r="L19" s="756">
        <v>0</v>
      </c>
    </row>
    <row r="20" spans="1:13" ht="15" customHeight="1" thickBot="1" x14ac:dyDescent="0.3">
      <c r="A20" s="1193"/>
      <c r="B20" s="1199"/>
      <c r="C20" s="1306" t="s">
        <v>269</v>
      </c>
      <c r="D20" s="535" t="s">
        <v>272</v>
      </c>
      <c r="E20" s="375">
        <f t="shared" ref="E20:L24" si="2">E14-E8</f>
        <v>11398</v>
      </c>
      <c r="F20" s="375">
        <f t="shared" si="2"/>
        <v>13468</v>
      </c>
      <c r="G20" s="375">
        <f t="shared" si="2"/>
        <v>13759</v>
      </c>
      <c r="H20" s="375">
        <f t="shared" si="2"/>
        <v>14693</v>
      </c>
      <c r="I20" s="375">
        <f t="shared" si="2"/>
        <v>14652</v>
      </c>
      <c r="J20" s="375">
        <f t="shared" si="2"/>
        <v>14371</v>
      </c>
      <c r="K20" s="375">
        <f t="shared" si="2"/>
        <v>14555</v>
      </c>
      <c r="L20" s="376">
        <f t="shared" si="2"/>
        <v>14456</v>
      </c>
    </row>
    <row r="21" spans="1:13" ht="15" customHeight="1" thickBot="1" x14ac:dyDescent="0.3">
      <c r="A21" s="1193"/>
      <c r="B21" s="1199"/>
      <c r="C21" s="1307"/>
      <c r="D21" s="527" t="s">
        <v>275</v>
      </c>
      <c r="E21" s="157">
        <f t="shared" si="2"/>
        <v>-642</v>
      </c>
      <c r="F21" s="157">
        <f t="shared" si="2"/>
        <v>-664</v>
      </c>
      <c r="G21" s="157">
        <f t="shared" si="2"/>
        <v>-1130</v>
      </c>
      <c r="H21" s="157">
        <f t="shared" si="2"/>
        <v>-1199</v>
      </c>
      <c r="I21" s="157">
        <f t="shared" si="2"/>
        <v>-1280</v>
      </c>
      <c r="J21" s="157">
        <f t="shared" si="2"/>
        <v>-1354</v>
      </c>
      <c r="K21" s="157">
        <f t="shared" si="2"/>
        <v>-1378</v>
      </c>
      <c r="L21" s="160">
        <f t="shared" si="2"/>
        <v>-1310</v>
      </c>
    </row>
    <row r="22" spans="1:13" ht="15" customHeight="1" thickBot="1" x14ac:dyDescent="0.3">
      <c r="A22" s="1193"/>
      <c r="B22" s="1199"/>
      <c r="C22" s="1307"/>
      <c r="D22" s="527" t="s">
        <v>282</v>
      </c>
      <c r="E22" s="363">
        <f t="shared" si="2"/>
        <v>5942</v>
      </c>
      <c r="F22" s="363">
        <f t="shared" si="2"/>
        <v>7488</v>
      </c>
      <c r="G22" s="363">
        <f t="shared" si="2"/>
        <v>7198</v>
      </c>
      <c r="H22" s="363">
        <f t="shared" si="2"/>
        <v>6934</v>
      </c>
      <c r="I22" s="363">
        <f t="shared" si="2"/>
        <v>6694</v>
      </c>
      <c r="J22" s="363">
        <f t="shared" si="2"/>
        <v>6276</v>
      </c>
      <c r="K22" s="363">
        <f t="shared" si="2"/>
        <v>6198</v>
      </c>
      <c r="L22" s="365">
        <f t="shared" si="2"/>
        <v>5771</v>
      </c>
    </row>
    <row r="23" spans="1:13" ht="15" customHeight="1" thickBot="1" x14ac:dyDescent="0.3">
      <c r="A23" s="1193"/>
      <c r="B23" s="1199"/>
      <c r="C23" s="1307"/>
      <c r="D23" s="527" t="s">
        <v>288</v>
      </c>
      <c r="E23" s="363">
        <f t="shared" si="2"/>
        <v>6100</v>
      </c>
      <c r="F23" s="363">
        <f t="shared" si="2"/>
        <v>6646</v>
      </c>
      <c r="G23" s="363">
        <f t="shared" si="2"/>
        <v>7691</v>
      </c>
      <c r="H23" s="363">
        <f t="shared" si="2"/>
        <v>8958</v>
      </c>
      <c r="I23" s="363">
        <f t="shared" si="2"/>
        <v>9238</v>
      </c>
      <c r="J23" s="363">
        <f t="shared" si="2"/>
        <v>9449</v>
      </c>
      <c r="K23" s="363">
        <f t="shared" si="2"/>
        <v>9735</v>
      </c>
      <c r="L23" s="365">
        <f t="shared" si="2"/>
        <v>9995</v>
      </c>
    </row>
    <row r="24" spans="1:13" ht="15" customHeight="1" thickBot="1" x14ac:dyDescent="0.3">
      <c r="A24" s="1193"/>
      <c r="B24" s="1199"/>
      <c r="C24" s="1308"/>
      <c r="D24" s="538" t="s">
        <v>295</v>
      </c>
      <c r="E24" s="382">
        <f t="shared" si="2"/>
        <v>2960</v>
      </c>
      <c r="F24" s="382">
        <f t="shared" si="2"/>
        <v>3592</v>
      </c>
      <c r="G24" s="382">
        <f t="shared" si="2"/>
        <v>3967</v>
      </c>
      <c r="H24" s="382">
        <f t="shared" si="2"/>
        <v>4056</v>
      </c>
      <c r="I24" s="382">
        <f t="shared" si="2"/>
        <v>4072</v>
      </c>
      <c r="J24" s="382">
        <f t="shared" si="2"/>
        <v>4113</v>
      </c>
      <c r="K24" s="382">
        <f t="shared" si="2"/>
        <v>4177</v>
      </c>
      <c r="L24" s="383">
        <f t="shared" si="2"/>
        <v>4264</v>
      </c>
    </row>
    <row r="25" spans="1:13" ht="15" customHeight="1" thickBot="1" x14ac:dyDescent="0.3">
      <c r="A25" s="1193"/>
      <c r="B25" s="1199"/>
      <c r="C25" s="1227" t="s">
        <v>270</v>
      </c>
      <c r="D25" s="757" t="s">
        <v>272</v>
      </c>
      <c r="E25" s="758">
        <f t="shared" ref="E25:L25" si="3">E14/E3*100</f>
        <v>52.758336963360918</v>
      </c>
      <c r="F25" s="758">
        <f t="shared" si="3"/>
        <v>52.930909913909417</v>
      </c>
      <c r="G25" s="758">
        <f t="shared" si="3"/>
        <v>52.953982369283224</v>
      </c>
      <c r="H25" s="758">
        <f t="shared" si="3"/>
        <v>52.938917403079536</v>
      </c>
      <c r="I25" s="758">
        <f t="shared" si="3"/>
        <v>52.957705537522401</v>
      </c>
      <c r="J25" s="758">
        <f t="shared" si="3"/>
        <v>52.917602251087168</v>
      </c>
      <c r="K25" s="758">
        <f t="shared" si="3"/>
        <v>52.929243327443324</v>
      </c>
      <c r="L25" s="758">
        <f t="shared" si="3"/>
        <v>52.846812499507678</v>
      </c>
    </row>
    <row r="26" spans="1:13" ht="15" customHeight="1" thickBot="1" x14ac:dyDescent="0.3">
      <c r="A26" s="1193"/>
      <c r="B26" s="1199"/>
      <c r="C26" s="1268"/>
      <c r="D26" s="527" t="s">
        <v>275</v>
      </c>
      <c r="E26" s="158">
        <f t="shared" ref="E26:L29" si="4">(E15/(E15+E9))*100</f>
        <v>48.8891196013289</v>
      </c>
      <c r="F26" s="158">
        <f t="shared" si="4"/>
        <v>49.069245864872443</v>
      </c>
      <c r="G26" s="158">
        <f t="shared" si="4"/>
        <v>48.590319361277444</v>
      </c>
      <c r="H26" s="158">
        <f t="shared" si="4"/>
        <v>48.658866692020311</v>
      </c>
      <c r="I26" s="158">
        <f t="shared" si="4"/>
        <v>48.543468365953572</v>
      </c>
      <c r="J26" s="158">
        <f t="shared" si="4"/>
        <v>48.431345289401733</v>
      </c>
      <c r="K26" s="158">
        <f t="shared" si="4"/>
        <v>48.382780959534315</v>
      </c>
      <c r="L26" s="158">
        <f t="shared" si="4"/>
        <v>48.352035424948426</v>
      </c>
    </row>
    <row r="27" spans="1:13" ht="15" customHeight="1" thickBot="1" x14ac:dyDescent="0.3">
      <c r="A27" s="1193"/>
      <c r="B27" s="1199"/>
      <c r="C27" s="1268"/>
      <c r="D27" s="527" t="s">
        <v>282</v>
      </c>
      <c r="E27" s="364">
        <f t="shared" si="4"/>
        <v>52.061476547321675</v>
      </c>
      <c r="F27" s="364">
        <f t="shared" si="4"/>
        <v>52.426725087826185</v>
      </c>
      <c r="G27" s="364">
        <f t="shared" si="4"/>
        <v>52.468991822622243</v>
      </c>
      <c r="H27" s="364">
        <f t="shared" si="4"/>
        <v>52.264414661546098</v>
      </c>
      <c r="I27" s="364">
        <f t="shared" si="4"/>
        <v>52.207812767978467</v>
      </c>
      <c r="J27" s="364">
        <f t="shared" si="4"/>
        <v>52.089242200295601</v>
      </c>
      <c r="K27" s="364">
        <f t="shared" si="4"/>
        <v>52.037046775168925</v>
      </c>
      <c r="L27" s="364">
        <f t="shared" si="4"/>
        <v>51.812853005296255</v>
      </c>
    </row>
    <row r="28" spans="1:13" ht="15" customHeight="1" thickBot="1" x14ac:dyDescent="0.3">
      <c r="A28" s="1193"/>
      <c r="B28" s="1199"/>
      <c r="C28" s="1268"/>
      <c r="D28" s="527" t="s">
        <v>288</v>
      </c>
      <c r="E28" s="364">
        <f t="shared" si="4"/>
        <v>59.080624032392528</v>
      </c>
      <c r="F28" s="364">
        <f t="shared" si="4"/>
        <v>58.348407195256755</v>
      </c>
      <c r="G28" s="364">
        <f t="shared" si="4"/>
        <v>58.174783699326113</v>
      </c>
      <c r="H28" s="364">
        <f t="shared" si="4"/>
        <v>58.58638141246837</v>
      </c>
      <c r="I28" s="364">
        <f t="shared" si="4"/>
        <v>58.856463550255015</v>
      </c>
      <c r="J28" s="364">
        <f t="shared" si="4"/>
        <v>58.926783183750587</v>
      </c>
      <c r="K28" s="364">
        <f t="shared" si="4"/>
        <v>59.063064405012376</v>
      </c>
      <c r="L28" s="364">
        <f t="shared" si="4"/>
        <v>59.089173017114383</v>
      </c>
    </row>
    <row r="29" spans="1:13" ht="15" customHeight="1" thickBot="1" x14ac:dyDescent="0.3">
      <c r="A29" s="1193"/>
      <c r="B29" s="1200"/>
      <c r="C29" s="1362"/>
      <c r="D29" s="545" t="s">
        <v>295</v>
      </c>
      <c r="E29" s="378">
        <f t="shared" si="4"/>
        <v>67.602283539486208</v>
      </c>
      <c r="F29" s="378">
        <f t="shared" si="4"/>
        <v>66.946593696923955</v>
      </c>
      <c r="G29" s="378">
        <f t="shared" si="4"/>
        <v>64.847668238640622</v>
      </c>
      <c r="H29" s="378">
        <f t="shared" si="4"/>
        <v>63.203125000000007</v>
      </c>
      <c r="I29" s="378">
        <f t="shared" si="4"/>
        <v>63.051282051282051</v>
      </c>
      <c r="J29" s="378">
        <f t="shared" si="4"/>
        <v>62.793157076205283</v>
      </c>
      <c r="K29" s="378">
        <f t="shared" si="4"/>
        <v>62.630783187178707</v>
      </c>
      <c r="L29" s="378">
        <f t="shared" si="4"/>
        <v>62.162007986309185</v>
      </c>
    </row>
    <row r="30" spans="1:13" ht="17.25" thickTop="1" thickBot="1" x14ac:dyDescent="0.3">
      <c r="A30" s="1193"/>
      <c r="B30" s="151" t="s">
        <v>249</v>
      </c>
      <c r="C30" s="1422"/>
      <c r="D30" s="1422"/>
      <c r="E30" s="616">
        <v>2005</v>
      </c>
      <c r="F30" s="616">
        <v>2010</v>
      </c>
      <c r="G30" s="616">
        <v>2015</v>
      </c>
      <c r="H30" s="616">
        <v>2020</v>
      </c>
      <c r="I30" s="616">
        <v>2021</v>
      </c>
      <c r="J30" s="616">
        <v>2022</v>
      </c>
      <c r="K30" s="616">
        <v>2023</v>
      </c>
      <c r="L30" s="616">
        <v>2024</v>
      </c>
      <c r="M30" s="482"/>
    </row>
    <row r="31" spans="1:13" ht="15" customHeight="1" thickBot="1" x14ac:dyDescent="0.3">
      <c r="A31" s="1193"/>
      <c r="B31" s="1318" t="s">
        <v>320</v>
      </c>
      <c r="C31" s="1211" t="s">
        <v>272</v>
      </c>
      <c r="D31" s="1541"/>
      <c r="E31" s="81">
        <v>17441</v>
      </c>
      <c r="F31" s="81">
        <v>24909</v>
      </c>
      <c r="G31" s="81">
        <v>16809</v>
      </c>
      <c r="H31" s="81">
        <v>22884</v>
      </c>
      <c r="I31" s="81">
        <v>22827</v>
      </c>
      <c r="J31" s="81">
        <v>22115</v>
      </c>
      <c r="K31" s="81">
        <v>24372</v>
      </c>
      <c r="L31" s="82">
        <f>L32+L33</f>
        <v>27688</v>
      </c>
    </row>
    <row r="32" spans="1:13" ht="15" customHeight="1" thickBot="1" x14ac:dyDescent="0.3">
      <c r="A32" s="1193"/>
      <c r="B32" s="1199"/>
      <c r="C32" s="1124" t="s">
        <v>257</v>
      </c>
      <c r="D32" s="1124"/>
      <c r="E32" s="80">
        <v>7980</v>
      </c>
      <c r="F32" s="80">
        <v>11370</v>
      </c>
      <c r="G32" s="80">
        <v>7340</v>
      </c>
      <c r="H32" s="80">
        <v>9948</v>
      </c>
      <c r="I32" s="80">
        <v>9926</v>
      </c>
      <c r="J32" s="80">
        <v>9725</v>
      </c>
      <c r="K32" s="80">
        <v>10852</v>
      </c>
      <c r="L32" s="83">
        <v>12588</v>
      </c>
    </row>
    <row r="33" spans="1:12" ht="15" customHeight="1" thickBot="1" x14ac:dyDescent="0.3">
      <c r="A33" s="1193"/>
      <c r="B33" s="1199"/>
      <c r="C33" s="1124" t="s">
        <v>263</v>
      </c>
      <c r="D33" s="1124"/>
      <c r="E33" s="80">
        <v>9461</v>
      </c>
      <c r="F33" s="80">
        <v>13539</v>
      </c>
      <c r="G33" s="80">
        <v>9469</v>
      </c>
      <c r="H33" s="80">
        <v>12936</v>
      </c>
      <c r="I33" s="80">
        <v>12901</v>
      </c>
      <c r="J33" s="80">
        <v>12390</v>
      </c>
      <c r="K33" s="80">
        <v>13520</v>
      </c>
      <c r="L33" s="83">
        <v>15100</v>
      </c>
    </row>
    <row r="34" spans="1:12" ht="15" customHeight="1" thickBot="1" x14ac:dyDescent="0.3">
      <c r="A34" s="1193"/>
      <c r="B34" s="1199"/>
      <c r="C34" s="1112" t="s">
        <v>269</v>
      </c>
      <c r="D34" s="1112"/>
      <c r="E34" s="363">
        <f>+E33-E32</f>
        <v>1481</v>
      </c>
      <c r="F34" s="363">
        <f t="shared" ref="F34:L34" si="5">+F33-F32</f>
        <v>2169</v>
      </c>
      <c r="G34" s="363">
        <f t="shared" si="5"/>
        <v>2129</v>
      </c>
      <c r="H34" s="363">
        <f t="shared" si="5"/>
        <v>2988</v>
      </c>
      <c r="I34" s="363">
        <f t="shared" si="5"/>
        <v>2975</v>
      </c>
      <c r="J34" s="363">
        <f t="shared" si="5"/>
        <v>2665</v>
      </c>
      <c r="K34" s="363">
        <f t="shared" si="5"/>
        <v>2668</v>
      </c>
      <c r="L34" s="365">
        <f t="shared" si="5"/>
        <v>2512</v>
      </c>
    </row>
    <row r="35" spans="1:12" ht="15" customHeight="1" thickBot="1" x14ac:dyDescent="0.3">
      <c r="A35" s="1193"/>
      <c r="B35" s="1201"/>
      <c r="C35" s="1178" t="s">
        <v>270</v>
      </c>
      <c r="D35" s="1178"/>
      <c r="E35" s="378">
        <f>E33/E31*100</f>
        <v>54.245742789977633</v>
      </c>
      <c r="F35" s="378">
        <f t="shared" ref="F35:L35" si="6">F33/F31*100</f>
        <v>54.353848006744556</v>
      </c>
      <c r="G35" s="378">
        <f t="shared" si="6"/>
        <v>56.332916889761442</v>
      </c>
      <c r="H35" s="378">
        <f t="shared" si="6"/>
        <v>56.528578919769267</v>
      </c>
      <c r="I35" s="378">
        <f t="shared" si="6"/>
        <v>56.516406010426245</v>
      </c>
      <c r="J35" s="378">
        <f t="shared" si="6"/>
        <v>56.025322179516166</v>
      </c>
      <c r="K35" s="378">
        <f t="shared" si="6"/>
        <v>55.473494173641882</v>
      </c>
      <c r="L35" s="379">
        <f t="shared" si="6"/>
        <v>54.536261196186075</v>
      </c>
    </row>
    <row r="36" spans="1:12" ht="15" customHeight="1" thickBot="1" x14ac:dyDescent="0.3">
      <c r="A36" s="1193"/>
      <c r="B36" s="1198" t="s">
        <v>342</v>
      </c>
      <c r="C36" s="1147" t="s">
        <v>343</v>
      </c>
      <c r="D36" s="1147"/>
      <c r="E36" s="195">
        <f>E37+E38</f>
        <v>5933</v>
      </c>
      <c r="F36" s="195">
        <f t="shared" ref="F36:K36" si="7">F37+F38</f>
        <v>7315</v>
      </c>
      <c r="G36" s="195">
        <f t="shared" si="7"/>
        <v>8825</v>
      </c>
      <c r="H36" s="195">
        <f t="shared" si="7"/>
        <v>10175</v>
      </c>
      <c r="I36" s="195">
        <f t="shared" si="7"/>
        <v>10564</v>
      </c>
      <c r="J36" s="195">
        <f t="shared" si="7"/>
        <v>10832</v>
      </c>
      <c r="K36" s="195">
        <f t="shared" si="7"/>
        <v>11292</v>
      </c>
      <c r="L36" s="196">
        <f>L37+L38</f>
        <v>11790</v>
      </c>
    </row>
    <row r="37" spans="1:12" ht="15" customHeight="1" thickBot="1" x14ac:dyDescent="0.3">
      <c r="A37" s="1193"/>
      <c r="B37" s="1199"/>
      <c r="C37" s="1124" t="s">
        <v>344</v>
      </c>
      <c r="D37" s="1124"/>
      <c r="E37" s="80">
        <v>1040</v>
      </c>
      <c r="F37" s="80">
        <v>1457</v>
      </c>
      <c r="G37" s="80">
        <v>1911</v>
      </c>
      <c r="H37" s="80">
        <v>2299</v>
      </c>
      <c r="I37" s="80">
        <v>2356</v>
      </c>
      <c r="J37" s="80">
        <v>2418</v>
      </c>
      <c r="K37" s="80">
        <v>2545</v>
      </c>
      <c r="L37" s="83">
        <v>2755</v>
      </c>
    </row>
    <row r="38" spans="1:12" ht="15" customHeight="1" thickBot="1" x14ac:dyDescent="0.3">
      <c r="A38" s="1193"/>
      <c r="B38" s="1199"/>
      <c r="C38" s="1124" t="s">
        <v>345</v>
      </c>
      <c r="D38" s="1124"/>
      <c r="E38" s="80">
        <v>4893</v>
      </c>
      <c r="F38" s="80">
        <v>5858</v>
      </c>
      <c r="G38" s="80">
        <v>6914</v>
      </c>
      <c r="H38" s="80">
        <v>7876</v>
      </c>
      <c r="I38" s="80">
        <v>8208</v>
      </c>
      <c r="J38" s="80">
        <v>8414</v>
      </c>
      <c r="K38" s="80">
        <v>8747</v>
      </c>
      <c r="L38" s="83">
        <v>9035</v>
      </c>
    </row>
    <row r="39" spans="1:12" ht="15" customHeight="1" thickBot="1" x14ac:dyDescent="0.3">
      <c r="A39" s="1193"/>
      <c r="B39" s="1199"/>
      <c r="C39" s="1112" t="s">
        <v>269</v>
      </c>
      <c r="D39" s="1112"/>
      <c r="E39" s="157">
        <f>E38-E37</f>
        <v>3853</v>
      </c>
      <c r="F39" s="157">
        <f t="shared" ref="F39:L39" si="8">F38-F37</f>
        <v>4401</v>
      </c>
      <c r="G39" s="157">
        <f t="shared" si="8"/>
        <v>5003</v>
      </c>
      <c r="H39" s="157">
        <f t="shared" si="8"/>
        <v>5577</v>
      </c>
      <c r="I39" s="157">
        <f t="shared" si="8"/>
        <v>5852</v>
      </c>
      <c r="J39" s="157">
        <f t="shared" si="8"/>
        <v>5996</v>
      </c>
      <c r="K39" s="157">
        <f t="shared" si="8"/>
        <v>6202</v>
      </c>
      <c r="L39" s="160">
        <f t="shared" si="8"/>
        <v>6280</v>
      </c>
    </row>
    <row r="40" spans="1:12" ht="15" customHeight="1" thickBot="1" x14ac:dyDescent="0.3">
      <c r="A40" s="1193"/>
      <c r="B40" s="1201"/>
      <c r="C40" s="1126" t="s">
        <v>346</v>
      </c>
      <c r="D40" s="1126"/>
      <c r="E40" s="161">
        <f t="shared" ref="E40:L40" si="9">E38/E36*100</f>
        <v>82.470925332883866</v>
      </c>
      <c r="F40" s="161">
        <f t="shared" si="9"/>
        <v>80.082023239917973</v>
      </c>
      <c r="G40" s="161">
        <f t="shared" si="9"/>
        <v>78.345609065155813</v>
      </c>
      <c r="H40" s="161">
        <f t="shared" si="9"/>
        <v>77.405405405405403</v>
      </c>
      <c r="I40" s="161">
        <f t="shared" si="9"/>
        <v>77.697841726618705</v>
      </c>
      <c r="J40" s="161">
        <f t="shared" si="9"/>
        <v>77.677252584933527</v>
      </c>
      <c r="K40" s="161">
        <f t="shared" si="9"/>
        <v>77.461919943322712</v>
      </c>
      <c r="L40" s="162">
        <f t="shared" si="9"/>
        <v>76.63273960983885</v>
      </c>
    </row>
    <row r="41" spans="1:12" ht="15" customHeight="1" x14ac:dyDescent="0.25">
      <c r="A41" s="1193"/>
      <c r="B41" s="1672" t="s">
        <v>347</v>
      </c>
      <c r="C41" s="1206" t="s">
        <v>348</v>
      </c>
      <c r="D41" s="1206"/>
      <c r="E41" s="225">
        <f>E42+E43</f>
        <v>1412</v>
      </c>
      <c r="F41" s="225">
        <f t="shared" ref="F41:K41" si="10">F42+F43</f>
        <v>2303</v>
      </c>
      <c r="G41" s="225">
        <f t="shared" si="10"/>
        <v>2956</v>
      </c>
      <c r="H41" s="225">
        <f t="shared" si="10"/>
        <v>3147</v>
      </c>
      <c r="I41" s="225">
        <f t="shared" si="10"/>
        <v>3080</v>
      </c>
      <c r="J41" s="225">
        <f t="shared" si="10"/>
        <v>3027</v>
      </c>
      <c r="K41" s="225">
        <f t="shared" si="10"/>
        <v>2988</v>
      </c>
      <c r="L41" s="273">
        <f>L42+L43</f>
        <v>3044</v>
      </c>
    </row>
    <row r="42" spans="1:12" ht="14.45" customHeight="1" x14ac:dyDescent="0.25">
      <c r="A42" s="1193"/>
      <c r="B42" s="1673"/>
      <c r="C42" s="1124" t="s">
        <v>349</v>
      </c>
      <c r="D42" s="1124"/>
      <c r="E42" s="181">
        <v>284</v>
      </c>
      <c r="F42" s="181">
        <v>521</v>
      </c>
      <c r="G42" s="181">
        <v>665</v>
      </c>
      <c r="H42" s="181">
        <v>672</v>
      </c>
      <c r="I42" s="181">
        <v>682</v>
      </c>
      <c r="J42" s="181">
        <v>686</v>
      </c>
      <c r="K42" s="181">
        <v>681</v>
      </c>
      <c r="L42" s="199">
        <v>693</v>
      </c>
    </row>
    <row r="43" spans="1:12" ht="14.45" customHeight="1" x14ac:dyDescent="0.25">
      <c r="A43" s="1193"/>
      <c r="B43" s="1673"/>
      <c r="C43" s="1124" t="s">
        <v>350</v>
      </c>
      <c r="D43" s="1124"/>
      <c r="E43" s="80">
        <v>1128</v>
      </c>
      <c r="F43" s="80">
        <v>1782</v>
      </c>
      <c r="G43" s="80">
        <v>2291</v>
      </c>
      <c r="H43" s="80">
        <v>2475</v>
      </c>
      <c r="I43" s="80">
        <v>2398</v>
      </c>
      <c r="J43" s="80">
        <v>2341</v>
      </c>
      <c r="K43" s="80">
        <v>2307</v>
      </c>
      <c r="L43" s="83">
        <v>2351</v>
      </c>
    </row>
    <row r="44" spans="1:12" ht="14.45" customHeight="1" x14ac:dyDescent="0.25">
      <c r="A44" s="1193"/>
      <c r="B44" s="1673"/>
      <c r="C44" s="1112" t="s">
        <v>269</v>
      </c>
      <c r="D44" s="1112"/>
      <c r="E44" s="157">
        <f>E43-E42</f>
        <v>844</v>
      </c>
      <c r="F44" s="157">
        <f t="shared" ref="F44:L44" si="11">F43-F42</f>
        <v>1261</v>
      </c>
      <c r="G44" s="157">
        <f t="shared" si="11"/>
        <v>1626</v>
      </c>
      <c r="H44" s="157">
        <f t="shared" si="11"/>
        <v>1803</v>
      </c>
      <c r="I44" s="157">
        <f t="shared" si="11"/>
        <v>1716</v>
      </c>
      <c r="J44" s="157">
        <f t="shared" si="11"/>
        <v>1655</v>
      </c>
      <c r="K44" s="157">
        <f t="shared" si="11"/>
        <v>1626</v>
      </c>
      <c r="L44" s="160">
        <f t="shared" si="11"/>
        <v>1658</v>
      </c>
    </row>
    <row r="45" spans="1:12" ht="15" customHeight="1" thickBot="1" x14ac:dyDescent="0.3">
      <c r="A45" s="1671"/>
      <c r="B45" s="1674"/>
      <c r="C45" s="1126" t="s">
        <v>351</v>
      </c>
      <c r="D45" s="1126"/>
      <c r="E45" s="161">
        <f t="shared" ref="E45:L45" si="12">E43/E41*100</f>
        <v>79.886685552407926</v>
      </c>
      <c r="F45" s="161">
        <f t="shared" si="12"/>
        <v>77.377333912288321</v>
      </c>
      <c r="G45" s="161">
        <f t="shared" si="12"/>
        <v>77.503382949932345</v>
      </c>
      <c r="H45" s="161">
        <f t="shared" si="12"/>
        <v>78.646329837940897</v>
      </c>
      <c r="I45" s="161">
        <f t="shared" si="12"/>
        <v>77.857142857142861</v>
      </c>
      <c r="J45" s="161">
        <f t="shared" si="12"/>
        <v>77.337297654443333</v>
      </c>
      <c r="K45" s="161">
        <f t="shared" si="12"/>
        <v>77.208835341365472</v>
      </c>
      <c r="L45" s="162">
        <f t="shared" si="12"/>
        <v>77.233902759526941</v>
      </c>
    </row>
    <row r="46" spans="1:12" ht="16.5" thickBot="1" x14ac:dyDescent="0.3">
      <c r="A46" s="739" t="s">
        <v>248</v>
      </c>
      <c r="B46" s="767" t="s">
        <v>249</v>
      </c>
      <c r="C46" s="1675"/>
      <c r="D46" s="1675"/>
      <c r="E46" s="112">
        <v>2005</v>
      </c>
      <c r="F46" s="112">
        <v>2010</v>
      </c>
      <c r="G46" s="112">
        <v>2015</v>
      </c>
      <c r="H46" s="112">
        <v>2020</v>
      </c>
      <c r="I46" s="112">
        <v>2021</v>
      </c>
      <c r="J46" s="112">
        <v>2022</v>
      </c>
      <c r="K46" s="112">
        <v>2023</v>
      </c>
      <c r="L46" s="112">
        <v>2024</v>
      </c>
    </row>
    <row r="47" spans="1:12" s="64" customFormat="1" x14ac:dyDescent="0.25">
      <c r="A47" s="1682" t="s">
        <v>38</v>
      </c>
      <c r="B47" s="1392" t="s">
        <v>352</v>
      </c>
      <c r="C47" s="1147" t="s">
        <v>251</v>
      </c>
      <c r="D47" s="1147"/>
      <c r="E47" s="195">
        <v>6543</v>
      </c>
      <c r="F47" s="195">
        <v>11859</v>
      </c>
      <c r="G47" s="195">
        <v>11505</v>
      </c>
      <c r="H47" s="195">
        <v>10462</v>
      </c>
      <c r="I47" s="195">
        <v>10672</v>
      </c>
      <c r="J47" s="195">
        <v>7693</v>
      </c>
      <c r="K47" s="195">
        <v>7528</v>
      </c>
      <c r="L47" s="82">
        <v>7144</v>
      </c>
    </row>
    <row r="48" spans="1:12" x14ac:dyDescent="0.25">
      <c r="A48" s="1479"/>
      <c r="B48" s="1393"/>
      <c r="C48" s="1124" t="s">
        <v>257</v>
      </c>
      <c r="D48" s="1124"/>
      <c r="E48" s="96">
        <v>2790</v>
      </c>
      <c r="F48" s="96">
        <v>5672</v>
      </c>
      <c r="G48" s="96">
        <v>5079</v>
      </c>
      <c r="H48" s="96">
        <v>4507</v>
      </c>
      <c r="I48" s="96">
        <v>4408</v>
      </c>
      <c r="J48" s="96">
        <v>3073</v>
      </c>
      <c r="K48" s="96">
        <v>3073</v>
      </c>
      <c r="L48" s="83">
        <v>2970</v>
      </c>
    </row>
    <row r="49" spans="1:12" x14ac:dyDescent="0.25">
      <c r="A49" s="1479"/>
      <c r="B49" s="1393"/>
      <c r="C49" s="1124" t="s">
        <v>263</v>
      </c>
      <c r="D49" s="1124"/>
      <c r="E49" s="96">
        <v>3753</v>
      </c>
      <c r="F49" s="96">
        <v>6187</v>
      </c>
      <c r="G49" s="96">
        <v>6426</v>
      </c>
      <c r="H49" s="96">
        <v>5955</v>
      </c>
      <c r="I49" s="96">
        <v>6264</v>
      </c>
      <c r="J49" s="96">
        <v>4620</v>
      </c>
      <c r="K49" s="96">
        <v>4455</v>
      </c>
      <c r="L49" s="83">
        <v>4174</v>
      </c>
    </row>
    <row r="50" spans="1:12" x14ac:dyDescent="0.25">
      <c r="A50" s="1479"/>
      <c r="B50" s="1393"/>
      <c r="C50" s="1112" t="s">
        <v>353</v>
      </c>
      <c r="D50" s="1112"/>
      <c r="E50" s="157">
        <f t="shared" ref="E50:L50" si="13">+E49-E48</f>
        <v>963</v>
      </c>
      <c r="F50" s="157">
        <f t="shared" si="13"/>
        <v>515</v>
      </c>
      <c r="G50" s="157">
        <f t="shared" si="13"/>
        <v>1347</v>
      </c>
      <c r="H50" s="157">
        <f t="shared" si="13"/>
        <v>1448</v>
      </c>
      <c r="I50" s="157">
        <f t="shared" si="13"/>
        <v>1856</v>
      </c>
      <c r="J50" s="157">
        <f t="shared" si="13"/>
        <v>1547</v>
      </c>
      <c r="K50" s="157">
        <f t="shared" si="13"/>
        <v>1382</v>
      </c>
      <c r="L50" s="160">
        <f t="shared" si="13"/>
        <v>1204</v>
      </c>
    </row>
    <row r="51" spans="1:12" ht="16.5" thickBot="1" x14ac:dyDescent="0.3">
      <c r="A51" s="1479"/>
      <c r="B51" s="1402"/>
      <c r="C51" s="1126" t="s">
        <v>270</v>
      </c>
      <c r="D51" s="1126"/>
      <c r="E51" s="161">
        <f>E49/E47*100</f>
        <v>57.359009628610721</v>
      </c>
      <c r="F51" s="161">
        <f t="shared" ref="F51:L51" si="14">F49/F47*100</f>
        <v>52.171346656547769</v>
      </c>
      <c r="G51" s="161">
        <f t="shared" si="14"/>
        <v>55.853976531942628</v>
      </c>
      <c r="H51" s="161">
        <f t="shared" si="14"/>
        <v>56.92028292869432</v>
      </c>
      <c r="I51" s="161">
        <f t="shared" si="14"/>
        <v>58.695652173913047</v>
      </c>
      <c r="J51" s="161">
        <f t="shared" si="14"/>
        <v>60.05459508644222</v>
      </c>
      <c r="K51" s="161">
        <f t="shared" si="14"/>
        <v>59.179064824654624</v>
      </c>
      <c r="L51" s="162">
        <f t="shared" si="14"/>
        <v>58.426651735722281</v>
      </c>
    </row>
    <row r="52" spans="1:12" s="64" customFormat="1" x14ac:dyDescent="0.25">
      <c r="A52" s="1479"/>
      <c r="B52" s="1392" t="s">
        <v>146</v>
      </c>
      <c r="C52" s="1147" t="s">
        <v>251</v>
      </c>
      <c r="D52" s="1147"/>
      <c r="E52" s="40"/>
      <c r="F52" s="40"/>
      <c r="G52" s="40"/>
      <c r="H52" s="40">
        <v>7.2</v>
      </c>
      <c r="I52" s="40">
        <v>6.12</v>
      </c>
      <c r="J52" s="40">
        <v>4.95</v>
      </c>
      <c r="K52" s="40">
        <v>4.74</v>
      </c>
      <c r="L52" s="38">
        <v>4.4400000000000004</v>
      </c>
    </row>
    <row r="53" spans="1:12" x14ac:dyDescent="0.25">
      <c r="A53" s="1479"/>
      <c r="B53" s="1393"/>
      <c r="C53" s="1124" t="s">
        <v>257</v>
      </c>
      <c r="D53" s="1124"/>
      <c r="E53" s="28"/>
      <c r="F53" s="28"/>
      <c r="G53" s="28"/>
      <c r="H53" s="28">
        <v>6.49</v>
      </c>
      <c r="I53" s="28">
        <v>5.26</v>
      </c>
      <c r="J53" s="28">
        <v>4.21</v>
      </c>
      <c r="K53" s="28">
        <v>4.17</v>
      </c>
      <c r="L53" s="39">
        <v>3.91</v>
      </c>
    </row>
    <row r="54" spans="1:12" x14ac:dyDescent="0.25">
      <c r="A54" s="1479"/>
      <c r="B54" s="1393"/>
      <c r="C54" s="1223" t="s">
        <v>263</v>
      </c>
      <c r="D54" s="1223"/>
      <c r="E54" s="28"/>
      <c r="F54" s="28"/>
      <c r="G54" s="28"/>
      <c r="H54" s="28">
        <v>7.84</v>
      </c>
      <c r="I54" s="28">
        <v>6.91</v>
      </c>
      <c r="J54" s="28">
        <v>5.63</v>
      </c>
      <c r="K54" s="28">
        <v>5.27</v>
      </c>
      <c r="L54" s="39">
        <v>4.9400000000000004</v>
      </c>
    </row>
    <row r="55" spans="1:12" ht="16.5" thickBot="1" x14ac:dyDescent="0.3">
      <c r="A55" s="1479"/>
      <c r="B55" s="1402"/>
      <c r="C55" s="1225" t="s">
        <v>354</v>
      </c>
      <c r="D55" s="1225"/>
      <c r="E55" s="33"/>
      <c r="F55" s="33"/>
      <c r="G55" s="33"/>
      <c r="H55" s="34">
        <f>+H54-H53</f>
        <v>1.3499999999999996</v>
      </c>
      <c r="I55" s="34">
        <f>+I54-I53</f>
        <v>1.6500000000000004</v>
      </c>
      <c r="J55" s="34">
        <f>+J54-J53</f>
        <v>1.42</v>
      </c>
      <c r="K55" s="34">
        <f>+K54-K53</f>
        <v>1.0999999999999996</v>
      </c>
      <c r="L55" s="35">
        <f>+L54-L53</f>
        <v>1.0300000000000002</v>
      </c>
    </row>
    <row r="56" spans="1:12" s="64" customFormat="1" x14ac:dyDescent="0.25">
      <c r="A56" s="1479"/>
      <c r="B56" s="1683" t="s">
        <v>151</v>
      </c>
      <c r="C56" s="1317" t="s">
        <v>251</v>
      </c>
      <c r="D56" s="1317"/>
      <c r="E56" s="40"/>
      <c r="F56" s="40"/>
      <c r="G56" s="40"/>
      <c r="H56" s="195">
        <v>468</v>
      </c>
      <c r="I56" s="195">
        <v>547</v>
      </c>
      <c r="J56" s="195">
        <v>478</v>
      </c>
      <c r="K56" s="195">
        <v>581</v>
      </c>
      <c r="L56" s="325"/>
    </row>
    <row r="57" spans="1:12" x14ac:dyDescent="0.25">
      <c r="A57" s="1479"/>
      <c r="B57" s="1684"/>
      <c r="C57" s="1230" t="s">
        <v>257</v>
      </c>
      <c r="D57" s="1230"/>
      <c r="E57" s="28"/>
      <c r="F57" s="28"/>
      <c r="G57" s="28"/>
      <c r="H57" s="96">
        <v>166</v>
      </c>
      <c r="I57" s="96">
        <v>218</v>
      </c>
      <c r="J57" s="96">
        <v>161</v>
      </c>
      <c r="K57" s="96">
        <v>204</v>
      </c>
      <c r="L57" s="21"/>
    </row>
    <row r="58" spans="1:12" x14ac:dyDescent="0.25">
      <c r="A58" s="1479"/>
      <c r="B58" s="1684"/>
      <c r="C58" s="1124" t="s">
        <v>263</v>
      </c>
      <c r="D58" s="1124"/>
      <c r="E58" s="28"/>
      <c r="F58" s="28"/>
      <c r="G58" s="28"/>
      <c r="H58" s="96">
        <v>302</v>
      </c>
      <c r="I58" s="96">
        <v>329</v>
      </c>
      <c r="J58" s="96">
        <v>317</v>
      </c>
      <c r="K58" s="96">
        <v>377</v>
      </c>
      <c r="L58" s="21"/>
    </row>
    <row r="59" spans="1:12" x14ac:dyDescent="0.25">
      <c r="A59" s="1479"/>
      <c r="B59" s="1684"/>
      <c r="C59" s="1112" t="s">
        <v>353</v>
      </c>
      <c r="D59" s="1112"/>
      <c r="E59" s="28"/>
      <c r="F59" s="28"/>
      <c r="G59" s="28"/>
      <c r="H59" s="44">
        <f>+H58-H57</f>
        <v>136</v>
      </c>
      <c r="I59" s="44">
        <f>+I58-I57</f>
        <v>111</v>
      </c>
      <c r="J59" s="44">
        <f>+J58-J57</f>
        <v>156</v>
      </c>
      <c r="K59" s="44">
        <f>+K58-K57</f>
        <v>173</v>
      </c>
      <c r="L59" s="21"/>
    </row>
    <row r="60" spans="1:12" x14ac:dyDescent="0.25">
      <c r="A60" s="1479"/>
      <c r="B60" s="1685"/>
      <c r="C60" s="1178" t="s">
        <v>270</v>
      </c>
      <c r="D60" s="1178"/>
      <c r="E60" s="110"/>
      <c r="F60" s="110"/>
      <c r="G60" s="110"/>
      <c r="H60" s="165">
        <f>H58/H56*100</f>
        <v>64.529914529914535</v>
      </c>
      <c r="I60" s="165">
        <f>I58/I56*100</f>
        <v>60.146252285191956</v>
      </c>
      <c r="J60" s="165">
        <f>J58/J56*100</f>
        <v>66.317991631799174</v>
      </c>
      <c r="K60" s="165">
        <f>K58/K56*100</f>
        <v>64.888123924268498</v>
      </c>
      <c r="L60" s="53"/>
    </row>
    <row r="61" spans="1:12" ht="16.5" thickBot="1" x14ac:dyDescent="0.3">
      <c r="A61" s="1479"/>
      <c r="B61" s="338" t="s">
        <v>249</v>
      </c>
      <c r="C61" s="1422"/>
      <c r="D61" s="1422"/>
      <c r="E61" s="616"/>
      <c r="F61" s="616">
        <v>2011</v>
      </c>
      <c r="G61" s="616"/>
      <c r="H61" s="616"/>
      <c r="I61" s="616">
        <v>2021</v>
      </c>
      <c r="J61" s="616"/>
      <c r="K61" s="616"/>
      <c r="L61" s="616"/>
    </row>
    <row r="62" spans="1:12" x14ac:dyDescent="0.25">
      <c r="A62" s="1479"/>
      <c r="B62" s="1392" t="s">
        <v>156</v>
      </c>
      <c r="C62" s="1431" t="s">
        <v>355</v>
      </c>
      <c r="D62" s="207" t="s">
        <v>251</v>
      </c>
      <c r="E62" s="612"/>
      <c r="F62" s="81">
        <v>103125</v>
      </c>
      <c r="G62" s="103"/>
      <c r="H62" s="103"/>
      <c r="I62" s="81">
        <v>104724</v>
      </c>
      <c r="J62" s="36"/>
      <c r="K62" s="36"/>
      <c r="L62" s="20"/>
    </row>
    <row r="63" spans="1:12" ht="15" customHeight="1" x14ac:dyDescent="0.25">
      <c r="A63" s="1479"/>
      <c r="B63" s="1393"/>
      <c r="C63" s="1432"/>
      <c r="D63" s="28" t="s">
        <v>257</v>
      </c>
      <c r="E63" s="94"/>
      <c r="F63" s="80">
        <v>51160</v>
      </c>
      <c r="G63" s="95"/>
      <c r="H63" s="95"/>
      <c r="I63" s="80">
        <v>51717</v>
      </c>
      <c r="J63" s="28"/>
      <c r="K63" s="28"/>
      <c r="L63" s="21"/>
    </row>
    <row r="64" spans="1:12" x14ac:dyDescent="0.25">
      <c r="A64" s="1479"/>
      <c r="B64" s="1393"/>
      <c r="C64" s="1432"/>
      <c r="D64" s="28" t="s">
        <v>263</v>
      </c>
      <c r="E64" s="94"/>
      <c r="F64" s="80">
        <v>51965</v>
      </c>
      <c r="G64" s="95"/>
      <c r="H64" s="95"/>
      <c r="I64" s="80">
        <v>53007</v>
      </c>
      <c r="J64" s="28"/>
      <c r="K64" s="28"/>
      <c r="L64" s="21"/>
    </row>
    <row r="65" spans="1:12" hidden="1" x14ac:dyDescent="0.25">
      <c r="A65" s="1479"/>
      <c r="B65" s="1393"/>
      <c r="C65" s="1403" t="s">
        <v>356</v>
      </c>
      <c r="D65" s="144" t="s">
        <v>251</v>
      </c>
      <c r="E65" s="94"/>
      <c r="F65" s="80">
        <v>530</v>
      </c>
      <c r="G65" s="95"/>
      <c r="H65" s="95"/>
      <c r="I65" s="96"/>
      <c r="J65" s="28"/>
      <c r="K65" s="28"/>
      <c r="L65" s="21"/>
    </row>
    <row r="66" spans="1:12" hidden="1" x14ac:dyDescent="0.25">
      <c r="A66" s="1479"/>
      <c r="B66" s="1393"/>
      <c r="C66" s="1403"/>
      <c r="D66" s="28" t="s">
        <v>257</v>
      </c>
      <c r="E66" s="94"/>
      <c r="F66" s="80">
        <v>390</v>
      </c>
      <c r="G66" s="95"/>
      <c r="H66" s="95"/>
      <c r="I66" s="96"/>
      <c r="J66" s="28"/>
      <c r="K66" s="28"/>
      <c r="L66" s="21"/>
    </row>
    <row r="67" spans="1:12" hidden="1" x14ac:dyDescent="0.25">
      <c r="A67" s="1479"/>
      <c r="B67" s="1393"/>
      <c r="C67" s="1403"/>
      <c r="D67" s="28" t="s">
        <v>263</v>
      </c>
      <c r="E67" s="94"/>
      <c r="F67" s="80">
        <v>140</v>
      </c>
      <c r="G67" s="95"/>
      <c r="H67" s="95"/>
      <c r="I67" s="96"/>
      <c r="J67" s="28"/>
      <c r="K67" s="28"/>
      <c r="L67" s="21"/>
    </row>
    <row r="68" spans="1:12" hidden="1" x14ac:dyDescent="0.25">
      <c r="A68" s="1479"/>
      <c r="B68" s="1393"/>
      <c r="C68" s="1403"/>
      <c r="D68" s="28" t="s">
        <v>357</v>
      </c>
      <c r="E68" s="94"/>
      <c r="F68" s="97">
        <f>F67/F65*100</f>
        <v>26.415094339622641</v>
      </c>
      <c r="G68" s="94"/>
      <c r="H68" s="94"/>
      <c r="I68" s="28"/>
      <c r="J68" s="28"/>
      <c r="K68" s="28"/>
      <c r="L68" s="21"/>
    </row>
    <row r="69" spans="1:12" ht="14.85" hidden="1" customHeight="1" x14ac:dyDescent="0.25">
      <c r="A69" s="1479"/>
      <c r="B69" s="1393"/>
      <c r="C69" s="1403" t="s">
        <v>358</v>
      </c>
      <c r="D69" s="144" t="s">
        <v>251</v>
      </c>
      <c r="E69" s="94"/>
      <c r="F69" s="80">
        <v>1455</v>
      </c>
      <c r="G69" s="80"/>
      <c r="H69" s="80"/>
      <c r="I69" s="80">
        <v>624</v>
      </c>
      <c r="J69" s="28"/>
      <c r="K69" s="28"/>
      <c r="L69" s="21"/>
    </row>
    <row r="70" spans="1:12" hidden="1" x14ac:dyDescent="0.25">
      <c r="A70" s="1479"/>
      <c r="B70" s="1393"/>
      <c r="C70" s="1403"/>
      <c r="D70" s="28" t="s">
        <v>257</v>
      </c>
      <c r="E70" s="94"/>
      <c r="F70" s="80">
        <v>1205</v>
      </c>
      <c r="G70" s="80"/>
      <c r="H70" s="80"/>
      <c r="I70" s="80">
        <v>465</v>
      </c>
      <c r="J70" s="28"/>
      <c r="K70" s="28"/>
      <c r="L70" s="21"/>
    </row>
    <row r="71" spans="1:12" hidden="1" x14ac:dyDescent="0.25">
      <c r="A71" s="1479"/>
      <c r="B71" s="1393"/>
      <c r="C71" s="1403"/>
      <c r="D71" s="28" t="s">
        <v>263</v>
      </c>
      <c r="E71" s="94"/>
      <c r="F71" s="80">
        <v>245</v>
      </c>
      <c r="G71" s="80"/>
      <c r="H71" s="80"/>
      <c r="I71" s="80">
        <v>162</v>
      </c>
      <c r="J71" s="28"/>
      <c r="K71" s="28"/>
      <c r="L71" s="21"/>
    </row>
    <row r="72" spans="1:12" hidden="1" x14ac:dyDescent="0.25">
      <c r="A72" s="1479"/>
      <c r="B72" s="1393"/>
      <c r="C72" s="1403"/>
      <c r="D72" s="28" t="s">
        <v>357</v>
      </c>
      <c r="E72" s="94"/>
      <c r="F72" s="97">
        <f>F71/F69*100</f>
        <v>16.838487972508592</v>
      </c>
      <c r="G72" s="94"/>
      <c r="H72" s="94"/>
      <c r="I72" s="97">
        <f>I71/I69*100</f>
        <v>25.961538461538463</v>
      </c>
      <c r="J72" s="28"/>
      <c r="K72" s="28"/>
      <c r="L72" s="21"/>
    </row>
    <row r="73" spans="1:12" ht="14.85" hidden="1" customHeight="1" x14ac:dyDescent="0.25">
      <c r="A73" s="1479"/>
      <c r="B73" s="1393"/>
      <c r="C73" s="1403" t="s">
        <v>359</v>
      </c>
      <c r="D73" s="144" t="s">
        <v>251</v>
      </c>
      <c r="E73" s="94"/>
      <c r="F73" s="80">
        <v>3130</v>
      </c>
      <c r="G73" s="80"/>
      <c r="H73" s="80"/>
      <c r="I73" s="80">
        <v>3855</v>
      </c>
      <c r="J73" s="28"/>
      <c r="K73" s="28"/>
      <c r="L73" s="21"/>
    </row>
    <row r="74" spans="1:12" hidden="1" x14ac:dyDescent="0.25">
      <c r="A74" s="1479"/>
      <c r="B74" s="1393"/>
      <c r="C74" s="1403"/>
      <c r="D74" s="28" t="s">
        <v>257</v>
      </c>
      <c r="E74" s="94"/>
      <c r="F74" s="80">
        <v>2185</v>
      </c>
      <c r="G74" s="80"/>
      <c r="H74" s="80"/>
      <c r="I74" s="80">
        <v>2439</v>
      </c>
      <c r="J74" s="28"/>
      <c r="K74" s="28"/>
      <c r="L74" s="21"/>
    </row>
    <row r="75" spans="1:12" hidden="1" x14ac:dyDescent="0.25">
      <c r="A75" s="1479"/>
      <c r="B75" s="1393"/>
      <c r="C75" s="1403"/>
      <c r="D75" s="28" t="s">
        <v>263</v>
      </c>
      <c r="E75" s="94"/>
      <c r="F75" s="80">
        <v>950</v>
      </c>
      <c r="G75" s="80"/>
      <c r="H75" s="80"/>
      <c r="I75" s="80">
        <v>1413</v>
      </c>
      <c r="J75" s="28"/>
      <c r="K75" s="28"/>
      <c r="L75" s="21"/>
    </row>
    <row r="76" spans="1:12" hidden="1" x14ac:dyDescent="0.25">
      <c r="A76" s="1479"/>
      <c r="B76" s="1393"/>
      <c r="C76" s="1403"/>
      <c r="D76" s="28" t="s">
        <v>357</v>
      </c>
      <c r="E76" s="94"/>
      <c r="F76" s="97">
        <f>F75/F73*100</f>
        <v>30.35143769968051</v>
      </c>
      <c r="G76" s="94"/>
      <c r="H76" s="94"/>
      <c r="I76" s="97">
        <f>I75/I73*100</f>
        <v>36.653696498054472</v>
      </c>
      <c r="J76" s="28"/>
      <c r="K76" s="28"/>
      <c r="L76" s="21"/>
    </row>
    <row r="77" spans="1:12" ht="14.85" hidden="1" customHeight="1" x14ac:dyDescent="0.25">
      <c r="A77" s="1479"/>
      <c r="B77" s="1393"/>
      <c r="C77" s="1403" t="s">
        <v>360</v>
      </c>
      <c r="D77" s="144" t="s">
        <v>251</v>
      </c>
      <c r="E77" s="94"/>
      <c r="F77" s="80">
        <v>3625</v>
      </c>
      <c r="G77" s="80"/>
      <c r="H77" s="80"/>
      <c r="I77" s="80">
        <v>1005</v>
      </c>
      <c r="J77" s="28"/>
      <c r="K77" s="28"/>
      <c r="L77" s="21"/>
    </row>
    <row r="78" spans="1:12" hidden="1" x14ac:dyDescent="0.25">
      <c r="A78" s="1479"/>
      <c r="B78" s="1393"/>
      <c r="C78" s="1403"/>
      <c r="D78" s="28" t="s">
        <v>257</v>
      </c>
      <c r="E78" s="94"/>
      <c r="F78" s="80">
        <v>2410</v>
      </c>
      <c r="G78" s="80"/>
      <c r="H78" s="80"/>
      <c r="I78" s="80">
        <v>675</v>
      </c>
      <c r="J78" s="28"/>
      <c r="K78" s="28"/>
      <c r="L78" s="21"/>
    </row>
    <row r="79" spans="1:12" hidden="1" x14ac:dyDescent="0.25">
      <c r="A79" s="1479"/>
      <c r="B79" s="1393"/>
      <c r="C79" s="1403"/>
      <c r="D79" s="28" t="s">
        <v>263</v>
      </c>
      <c r="E79" s="94"/>
      <c r="F79" s="80">
        <v>1215</v>
      </c>
      <c r="G79" s="80"/>
      <c r="H79" s="80"/>
      <c r="I79" s="80">
        <v>330</v>
      </c>
      <c r="J79" s="28"/>
      <c r="K79" s="28"/>
      <c r="L79" s="21"/>
    </row>
    <row r="80" spans="1:12" hidden="1" x14ac:dyDescent="0.25">
      <c r="A80" s="1479"/>
      <c r="B80" s="1393"/>
      <c r="C80" s="1403"/>
      <c r="D80" s="28" t="s">
        <v>357</v>
      </c>
      <c r="E80" s="94"/>
      <c r="F80" s="97">
        <f>F79/F77*100</f>
        <v>33.517241379310349</v>
      </c>
      <c r="G80" s="94"/>
      <c r="H80" s="94"/>
      <c r="I80" s="97">
        <f>I79/I77*100</f>
        <v>32.835820895522389</v>
      </c>
      <c r="J80" s="28"/>
      <c r="K80" s="28"/>
      <c r="L80" s="21"/>
    </row>
    <row r="81" spans="1:12" ht="14.85" hidden="1" customHeight="1" x14ac:dyDescent="0.25">
      <c r="A81" s="1479"/>
      <c r="B81" s="1393"/>
      <c r="C81" s="1403" t="s">
        <v>361</v>
      </c>
      <c r="D81" s="144" t="s">
        <v>251</v>
      </c>
      <c r="E81" s="94"/>
      <c r="F81" s="80">
        <v>630</v>
      </c>
      <c r="G81" s="80"/>
      <c r="H81" s="80"/>
      <c r="I81" s="80">
        <v>696</v>
      </c>
      <c r="J81" s="28"/>
      <c r="K81" s="28"/>
      <c r="L81" s="21"/>
    </row>
    <row r="82" spans="1:12" hidden="1" x14ac:dyDescent="0.25">
      <c r="A82" s="1479"/>
      <c r="B82" s="1393"/>
      <c r="C82" s="1403"/>
      <c r="D82" s="28" t="s">
        <v>257</v>
      </c>
      <c r="E82" s="94"/>
      <c r="F82" s="80">
        <v>315</v>
      </c>
      <c r="G82" s="80"/>
      <c r="H82" s="80"/>
      <c r="I82" s="80">
        <v>438</v>
      </c>
      <c r="J82" s="28"/>
      <c r="K82" s="28"/>
      <c r="L82" s="21"/>
    </row>
    <row r="83" spans="1:12" hidden="1" x14ac:dyDescent="0.25">
      <c r="A83" s="1479"/>
      <c r="B83" s="1393"/>
      <c r="C83" s="1403"/>
      <c r="D83" s="28" t="s">
        <v>263</v>
      </c>
      <c r="E83" s="94"/>
      <c r="F83" s="80">
        <v>310</v>
      </c>
      <c r="G83" s="80"/>
      <c r="H83" s="80"/>
      <c r="I83" s="80">
        <v>258</v>
      </c>
      <c r="J83" s="28"/>
      <c r="K83" s="28"/>
      <c r="L83" s="21"/>
    </row>
    <row r="84" spans="1:12" hidden="1" x14ac:dyDescent="0.25">
      <c r="A84" s="1479"/>
      <c r="B84" s="1393"/>
      <c r="C84" s="1403"/>
      <c r="D84" s="28" t="s">
        <v>357</v>
      </c>
      <c r="E84" s="94"/>
      <c r="F84" s="98">
        <f>(F83/F81)*100</f>
        <v>49.206349206349202</v>
      </c>
      <c r="G84" s="94"/>
      <c r="H84" s="94"/>
      <c r="I84" s="97">
        <f>I83/I81*100</f>
        <v>37.068965517241381</v>
      </c>
      <c r="J84" s="28"/>
      <c r="K84" s="28"/>
      <c r="L84" s="21"/>
    </row>
    <row r="85" spans="1:12" ht="14.85" hidden="1" customHeight="1" x14ac:dyDescent="0.25">
      <c r="A85" s="1479"/>
      <c r="B85" s="1393"/>
      <c r="C85" s="1403" t="s">
        <v>362</v>
      </c>
      <c r="D85" s="144" t="s">
        <v>251</v>
      </c>
      <c r="E85" s="94"/>
      <c r="F85" s="80">
        <v>480</v>
      </c>
      <c r="G85" s="80"/>
      <c r="H85" s="80"/>
      <c r="I85" s="80">
        <v>873</v>
      </c>
      <c r="J85" s="28"/>
      <c r="K85" s="28"/>
      <c r="L85" s="21"/>
    </row>
    <row r="86" spans="1:12" ht="15" hidden="1" customHeight="1" x14ac:dyDescent="0.25">
      <c r="A86" s="1479"/>
      <c r="B86" s="1393"/>
      <c r="C86" s="1403"/>
      <c r="D86" s="28" t="s">
        <v>257</v>
      </c>
      <c r="E86" s="94"/>
      <c r="F86" s="80">
        <v>355</v>
      </c>
      <c r="G86" s="80"/>
      <c r="H86" s="80"/>
      <c r="I86" s="80">
        <v>570</v>
      </c>
      <c r="J86" s="28"/>
      <c r="K86" s="28"/>
      <c r="L86" s="21"/>
    </row>
    <row r="87" spans="1:12" hidden="1" x14ac:dyDescent="0.25">
      <c r="A87" s="1479"/>
      <c r="B87" s="1393"/>
      <c r="C87" s="1403"/>
      <c r="D87" s="28" t="s">
        <v>263</v>
      </c>
      <c r="E87" s="94"/>
      <c r="F87" s="80">
        <v>125</v>
      </c>
      <c r="G87" s="80"/>
      <c r="H87" s="80"/>
      <c r="I87" s="80">
        <v>303</v>
      </c>
      <c r="J87" s="28"/>
      <c r="K87" s="28"/>
      <c r="L87" s="21"/>
    </row>
    <row r="88" spans="1:12" hidden="1" x14ac:dyDescent="0.25">
      <c r="A88" s="1479"/>
      <c r="B88" s="1393"/>
      <c r="C88" s="1403"/>
      <c r="D88" s="28" t="s">
        <v>357</v>
      </c>
      <c r="E88" s="94"/>
      <c r="F88" s="97">
        <f>(F87/F85)*100</f>
        <v>26.041666666666668</v>
      </c>
      <c r="G88" s="94"/>
      <c r="H88" s="94"/>
      <c r="I88" s="97">
        <f>I87/I85*100</f>
        <v>34.707903780068726</v>
      </c>
      <c r="J88" s="28"/>
      <c r="K88" s="28"/>
      <c r="L88" s="21"/>
    </row>
    <row r="89" spans="1:12" hidden="1" x14ac:dyDescent="0.25">
      <c r="A89" s="1479"/>
      <c r="B89" s="1393"/>
      <c r="C89" s="1403" t="s">
        <v>363</v>
      </c>
      <c r="D89" s="144" t="s">
        <v>251</v>
      </c>
      <c r="E89" s="94"/>
      <c r="F89" s="80">
        <v>6290</v>
      </c>
      <c r="G89" s="80"/>
      <c r="H89" s="80"/>
      <c r="I89" s="80">
        <v>6360</v>
      </c>
      <c r="J89" s="28"/>
      <c r="K89" s="28"/>
      <c r="L89" s="21"/>
    </row>
    <row r="90" spans="1:12" hidden="1" x14ac:dyDescent="0.25">
      <c r="A90" s="1479"/>
      <c r="B90" s="1393"/>
      <c r="C90" s="1403"/>
      <c r="D90" s="28" t="s">
        <v>257</v>
      </c>
      <c r="E90" s="94"/>
      <c r="F90" s="80">
        <v>1800</v>
      </c>
      <c r="G90" s="80"/>
      <c r="H90" s="80"/>
      <c r="I90" s="80">
        <v>1713</v>
      </c>
      <c r="J90" s="28"/>
      <c r="K90" s="28"/>
      <c r="L90" s="21"/>
    </row>
    <row r="91" spans="1:12" hidden="1" x14ac:dyDescent="0.25">
      <c r="A91" s="1479"/>
      <c r="B91" s="1393"/>
      <c r="C91" s="1403"/>
      <c r="D91" s="28" t="s">
        <v>263</v>
      </c>
      <c r="E91" s="94"/>
      <c r="F91" s="80">
        <v>4490</v>
      </c>
      <c r="G91" s="80"/>
      <c r="H91" s="80"/>
      <c r="I91" s="80">
        <v>4647</v>
      </c>
      <c r="J91" s="28"/>
      <c r="K91" s="28"/>
      <c r="L91" s="21"/>
    </row>
    <row r="92" spans="1:12" hidden="1" x14ac:dyDescent="0.25">
      <c r="A92" s="1479"/>
      <c r="B92" s="1393"/>
      <c r="C92" s="1403"/>
      <c r="D92" s="28" t="s">
        <v>357</v>
      </c>
      <c r="E92" s="94"/>
      <c r="F92" s="99">
        <f>(F91/F89)*100</f>
        <v>71.383147853736091</v>
      </c>
      <c r="G92" s="94"/>
      <c r="H92" s="94"/>
      <c r="I92" s="99">
        <f>I91/I89*100</f>
        <v>73.066037735849051</v>
      </c>
      <c r="J92" s="28"/>
      <c r="K92" s="28"/>
      <c r="L92" s="21"/>
    </row>
    <row r="93" spans="1:12" ht="14.85" hidden="1" customHeight="1" x14ac:dyDescent="0.25">
      <c r="A93" s="1479"/>
      <c r="B93" s="1393"/>
      <c r="C93" s="1403" t="s">
        <v>364</v>
      </c>
      <c r="D93" s="144" t="s">
        <v>251</v>
      </c>
      <c r="E93" s="94"/>
      <c r="F93" s="80">
        <v>5075</v>
      </c>
      <c r="G93" s="80"/>
      <c r="H93" s="80"/>
      <c r="I93" s="80">
        <v>6000</v>
      </c>
      <c r="J93" s="28"/>
      <c r="K93" s="28"/>
      <c r="L93" s="21"/>
    </row>
    <row r="94" spans="1:12" ht="14.85" hidden="1" customHeight="1" x14ac:dyDescent="0.25">
      <c r="A94" s="1479"/>
      <c r="B94" s="1393"/>
      <c r="C94" s="1403"/>
      <c r="D94" s="28" t="s">
        <v>257</v>
      </c>
      <c r="E94" s="94"/>
      <c r="F94" s="80">
        <v>1580</v>
      </c>
      <c r="G94" s="80"/>
      <c r="H94" s="80"/>
      <c r="I94" s="80">
        <v>1989</v>
      </c>
      <c r="J94" s="28"/>
      <c r="K94" s="28"/>
      <c r="L94" s="21"/>
    </row>
    <row r="95" spans="1:12" hidden="1" x14ac:dyDescent="0.25">
      <c r="A95" s="1479"/>
      <c r="B95" s="1393"/>
      <c r="C95" s="1403"/>
      <c r="D95" s="28" t="s">
        <v>263</v>
      </c>
      <c r="E95" s="94"/>
      <c r="F95" s="80">
        <v>3495</v>
      </c>
      <c r="G95" s="80"/>
      <c r="H95" s="80"/>
      <c r="I95" s="80">
        <v>4011</v>
      </c>
      <c r="J95" s="28"/>
      <c r="K95" s="28"/>
      <c r="L95" s="21"/>
    </row>
    <row r="96" spans="1:12" hidden="1" x14ac:dyDescent="0.25">
      <c r="A96" s="1479"/>
      <c r="B96" s="1393"/>
      <c r="C96" s="1403"/>
      <c r="D96" s="28" t="s">
        <v>357</v>
      </c>
      <c r="E96" s="94"/>
      <c r="F96" s="99">
        <f>(F95/F93)*100</f>
        <v>68.86699507389163</v>
      </c>
      <c r="G96" s="94"/>
      <c r="H96" s="94"/>
      <c r="I96" s="99">
        <f>I95/I93*100</f>
        <v>66.849999999999994</v>
      </c>
      <c r="J96" s="28"/>
      <c r="K96" s="28"/>
      <c r="L96" s="21"/>
    </row>
    <row r="97" spans="1:12" ht="14.85" hidden="1" customHeight="1" x14ac:dyDescent="0.25">
      <c r="A97" s="1479"/>
      <c r="B97" s="1393"/>
      <c r="C97" s="1403" t="s">
        <v>365</v>
      </c>
      <c r="D97" s="144" t="s">
        <v>251</v>
      </c>
      <c r="E97" s="94"/>
      <c r="F97" s="80">
        <v>840</v>
      </c>
      <c r="G97" s="80"/>
      <c r="H97" s="80"/>
      <c r="I97" s="80">
        <v>1320</v>
      </c>
      <c r="J97" s="28"/>
      <c r="K97" s="28"/>
      <c r="L97" s="21"/>
    </row>
    <row r="98" spans="1:12" hidden="1" x14ac:dyDescent="0.25">
      <c r="A98" s="1479"/>
      <c r="B98" s="1393"/>
      <c r="C98" s="1403"/>
      <c r="D98" s="28" t="s">
        <v>257</v>
      </c>
      <c r="E98" s="94"/>
      <c r="F98" s="80">
        <v>250</v>
      </c>
      <c r="G98" s="80"/>
      <c r="H98" s="80"/>
      <c r="I98" s="80">
        <v>516</v>
      </c>
      <c r="J98" s="28"/>
      <c r="K98" s="28"/>
      <c r="L98" s="21"/>
    </row>
    <row r="99" spans="1:12" hidden="1" x14ac:dyDescent="0.25">
      <c r="A99" s="1479"/>
      <c r="B99" s="1393"/>
      <c r="C99" s="1403"/>
      <c r="D99" s="28" t="s">
        <v>263</v>
      </c>
      <c r="E99" s="94"/>
      <c r="F99" s="80">
        <v>585</v>
      </c>
      <c r="G99" s="80"/>
      <c r="H99" s="80"/>
      <c r="I99" s="80">
        <v>804</v>
      </c>
      <c r="J99" s="28"/>
      <c r="K99" s="28"/>
      <c r="L99" s="21"/>
    </row>
    <row r="100" spans="1:12" hidden="1" x14ac:dyDescent="0.25">
      <c r="A100" s="1479"/>
      <c r="B100" s="1393"/>
      <c r="C100" s="1403"/>
      <c r="D100" s="28" t="s">
        <v>357</v>
      </c>
      <c r="E100" s="94"/>
      <c r="F100" s="99">
        <f>F99/F97*100</f>
        <v>69.642857142857139</v>
      </c>
      <c r="G100" s="94"/>
      <c r="H100" s="94"/>
      <c r="I100" s="99">
        <f>I99/I97*100</f>
        <v>60.909090909090914</v>
      </c>
      <c r="J100" s="28"/>
      <c r="K100" s="28"/>
      <c r="L100" s="21"/>
    </row>
    <row r="101" spans="1:12" ht="14.85" hidden="1" customHeight="1" x14ac:dyDescent="0.25">
      <c r="A101" s="1479"/>
      <c r="B101" s="1393"/>
      <c r="C101" s="1403" t="s">
        <v>366</v>
      </c>
      <c r="D101" s="144" t="s">
        <v>251</v>
      </c>
      <c r="E101" s="94"/>
      <c r="F101" s="80">
        <v>8400</v>
      </c>
      <c r="G101" s="80"/>
      <c r="H101" s="80"/>
      <c r="I101" s="80">
        <v>6915</v>
      </c>
      <c r="J101" s="28"/>
      <c r="K101" s="28"/>
      <c r="L101" s="21"/>
    </row>
    <row r="102" spans="1:12" hidden="1" x14ac:dyDescent="0.25">
      <c r="A102" s="1479"/>
      <c r="B102" s="1393"/>
      <c r="C102" s="1403"/>
      <c r="D102" s="28" t="s">
        <v>257</v>
      </c>
      <c r="E102" s="94"/>
      <c r="F102" s="80">
        <v>5320</v>
      </c>
      <c r="G102" s="80"/>
      <c r="H102" s="80"/>
      <c r="I102" s="80">
        <v>4392</v>
      </c>
      <c r="J102" s="28"/>
      <c r="K102" s="28"/>
      <c r="L102" s="21"/>
    </row>
    <row r="103" spans="1:12" hidden="1" x14ac:dyDescent="0.25">
      <c r="A103" s="1479"/>
      <c r="B103" s="1393"/>
      <c r="C103" s="1403"/>
      <c r="D103" s="28" t="s">
        <v>263</v>
      </c>
      <c r="E103" s="94"/>
      <c r="F103" s="80">
        <v>3080</v>
      </c>
      <c r="G103" s="80"/>
      <c r="H103" s="80"/>
      <c r="I103" s="80">
        <v>2523</v>
      </c>
      <c r="J103" s="28"/>
      <c r="K103" s="28"/>
      <c r="L103" s="21"/>
    </row>
    <row r="104" spans="1:12" hidden="1" x14ac:dyDescent="0.25">
      <c r="A104" s="1479"/>
      <c r="B104" s="1393"/>
      <c r="C104" s="1403"/>
      <c r="D104" s="28" t="s">
        <v>357</v>
      </c>
      <c r="E104" s="94"/>
      <c r="F104" s="97">
        <f>(F103/F101)*100</f>
        <v>36.666666666666664</v>
      </c>
      <c r="G104" s="94"/>
      <c r="H104" s="94"/>
      <c r="I104" s="97">
        <f>I103/I101*100</f>
        <v>36.485900216919745</v>
      </c>
      <c r="J104" s="28"/>
      <c r="K104" s="28"/>
      <c r="L104" s="21"/>
    </row>
    <row r="105" spans="1:12" hidden="1" x14ac:dyDescent="0.25">
      <c r="A105" s="1479"/>
      <c r="B105" s="1393"/>
      <c r="C105" s="1403" t="s">
        <v>367</v>
      </c>
      <c r="D105" s="144" t="s">
        <v>251</v>
      </c>
      <c r="E105" s="94"/>
      <c r="F105" s="80">
        <v>2085</v>
      </c>
      <c r="G105" s="80"/>
      <c r="H105" s="80"/>
      <c r="I105" s="80">
        <v>2610</v>
      </c>
      <c r="J105" s="96"/>
      <c r="K105" s="28"/>
      <c r="L105" s="21"/>
    </row>
    <row r="106" spans="1:12" hidden="1" x14ac:dyDescent="0.25">
      <c r="A106" s="1479"/>
      <c r="B106" s="1393"/>
      <c r="C106" s="1403"/>
      <c r="D106" s="28" t="s">
        <v>257</v>
      </c>
      <c r="E106" s="94"/>
      <c r="F106" s="80">
        <v>1025</v>
      </c>
      <c r="G106" s="80"/>
      <c r="H106" s="80"/>
      <c r="I106" s="80">
        <v>1230</v>
      </c>
      <c r="J106" s="96"/>
      <c r="K106" s="28"/>
      <c r="L106" s="21"/>
    </row>
    <row r="107" spans="1:12" hidden="1" x14ac:dyDescent="0.25">
      <c r="A107" s="1479"/>
      <c r="B107" s="1393"/>
      <c r="C107" s="1403"/>
      <c r="D107" s="28" t="s">
        <v>263</v>
      </c>
      <c r="E107" s="94"/>
      <c r="F107" s="80">
        <v>1060</v>
      </c>
      <c r="G107" s="80"/>
      <c r="H107" s="80"/>
      <c r="I107" s="80">
        <v>1380</v>
      </c>
      <c r="J107" s="96"/>
      <c r="K107" s="28"/>
      <c r="L107" s="21"/>
    </row>
    <row r="108" spans="1:12" hidden="1" x14ac:dyDescent="0.25">
      <c r="A108" s="1479"/>
      <c r="B108" s="1393"/>
      <c r="C108" s="1403"/>
      <c r="D108" s="28" t="s">
        <v>357</v>
      </c>
      <c r="E108" s="94"/>
      <c r="F108" s="98">
        <f>(F107/F105)*100</f>
        <v>50.83932853717026</v>
      </c>
      <c r="G108" s="94"/>
      <c r="H108" s="94"/>
      <c r="I108" s="98">
        <f>I107/I105*100</f>
        <v>52.873563218390807</v>
      </c>
      <c r="J108" s="96"/>
      <c r="K108" s="28"/>
      <c r="L108" s="21"/>
    </row>
    <row r="109" spans="1:12" ht="14.85" hidden="1" customHeight="1" x14ac:dyDescent="0.25">
      <c r="A109" s="1479"/>
      <c r="B109" s="1393"/>
      <c r="C109" s="1403" t="s">
        <v>368</v>
      </c>
      <c r="D109" s="144" t="s">
        <v>251</v>
      </c>
      <c r="E109" s="94"/>
      <c r="F109" s="80">
        <v>4945</v>
      </c>
      <c r="G109" s="80"/>
      <c r="H109" s="80"/>
      <c r="I109" s="80">
        <v>7434</v>
      </c>
      <c r="J109" s="96"/>
      <c r="K109" s="28"/>
      <c r="L109" s="21"/>
    </row>
    <row r="110" spans="1:12" hidden="1" x14ac:dyDescent="0.25">
      <c r="A110" s="1479"/>
      <c r="B110" s="1393"/>
      <c r="C110" s="1403"/>
      <c r="D110" s="28" t="s">
        <v>257</v>
      </c>
      <c r="E110" s="94"/>
      <c r="F110" s="80">
        <v>2290</v>
      </c>
      <c r="G110" s="80"/>
      <c r="H110" s="80"/>
      <c r="I110" s="80">
        <v>3591</v>
      </c>
      <c r="J110" s="96"/>
      <c r="K110" s="28"/>
      <c r="L110" s="21"/>
    </row>
    <row r="111" spans="1:12" hidden="1" x14ac:dyDescent="0.25">
      <c r="A111" s="1479"/>
      <c r="B111" s="1393"/>
      <c r="C111" s="1403"/>
      <c r="D111" s="28" t="s">
        <v>263</v>
      </c>
      <c r="E111" s="94"/>
      <c r="F111" s="80">
        <v>2655</v>
      </c>
      <c r="G111" s="80"/>
      <c r="H111" s="80"/>
      <c r="I111" s="80">
        <v>3840</v>
      </c>
      <c r="J111" s="96"/>
      <c r="K111" s="28"/>
      <c r="L111" s="21"/>
    </row>
    <row r="112" spans="1:12" hidden="1" x14ac:dyDescent="0.25">
      <c r="A112" s="1479"/>
      <c r="B112" s="1393"/>
      <c r="C112" s="1403"/>
      <c r="D112" s="28" t="s">
        <v>357</v>
      </c>
      <c r="E112" s="94"/>
      <c r="F112" s="98">
        <f>(F111/F109)*100</f>
        <v>53.690596562184027</v>
      </c>
      <c r="G112" s="94"/>
      <c r="H112" s="94"/>
      <c r="I112" s="98">
        <f>I111/I109*100</f>
        <v>51.654560129136392</v>
      </c>
      <c r="J112" s="96"/>
      <c r="K112" s="28"/>
      <c r="L112" s="21"/>
    </row>
    <row r="113" spans="1:12" ht="14.85" hidden="1" customHeight="1" x14ac:dyDescent="0.25">
      <c r="A113" s="1479"/>
      <c r="B113" s="1393"/>
      <c r="C113" s="1403" t="s">
        <v>369</v>
      </c>
      <c r="D113" s="144" t="s">
        <v>251</v>
      </c>
      <c r="E113" s="94"/>
      <c r="F113" s="80">
        <v>2705</v>
      </c>
      <c r="G113" s="80"/>
      <c r="H113" s="80"/>
      <c r="I113" s="80">
        <v>3693</v>
      </c>
      <c r="J113" s="96"/>
      <c r="K113" s="28"/>
      <c r="L113" s="21"/>
    </row>
    <row r="114" spans="1:12" hidden="1" x14ac:dyDescent="0.25">
      <c r="A114" s="1479"/>
      <c r="B114" s="1393"/>
      <c r="C114" s="1403"/>
      <c r="D114" s="28" t="s">
        <v>257</v>
      </c>
      <c r="E114" s="94"/>
      <c r="F114" s="80">
        <v>1975</v>
      </c>
      <c r="G114" s="80"/>
      <c r="H114" s="80"/>
      <c r="I114" s="80">
        <v>2613</v>
      </c>
      <c r="J114" s="96"/>
      <c r="K114" s="28"/>
      <c r="L114" s="21"/>
    </row>
    <row r="115" spans="1:12" hidden="1" x14ac:dyDescent="0.25">
      <c r="A115" s="1479"/>
      <c r="B115" s="1393"/>
      <c r="C115" s="1403"/>
      <c r="D115" s="28" t="s">
        <v>263</v>
      </c>
      <c r="E115" s="94"/>
      <c r="F115" s="80">
        <v>725</v>
      </c>
      <c r="G115" s="80"/>
      <c r="H115" s="80"/>
      <c r="I115" s="80">
        <v>1080</v>
      </c>
      <c r="J115" s="96"/>
      <c r="K115" s="28"/>
      <c r="L115" s="21"/>
    </row>
    <row r="116" spans="1:12" hidden="1" x14ac:dyDescent="0.25">
      <c r="A116" s="1479"/>
      <c r="B116" s="1393"/>
      <c r="C116" s="1403"/>
      <c r="D116" s="28" t="s">
        <v>357</v>
      </c>
      <c r="E116" s="94"/>
      <c r="F116" s="97">
        <f>(F115/F113)*100</f>
        <v>26.802218114602589</v>
      </c>
      <c r="G116" s="94"/>
      <c r="H116" s="94"/>
      <c r="I116" s="97">
        <f>I115/I113*100</f>
        <v>29.24451665312754</v>
      </c>
      <c r="J116" s="96"/>
      <c r="K116" s="28"/>
      <c r="L116" s="21"/>
    </row>
    <row r="117" spans="1:12" ht="14.85" hidden="1" customHeight="1" x14ac:dyDescent="0.25">
      <c r="A117" s="1479"/>
      <c r="B117" s="1393"/>
      <c r="C117" s="1403" t="s">
        <v>370</v>
      </c>
      <c r="D117" s="144" t="s">
        <v>251</v>
      </c>
      <c r="E117" s="94"/>
      <c r="F117" s="80">
        <v>3420</v>
      </c>
      <c r="G117" s="80"/>
      <c r="H117" s="80"/>
      <c r="I117" s="80">
        <v>1692</v>
      </c>
      <c r="J117" s="96"/>
      <c r="K117" s="28"/>
      <c r="L117" s="21"/>
    </row>
    <row r="118" spans="1:12" hidden="1" x14ac:dyDescent="0.25">
      <c r="A118" s="1479"/>
      <c r="B118" s="1393"/>
      <c r="C118" s="1403"/>
      <c r="D118" s="28" t="s">
        <v>257</v>
      </c>
      <c r="E118" s="94"/>
      <c r="F118" s="80">
        <v>1345</v>
      </c>
      <c r="G118" s="80"/>
      <c r="H118" s="80"/>
      <c r="I118" s="80">
        <v>558</v>
      </c>
      <c r="J118" s="96"/>
      <c r="K118" s="28"/>
      <c r="L118" s="21"/>
    </row>
    <row r="119" spans="1:12" hidden="1" x14ac:dyDescent="0.25">
      <c r="A119" s="1479"/>
      <c r="B119" s="1393"/>
      <c r="C119" s="1403"/>
      <c r="D119" s="28" t="s">
        <v>263</v>
      </c>
      <c r="E119" s="94"/>
      <c r="F119" s="80">
        <v>2070</v>
      </c>
      <c r="G119" s="80"/>
      <c r="H119" s="80"/>
      <c r="I119" s="80">
        <v>1137</v>
      </c>
      <c r="J119" s="96"/>
      <c r="K119" s="28"/>
      <c r="L119" s="21"/>
    </row>
    <row r="120" spans="1:12" hidden="1" x14ac:dyDescent="0.25">
      <c r="A120" s="1479"/>
      <c r="B120" s="1393"/>
      <c r="C120" s="1403"/>
      <c r="D120" s="28" t="s">
        <v>357</v>
      </c>
      <c r="E120" s="94"/>
      <c r="F120" s="99">
        <f>(F119/F117)*100</f>
        <v>60.526315789473685</v>
      </c>
      <c r="G120" s="94"/>
      <c r="H120" s="94"/>
      <c r="I120" s="99">
        <f>I119/I117*100</f>
        <v>67.198581560283685</v>
      </c>
      <c r="J120" s="96"/>
      <c r="K120" s="28"/>
      <c r="L120" s="21"/>
    </row>
    <row r="121" spans="1:12" ht="14.85" hidden="1" customHeight="1" x14ac:dyDescent="0.25">
      <c r="A121" s="1479"/>
      <c r="B121" s="1393"/>
      <c r="C121" s="1403" t="s">
        <v>371</v>
      </c>
      <c r="D121" s="144" t="s">
        <v>251</v>
      </c>
      <c r="E121" s="94"/>
      <c r="F121" s="80">
        <v>65</v>
      </c>
      <c r="G121" s="80"/>
      <c r="H121" s="80"/>
      <c r="I121" s="80">
        <v>1590</v>
      </c>
      <c r="J121" s="96"/>
      <c r="K121" s="28"/>
      <c r="L121" s="21"/>
    </row>
    <row r="122" spans="1:12" hidden="1" x14ac:dyDescent="0.25">
      <c r="A122" s="1479"/>
      <c r="B122" s="1393"/>
      <c r="C122" s="1403"/>
      <c r="D122" s="28" t="s">
        <v>257</v>
      </c>
      <c r="E122" s="94"/>
      <c r="F122" s="80">
        <v>25</v>
      </c>
      <c r="G122" s="80"/>
      <c r="H122" s="80"/>
      <c r="I122" s="80">
        <v>711</v>
      </c>
      <c r="J122" s="96"/>
      <c r="K122" s="28"/>
      <c r="L122" s="21"/>
    </row>
    <row r="123" spans="1:12" hidden="1" x14ac:dyDescent="0.25">
      <c r="A123" s="1479"/>
      <c r="B123" s="1393"/>
      <c r="C123" s="1403"/>
      <c r="D123" s="28" t="s">
        <v>263</v>
      </c>
      <c r="E123" s="94"/>
      <c r="F123" s="80">
        <v>40</v>
      </c>
      <c r="G123" s="80"/>
      <c r="H123" s="80"/>
      <c r="I123" s="80">
        <v>882</v>
      </c>
      <c r="J123" s="96"/>
      <c r="K123" s="28"/>
      <c r="L123" s="21"/>
    </row>
    <row r="124" spans="1:12" hidden="1" x14ac:dyDescent="0.25">
      <c r="A124" s="1479"/>
      <c r="B124" s="1393"/>
      <c r="C124" s="1403"/>
      <c r="D124" s="28" t="s">
        <v>357</v>
      </c>
      <c r="E124" s="94"/>
      <c r="F124" s="99">
        <f>(F123/F121)*100</f>
        <v>61.53846153846154</v>
      </c>
      <c r="G124" s="94"/>
      <c r="H124" s="94"/>
      <c r="I124" s="98">
        <f>I123/I121*100</f>
        <v>55.471698113207545</v>
      </c>
      <c r="J124" s="96"/>
      <c r="K124" s="28"/>
      <c r="L124" s="21"/>
    </row>
    <row r="125" spans="1:12" ht="14.85" hidden="1" customHeight="1" x14ac:dyDescent="0.25">
      <c r="A125" s="1479"/>
      <c r="B125" s="1393"/>
      <c r="C125" s="1403" t="s">
        <v>372</v>
      </c>
      <c r="D125" s="144" t="s">
        <v>251</v>
      </c>
      <c r="E125" s="94"/>
      <c r="F125" s="80">
        <v>3035</v>
      </c>
      <c r="G125" s="80"/>
      <c r="H125" s="80"/>
      <c r="I125" s="80">
        <v>1800</v>
      </c>
      <c r="J125" s="96"/>
      <c r="K125" s="28"/>
      <c r="L125" s="21"/>
    </row>
    <row r="126" spans="1:12" ht="14.85" hidden="1" customHeight="1" x14ac:dyDescent="0.25">
      <c r="A126" s="1479"/>
      <c r="B126" s="1393"/>
      <c r="C126" s="1403"/>
      <c r="D126" s="28" t="s">
        <v>257</v>
      </c>
      <c r="E126" s="94"/>
      <c r="F126" s="80">
        <v>2260</v>
      </c>
      <c r="G126" s="80"/>
      <c r="H126" s="80"/>
      <c r="I126" s="80">
        <v>1167</v>
      </c>
      <c r="J126" s="96"/>
      <c r="K126" s="28"/>
      <c r="L126" s="21"/>
    </row>
    <row r="127" spans="1:12" hidden="1" x14ac:dyDescent="0.25">
      <c r="A127" s="1479"/>
      <c r="B127" s="1393"/>
      <c r="C127" s="1403"/>
      <c r="D127" s="28" t="s">
        <v>263</v>
      </c>
      <c r="E127" s="94"/>
      <c r="F127" s="80">
        <v>780</v>
      </c>
      <c r="G127" s="80"/>
      <c r="H127" s="80"/>
      <c r="I127" s="80">
        <v>633</v>
      </c>
      <c r="J127" s="96"/>
      <c r="K127" s="28"/>
      <c r="L127" s="21"/>
    </row>
    <row r="128" spans="1:12" hidden="1" x14ac:dyDescent="0.25">
      <c r="A128" s="1479"/>
      <c r="B128" s="1393"/>
      <c r="C128" s="1403"/>
      <c r="D128" s="28" t="s">
        <v>357</v>
      </c>
      <c r="E128" s="94"/>
      <c r="F128" s="97">
        <f>(F127/F125)*100</f>
        <v>25.700164744645797</v>
      </c>
      <c r="G128" s="94"/>
      <c r="H128" s="94"/>
      <c r="I128" s="97">
        <f>I127/I125*100</f>
        <v>35.166666666666671</v>
      </c>
      <c r="J128" s="96"/>
      <c r="K128" s="28"/>
      <c r="L128" s="21"/>
    </row>
    <row r="129" spans="1:12" ht="14.85" hidden="1" customHeight="1" x14ac:dyDescent="0.25">
      <c r="A129" s="1479"/>
      <c r="B129" s="1393"/>
      <c r="C129" s="1403" t="s">
        <v>373</v>
      </c>
      <c r="D129" s="144" t="s">
        <v>251</v>
      </c>
      <c r="E129" s="94"/>
      <c r="F129" s="80">
        <v>710</v>
      </c>
      <c r="G129" s="80"/>
      <c r="H129" s="80"/>
      <c r="I129" s="80">
        <v>291</v>
      </c>
      <c r="J129" s="96"/>
      <c r="K129" s="28"/>
      <c r="L129" s="21"/>
    </row>
    <row r="130" spans="1:12" hidden="1" x14ac:dyDescent="0.25">
      <c r="A130" s="1479"/>
      <c r="B130" s="1393"/>
      <c r="C130" s="1403"/>
      <c r="D130" s="28" t="s">
        <v>257</v>
      </c>
      <c r="E130" s="94"/>
      <c r="F130" s="80">
        <v>540</v>
      </c>
      <c r="G130" s="80"/>
      <c r="H130" s="80"/>
      <c r="I130" s="80">
        <v>228</v>
      </c>
      <c r="J130" s="96"/>
      <c r="K130" s="28"/>
      <c r="L130" s="21"/>
    </row>
    <row r="131" spans="1:12" hidden="1" x14ac:dyDescent="0.25">
      <c r="A131" s="1479"/>
      <c r="B131" s="1393"/>
      <c r="C131" s="1403"/>
      <c r="D131" s="28" t="s">
        <v>263</v>
      </c>
      <c r="E131" s="94"/>
      <c r="F131" s="80">
        <v>170</v>
      </c>
      <c r="G131" s="80"/>
      <c r="H131" s="80"/>
      <c r="I131" s="80">
        <v>63</v>
      </c>
      <c r="J131" s="96"/>
      <c r="K131" s="28"/>
      <c r="L131" s="21"/>
    </row>
    <row r="132" spans="1:12" hidden="1" x14ac:dyDescent="0.25">
      <c r="A132" s="1479"/>
      <c r="B132" s="1393"/>
      <c r="C132" s="1403"/>
      <c r="D132" s="28" t="s">
        <v>357</v>
      </c>
      <c r="E132" s="94"/>
      <c r="F132" s="97">
        <f>(F131/F129)*100</f>
        <v>23.943661971830984</v>
      </c>
      <c r="G132" s="94"/>
      <c r="H132" s="94"/>
      <c r="I132" s="97">
        <f>I131/I129*100</f>
        <v>21.649484536082475</v>
      </c>
      <c r="J132" s="96"/>
      <c r="K132" s="28"/>
      <c r="L132" s="21"/>
    </row>
    <row r="133" spans="1:12" ht="14.85" hidden="1" customHeight="1" x14ac:dyDescent="0.25">
      <c r="A133" s="1479"/>
      <c r="B133" s="1393"/>
      <c r="C133" s="1403" t="s">
        <v>374</v>
      </c>
      <c r="D133" s="144" t="s">
        <v>251</v>
      </c>
      <c r="E133" s="94"/>
      <c r="F133" s="80">
        <v>655</v>
      </c>
      <c r="G133" s="80"/>
      <c r="H133" s="80"/>
      <c r="I133" s="80">
        <v>684</v>
      </c>
      <c r="J133" s="96"/>
      <c r="K133" s="28"/>
      <c r="L133" s="21"/>
    </row>
    <row r="134" spans="1:12" hidden="1" x14ac:dyDescent="0.25">
      <c r="A134" s="1479"/>
      <c r="B134" s="1393"/>
      <c r="C134" s="1403"/>
      <c r="D134" s="28" t="s">
        <v>257</v>
      </c>
      <c r="E134" s="94"/>
      <c r="F134" s="80">
        <v>220</v>
      </c>
      <c r="G134" s="80"/>
      <c r="H134" s="80"/>
      <c r="I134" s="80">
        <v>219</v>
      </c>
      <c r="J134" s="96"/>
      <c r="K134" s="28"/>
      <c r="L134" s="21"/>
    </row>
    <row r="135" spans="1:12" hidden="1" x14ac:dyDescent="0.25">
      <c r="A135" s="1479"/>
      <c r="B135" s="1393"/>
      <c r="C135" s="1403"/>
      <c r="D135" s="28" t="s">
        <v>263</v>
      </c>
      <c r="E135" s="94"/>
      <c r="F135" s="80">
        <v>435</v>
      </c>
      <c r="G135" s="80"/>
      <c r="H135" s="80"/>
      <c r="I135" s="80">
        <v>465</v>
      </c>
      <c r="J135" s="96"/>
      <c r="K135" s="28"/>
      <c r="L135" s="21"/>
    </row>
    <row r="136" spans="1:12" hidden="1" x14ac:dyDescent="0.25">
      <c r="A136" s="1479"/>
      <c r="B136" s="1393"/>
      <c r="C136" s="1403"/>
      <c r="D136" s="28" t="s">
        <v>357</v>
      </c>
      <c r="E136" s="94"/>
      <c r="F136" s="99">
        <f>(F135/F133)*100</f>
        <v>66.412213740458014</v>
      </c>
      <c r="G136" s="94"/>
      <c r="H136" s="94"/>
      <c r="I136" s="99">
        <f>I135/I133*100</f>
        <v>67.982456140350877</v>
      </c>
      <c r="J136" s="96"/>
      <c r="K136" s="28"/>
      <c r="L136" s="21"/>
    </row>
    <row r="137" spans="1:12" ht="14.85" hidden="1" customHeight="1" x14ac:dyDescent="0.25">
      <c r="A137" s="1479"/>
      <c r="B137" s="1393"/>
      <c r="C137" s="1403" t="s">
        <v>375</v>
      </c>
      <c r="D137" s="144" t="s">
        <v>251</v>
      </c>
      <c r="E137" s="94"/>
      <c r="F137" s="80">
        <v>140</v>
      </c>
      <c r="G137" s="80"/>
      <c r="H137" s="80"/>
      <c r="I137" s="80">
        <v>303</v>
      </c>
      <c r="J137" s="96"/>
      <c r="K137" s="28"/>
      <c r="L137" s="21"/>
    </row>
    <row r="138" spans="1:12" ht="14.85" hidden="1" customHeight="1" x14ac:dyDescent="0.25">
      <c r="A138" s="1479"/>
      <c r="B138" s="1393"/>
      <c r="C138" s="1403"/>
      <c r="D138" s="28" t="s">
        <v>257</v>
      </c>
      <c r="E138" s="94"/>
      <c r="F138" s="80">
        <v>70</v>
      </c>
      <c r="G138" s="80"/>
      <c r="H138" s="80"/>
      <c r="I138" s="80">
        <v>150</v>
      </c>
      <c r="J138" s="96"/>
      <c r="K138" s="28"/>
      <c r="L138" s="21"/>
    </row>
    <row r="139" spans="1:12" hidden="1" x14ac:dyDescent="0.25">
      <c r="A139" s="1479"/>
      <c r="B139" s="1393"/>
      <c r="C139" s="1403"/>
      <c r="D139" s="28" t="s">
        <v>263</v>
      </c>
      <c r="E139" s="94"/>
      <c r="F139" s="80">
        <v>70</v>
      </c>
      <c r="G139" s="80"/>
      <c r="H139" s="80"/>
      <c r="I139" s="80">
        <v>150</v>
      </c>
      <c r="J139" s="96"/>
      <c r="K139" s="28"/>
      <c r="L139" s="21"/>
    </row>
    <row r="140" spans="1:12" hidden="1" x14ac:dyDescent="0.25">
      <c r="A140" s="1479"/>
      <c r="B140" s="1393"/>
      <c r="C140" s="1403"/>
      <c r="D140" s="28" t="s">
        <v>357</v>
      </c>
      <c r="E140" s="94"/>
      <c r="F140" s="98">
        <f>(F139/F137)*100</f>
        <v>50</v>
      </c>
      <c r="G140" s="94"/>
      <c r="H140" s="94"/>
      <c r="I140" s="98">
        <f>I139/I137*100</f>
        <v>49.504950495049506</v>
      </c>
      <c r="J140" s="96"/>
      <c r="K140" s="28"/>
      <c r="L140" s="21"/>
    </row>
    <row r="141" spans="1:12" ht="14.85" hidden="1" customHeight="1" x14ac:dyDescent="0.25">
      <c r="A141" s="1479"/>
      <c r="B141" s="1393"/>
      <c r="C141" s="1403" t="s">
        <v>376</v>
      </c>
      <c r="D141" s="144" t="s">
        <v>251</v>
      </c>
      <c r="E141" s="94"/>
      <c r="F141" s="80">
        <v>3185</v>
      </c>
      <c r="G141" s="80"/>
      <c r="H141" s="80"/>
      <c r="I141" s="80">
        <v>3837</v>
      </c>
      <c r="J141" s="96"/>
      <c r="K141" s="28"/>
      <c r="L141" s="21"/>
    </row>
    <row r="142" spans="1:12" ht="14.85" hidden="1" customHeight="1" x14ac:dyDescent="0.25">
      <c r="A142" s="1479"/>
      <c r="B142" s="1393"/>
      <c r="C142" s="1403"/>
      <c r="D142" s="28" t="s">
        <v>257</v>
      </c>
      <c r="E142" s="94"/>
      <c r="F142" s="80">
        <v>2240</v>
      </c>
      <c r="G142" s="80"/>
      <c r="H142" s="80"/>
      <c r="I142" s="80">
        <v>2232</v>
      </c>
      <c r="J142" s="96"/>
      <c r="K142" s="28"/>
      <c r="L142" s="21"/>
    </row>
    <row r="143" spans="1:12" hidden="1" x14ac:dyDescent="0.25">
      <c r="A143" s="1479"/>
      <c r="B143" s="1393"/>
      <c r="C143" s="1403"/>
      <c r="D143" s="28" t="s">
        <v>263</v>
      </c>
      <c r="E143" s="94"/>
      <c r="F143" s="80">
        <v>945</v>
      </c>
      <c r="G143" s="80"/>
      <c r="H143" s="80"/>
      <c r="I143" s="80">
        <v>1605</v>
      </c>
      <c r="J143" s="96"/>
      <c r="K143" s="28"/>
      <c r="L143" s="21"/>
    </row>
    <row r="144" spans="1:12" hidden="1" x14ac:dyDescent="0.25">
      <c r="A144" s="1479"/>
      <c r="B144" s="1393"/>
      <c r="C144" s="1403"/>
      <c r="D144" s="28" t="s">
        <v>357</v>
      </c>
      <c r="E144" s="94"/>
      <c r="F144" s="97">
        <f>(F143/F141)*100</f>
        <v>29.670329670329672</v>
      </c>
      <c r="G144" s="94"/>
      <c r="H144" s="94"/>
      <c r="I144" s="98">
        <f>I143/I141*100</f>
        <v>41.829554339327601</v>
      </c>
      <c r="J144" s="96"/>
      <c r="K144" s="28"/>
      <c r="L144" s="21"/>
    </row>
    <row r="145" spans="1:12" ht="14.85" hidden="1" customHeight="1" x14ac:dyDescent="0.25">
      <c r="A145" s="1479"/>
      <c r="B145" s="1393"/>
      <c r="C145" s="1403" t="s">
        <v>377</v>
      </c>
      <c r="D145" s="144" t="s">
        <v>251</v>
      </c>
      <c r="E145" s="94"/>
      <c r="F145" s="80">
        <v>2795</v>
      </c>
      <c r="G145" s="80"/>
      <c r="H145" s="80"/>
      <c r="I145" s="80">
        <v>2655</v>
      </c>
      <c r="J145" s="96"/>
      <c r="K145" s="28"/>
      <c r="L145" s="21"/>
    </row>
    <row r="146" spans="1:12" hidden="1" x14ac:dyDescent="0.25">
      <c r="A146" s="1479"/>
      <c r="B146" s="1393"/>
      <c r="C146" s="1403"/>
      <c r="D146" s="28" t="s">
        <v>257</v>
      </c>
      <c r="E146" s="94"/>
      <c r="F146" s="80">
        <v>440</v>
      </c>
      <c r="G146" s="80"/>
      <c r="H146" s="80"/>
      <c r="I146" s="80">
        <v>750</v>
      </c>
      <c r="J146" s="96"/>
      <c r="K146" s="28"/>
      <c r="L146" s="21"/>
    </row>
    <row r="147" spans="1:12" hidden="1" x14ac:dyDescent="0.25">
      <c r="A147" s="1479"/>
      <c r="B147" s="1393"/>
      <c r="C147" s="1403"/>
      <c r="D147" s="28" t="s">
        <v>263</v>
      </c>
      <c r="E147" s="94"/>
      <c r="F147" s="80">
        <v>2355</v>
      </c>
      <c r="G147" s="80"/>
      <c r="H147" s="80"/>
      <c r="I147" s="80">
        <v>1905</v>
      </c>
      <c r="J147" s="96"/>
      <c r="K147" s="28"/>
      <c r="L147" s="21"/>
    </row>
    <row r="148" spans="1:12" hidden="1" x14ac:dyDescent="0.25">
      <c r="A148" s="1479"/>
      <c r="B148" s="1393"/>
      <c r="C148" s="1403"/>
      <c r="D148" s="28" t="s">
        <v>357</v>
      </c>
      <c r="E148" s="94"/>
      <c r="F148" s="99">
        <f>(F147/F145)*100</f>
        <v>84.257602862254018</v>
      </c>
      <c r="G148" s="94"/>
      <c r="H148" s="94"/>
      <c r="I148" s="99">
        <f>I147/I145*100</f>
        <v>71.751412429378533</v>
      </c>
      <c r="J148" s="96"/>
      <c r="K148" s="28"/>
      <c r="L148" s="21"/>
    </row>
    <row r="149" spans="1:12" ht="14.85" hidden="1" customHeight="1" x14ac:dyDescent="0.25">
      <c r="A149" s="1479"/>
      <c r="B149" s="1393"/>
      <c r="C149" s="1403" t="s">
        <v>378</v>
      </c>
      <c r="D149" s="144" t="s">
        <v>251</v>
      </c>
      <c r="E149" s="94"/>
      <c r="F149" s="80">
        <v>1140</v>
      </c>
      <c r="G149" s="80"/>
      <c r="H149" s="80"/>
      <c r="I149" s="80">
        <v>1689</v>
      </c>
      <c r="J149" s="96"/>
      <c r="K149" s="28"/>
      <c r="L149" s="21"/>
    </row>
    <row r="150" spans="1:12" hidden="1" x14ac:dyDescent="0.25">
      <c r="A150" s="1479"/>
      <c r="B150" s="1393"/>
      <c r="C150" s="1403"/>
      <c r="D150" s="28" t="s">
        <v>257</v>
      </c>
      <c r="E150" s="94"/>
      <c r="F150" s="80">
        <v>485</v>
      </c>
      <c r="G150" s="80"/>
      <c r="H150" s="80"/>
      <c r="I150" s="80">
        <v>918</v>
      </c>
      <c r="J150" s="96"/>
      <c r="K150" s="28"/>
      <c r="L150" s="21"/>
    </row>
    <row r="151" spans="1:12" hidden="1" x14ac:dyDescent="0.25">
      <c r="A151" s="1479"/>
      <c r="B151" s="1393"/>
      <c r="C151" s="1403"/>
      <c r="D151" s="28" t="s">
        <v>263</v>
      </c>
      <c r="E151" s="94"/>
      <c r="F151" s="80">
        <v>655</v>
      </c>
      <c r="G151" s="80"/>
      <c r="H151" s="80"/>
      <c r="I151" s="80">
        <v>771</v>
      </c>
      <c r="J151" s="96"/>
      <c r="K151" s="28"/>
      <c r="L151" s="21"/>
    </row>
    <row r="152" spans="1:12" hidden="1" x14ac:dyDescent="0.25">
      <c r="A152" s="1479"/>
      <c r="B152" s="1393"/>
      <c r="C152" s="1403"/>
      <c r="D152" s="28" t="s">
        <v>357</v>
      </c>
      <c r="E152" s="94"/>
      <c r="F152" s="98">
        <f>(F151/F149)*100</f>
        <v>57.456140350877192</v>
      </c>
      <c r="G152" s="94"/>
      <c r="H152" s="94"/>
      <c r="I152" s="98">
        <f>I151/I149*100</f>
        <v>45.648312611012429</v>
      </c>
      <c r="J152" s="96"/>
      <c r="K152" s="28"/>
      <c r="L152" s="21"/>
    </row>
    <row r="153" spans="1:12" ht="14.85" hidden="1" customHeight="1" x14ac:dyDescent="0.25">
      <c r="A153" s="1479"/>
      <c r="B153" s="1393"/>
      <c r="C153" s="1403" t="s">
        <v>379</v>
      </c>
      <c r="D153" s="144" t="s">
        <v>251</v>
      </c>
      <c r="E153" s="94"/>
      <c r="F153" s="80">
        <v>3455</v>
      </c>
      <c r="G153" s="80"/>
      <c r="H153" s="80"/>
      <c r="I153" s="80">
        <v>2769</v>
      </c>
      <c r="J153" s="96"/>
      <c r="K153" s="28"/>
      <c r="L153" s="21"/>
    </row>
    <row r="154" spans="1:12" hidden="1" x14ac:dyDescent="0.25">
      <c r="A154" s="1479"/>
      <c r="B154" s="1393"/>
      <c r="C154" s="1403"/>
      <c r="D154" s="28" t="s">
        <v>257</v>
      </c>
      <c r="E154" s="94"/>
      <c r="F154" s="80">
        <v>2565</v>
      </c>
      <c r="G154" s="80"/>
      <c r="H154" s="80"/>
      <c r="I154" s="80">
        <v>1983</v>
      </c>
      <c r="J154" s="96"/>
      <c r="K154" s="28"/>
      <c r="L154" s="21"/>
    </row>
    <row r="155" spans="1:12" hidden="1" x14ac:dyDescent="0.25">
      <c r="A155" s="1479"/>
      <c r="B155" s="1393"/>
      <c r="C155" s="1403"/>
      <c r="D155" s="28" t="s">
        <v>263</v>
      </c>
      <c r="E155" s="94"/>
      <c r="F155" s="80">
        <v>890</v>
      </c>
      <c r="G155" s="80"/>
      <c r="H155" s="80"/>
      <c r="I155" s="80">
        <v>786</v>
      </c>
      <c r="J155" s="96"/>
      <c r="K155" s="28"/>
      <c r="L155" s="21"/>
    </row>
    <row r="156" spans="1:12" hidden="1" x14ac:dyDescent="0.25">
      <c r="A156" s="1479"/>
      <c r="B156" s="1393"/>
      <c r="C156" s="1403"/>
      <c r="D156" s="28" t="s">
        <v>357</v>
      </c>
      <c r="E156" s="94"/>
      <c r="F156" s="97">
        <f>(F155/F153)*100</f>
        <v>25.759768451519538</v>
      </c>
      <c r="G156" s="94"/>
      <c r="H156" s="94"/>
      <c r="I156" s="97">
        <f>I155/I153*100</f>
        <v>28.385698808234022</v>
      </c>
      <c r="J156" s="96"/>
      <c r="K156" s="28"/>
      <c r="L156" s="21"/>
    </row>
    <row r="157" spans="1:12" ht="14.85" hidden="1" customHeight="1" x14ac:dyDescent="0.25">
      <c r="A157" s="1479"/>
      <c r="B157" s="1393"/>
      <c r="C157" s="1403" t="s">
        <v>380</v>
      </c>
      <c r="D157" s="144" t="s">
        <v>251</v>
      </c>
      <c r="E157" s="94"/>
      <c r="F157" s="80">
        <v>4930</v>
      </c>
      <c r="G157" s="80"/>
      <c r="H157" s="80"/>
      <c r="I157" s="80">
        <v>3558</v>
      </c>
      <c r="J157" s="96"/>
      <c r="K157" s="28"/>
      <c r="L157" s="21"/>
    </row>
    <row r="158" spans="1:12" hidden="1" x14ac:dyDescent="0.25">
      <c r="A158" s="1479"/>
      <c r="B158" s="1393"/>
      <c r="C158" s="1403"/>
      <c r="D158" s="28" t="s">
        <v>257</v>
      </c>
      <c r="E158" s="94"/>
      <c r="F158" s="80">
        <v>2050</v>
      </c>
      <c r="G158" s="80"/>
      <c r="H158" s="80"/>
      <c r="I158" s="80">
        <v>1758</v>
      </c>
      <c r="J158" s="96"/>
      <c r="K158" s="28"/>
      <c r="L158" s="21"/>
    </row>
    <row r="159" spans="1:12" hidden="1" x14ac:dyDescent="0.25">
      <c r="A159" s="1479"/>
      <c r="B159" s="1393"/>
      <c r="C159" s="1403"/>
      <c r="D159" s="28" t="s">
        <v>263</v>
      </c>
      <c r="E159" s="94"/>
      <c r="F159" s="80">
        <v>2880</v>
      </c>
      <c r="G159" s="80"/>
      <c r="H159" s="80"/>
      <c r="I159" s="80">
        <v>1800</v>
      </c>
      <c r="J159" s="96"/>
      <c r="K159" s="28"/>
      <c r="L159" s="21"/>
    </row>
    <row r="160" spans="1:12" hidden="1" x14ac:dyDescent="0.25">
      <c r="A160" s="1479"/>
      <c r="B160" s="1393"/>
      <c r="C160" s="1403"/>
      <c r="D160" s="28" t="s">
        <v>357</v>
      </c>
      <c r="E160" s="94"/>
      <c r="F160" s="98">
        <f>(F159/F157)*100</f>
        <v>58.417849898580123</v>
      </c>
      <c r="G160" s="94"/>
      <c r="H160" s="94"/>
      <c r="I160" s="98">
        <f>I159/I157*100</f>
        <v>50.590219224283302</v>
      </c>
      <c r="J160" s="96"/>
      <c r="K160" s="28"/>
      <c r="L160" s="21"/>
    </row>
    <row r="161" spans="1:12" ht="14.85" hidden="1" customHeight="1" x14ac:dyDescent="0.25">
      <c r="A161" s="1479"/>
      <c r="B161" s="1393"/>
      <c r="C161" s="1403" t="s">
        <v>381</v>
      </c>
      <c r="D161" s="144" t="s">
        <v>251</v>
      </c>
      <c r="E161" s="94"/>
      <c r="F161" s="80">
        <v>260</v>
      </c>
      <c r="G161" s="80"/>
      <c r="H161" s="80"/>
      <c r="I161" s="80">
        <v>435</v>
      </c>
      <c r="J161" s="28"/>
      <c r="K161" s="28"/>
      <c r="L161" s="21"/>
    </row>
    <row r="162" spans="1:12" ht="14.85" hidden="1" customHeight="1" x14ac:dyDescent="0.25">
      <c r="A162" s="1479"/>
      <c r="B162" s="1393"/>
      <c r="C162" s="1403"/>
      <c r="D162" s="28" t="s">
        <v>257</v>
      </c>
      <c r="E162" s="94"/>
      <c r="F162" s="80">
        <v>155</v>
      </c>
      <c r="G162" s="80"/>
      <c r="H162" s="80"/>
      <c r="I162" s="80">
        <v>231</v>
      </c>
      <c r="J162" s="28"/>
      <c r="K162" s="28"/>
      <c r="L162" s="21"/>
    </row>
    <row r="163" spans="1:12" hidden="1" x14ac:dyDescent="0.25">
      <c r="A163" s="1479"/>
      <c r="B163" s="1393"/>
      <c r="C163" s="1403"/>
      <c r="D163" s="28" t="s">
        <v>263</v>
      </c>
      <c r="E163" s="94"/>
      <c r="F163" s="80">
        <v>105</v>
      </c>
      <c r="G163" s="80"/>
      <c r="H163" s="80"/>
      <c r="I163" s="80">
        <v>201</v>
      </c>
      <c r="J163" s="28"/>
      <c r="K163" s="28"/>
      <c r="L163" s="21"/>
    </row>
    <row r="164" spans="1:12" hidden="1" x14ac:dyDescent="0.25">
      <c r="A164" s="1479"/>
      <c r="B164" s="1393"/>
      <c r="C164" s="1403"/>
      <c r="D164" s="28" t="s">
        <v>357</v>
      </c>
      <c r="E164" s="94"/>
      <c r="F164" s="98">
        <f>(F163/F161)*100</f>
        <v>40.384615384615387</v>
      </c>
      <c r="G164" s="94"/>
      <c r="H164" s="94"/>
      <c r="I164" s="98">
        <f>I163/I161*100</f>
        <v>46.206896551724135</v>
      </c>
      <c r="J164" s="28"/>
      <c r="K164" s="28"/>
      <c r="L164" s="21"/>
    </row>
    <row r="165" spans="1:12" ht="14.85" hidden="1" customHeight="1" x14ac:dyDescent="0.25">
      <c r="A165" s="1479"/>
      <c r="B165" s="1393"/>
      <c r="C165" s="1437" t="s">
        <v>382</v>
      </c>
      <c r="D165" s="145" t="s">
        <v>251</v>
      </c>
      <c r="E165" s="95"/>
      <c r="F165" s="80">
        <v>4665</v>
      </c>
      <c r="G165" s="80"/>
      <c r="H165" s="80"/>
      <c r="I165" s="80">
        <v>5073</v>
      </c>
      <c r="J165" s="96"/>
      <c r="K165" s="96"/>
      <c r="L165" s="200"/>
    </row>
    <row r="166" spans="1:12" hidden="1" x14ac:dyDescent="0.25">
      <c r="A166" s="1479"/>
      <c r="B166" s="1393"/>
      <c r="C166" s="1437"/>
      <c r="D166" s="96" t="s">
        <v>257</v>
      </c>
      <c r="E166" s="95"/>
      <c r="F166" s="80">
        <v>1405</v>
      </c>
      <c r="G166" s="80"/>
      <c r="H166" s="80"/>
      <c r="I166" s="80">
        <v>1776</v>
      </c>
      <c r="J166" s="96"/>
      <c r="K166" s="96"/>
      <c r="L166" s="200"/>
    </row>
    <row r="167" spans="1:12" hidden="1" x14ac:dyDescent="0.25">
      <c r="A167" s="1479"/>
      <c r="B167" s="1393"/>
      <c r="C167" s="1437"/>
      <c r="D167" s="96" t="s">
        <v>263</v>
      </c>
      <c r="E167" s="95"/>
      <c r="F167" s="80">
        <v>3260</v>
      </c>
      <c r="G167" s="80"/>
      <c r="H167" s="80"/>
      <c r="I167" s="80">
        <v>3294</v>
      </c>
      <c r="J167" s="96"/>
      <c r="K167" s="96"/>
      <c r="L167" s="200"/>
    </row>
    <row r="168" spans="1:12" hidden="1" x14ac:dyDescent="0.25">
      <c r="A168" s="1479"/>
      <c r="B168" s="1393"/>
      <c r="C168" s="1437"/>
      <c r="D168" s="96" t="s">
        <v>357</v>
      </c>
      <c r="E168" s="95"/>
      <c r="F168" s="99">
        <f>(F167/F165)*100</f>
        <v>69.882100750267952</v>
      </c>
      <c r="G168" s="94"/>
      <c r="H168" s="94"/>
      <c r="I168" s="99">
        <f>I167/I165*100</f>
        <v>64.931992903607338</v>
      </c>
      <c r="J168" s="96"/>
      <c r="K168" s="96"/>
      <c r="L168" s="200"/>
    </row>
    <row r="169" spans="1:12" ht="14.85" hidden="1" customHeight="1" x14ac:dyDescent="0.25">
      <c r="A169" s="1479"/>
      <c r="B169" s="1393"/>
      <c r="C169" s="1437" t="s">
        <v>383</v>
      </c>
      <c r="D169" s="145" t="s">
        <v>251</v>
      </c>
      <c r="E169" s="95"/>
      <c r="F169" s="80">
        <v>2770</v>
      </c>
      <c r="G169" s="80"/>
      <c r="H169" s="80"/>
      <c r="I169" s="80">
        <v>2580</v>
      </c>
      <c r="J169" s="96"/>
      <c r="K169" s="96"/>
      <c r="L169" s="200"/>
    </row>
    <row r="170" spans="1:12" hidden="1" x14ac:dyDescent="0.25">
      <c r="A170" s="1479"/>
      <c r="B170" s="1393"/>
      <c r="C170" s="1437"/>
      <c r="D170" s="96" t="s">
        <v>257</v>
      </c>
      <c r="E170" s="95"/>
      <c r="F170" s="80">
        <v>910</v>
      </c>
      <c r="G170" s="80"/>
      <c r="H170" s="80"/>
      <c r="I170" s="80">
        <v>711</v>
      </c>
      <c r="J170" s="96"/>
      <c r="K170" s="96"/>
      <c r="L170" s="200"/>
    </row>
    <row r="171" spans="1:12" hidden="1" x14ac:dyDescent="0.25">
      <c r="A171" s="1479"/>
      <c r="B171" s="1393"/>
      <c r="C171" s="1437"/>
      <c r="D171" s="96" t="s">
        <v>263</v>
      </c>
      <c r="E171" s="95"/>
      <c r="F171" s="80">
        <v>1860</v>
      </c>
      <c r="G171" s="80"/>
      <c r="H171" s="80"/>
      <c r="I171" s="80">
        <v>1866</v>
      </c>
      <c r="J171" s="96"/>
      <c r="K171" s="96"/>
      <c r="L171" s="200"/>
    </row>
    <row r="172" spans="1:12" hidden="1" x14ac:dyDescent="0.25">
      <c r="A172" s="1479"/>
      <c r="B172" s="1393"/>
      <c r="C172" s="1437"/>
      <c r="D172" s="96" t="s">
        <v>357</v>
      </c>
      <c r="E172" s="95"/>
      <c r="F172" s="99">
        <f>(F171/F169)*100</f>
        <v>67.148014440433215</v>
      </c>
      <c r="G172" s="94"/>
      <c r="H172" s="94"/>
      <c r="I172" s="99">
        <f>I171/I169*100</f>
        <v>72.325581395348834</v>
      </c>
      <c r="J172" s="96"/>
      <c r="K172" s="96"/>
      <c r="L172" s="200"/>
    </row>
    <row r="173" spans="1:12" ht="14.85" hidden="1" customHeight="1" x14ac:dyDescent="0.25">
      <c r="A173" s="1479"/>
      <c r="B173" s="1393"/>
      <c r="C173" s="1437" t="s">
        <v>384</v>
      </c>
      <c r="D173" s="145" t="s">
        <v>251</v>
      </c>
      <c r="E173" s="95"/>
      <c r="F173" s="80">
        <v>4420</v>
      </c>
      <c r="G173" s="80"/>
      <c r="H173" s="80"/>
      <c r="I173" s="80">
        <v>2349</v>
      </c>
      <c r="J173" s="96"/>
      <c r="K173" s="96"/>
      <c r="L173" s="200"/>
    </row>
    <row r="174" spans="1:12" hidden="1" x14ac:dyDescent="0.25">
      <c r="A174" s="1479"/>
      <c r="B174" s="1393"/>
      <c r="C174" s="1437"/>
      <c r="D174" s="96" t="s">
        <v>257</v>
      </c>
      <c r="E174" s="95"/>
      <c r="F174" s="80">
        <v>1340</v>
      </c>
      <c r="G174" s="80"/>
      <c r="H174" s="80"/>
      <c r="I174" s="80">
        <v>690</v>
      </c>
      <c r="J174" s="96"/>
      <c r="K174" s="96"/>
      <c r="L174" s="200"/>
    </row>
    <row r="175" spans="1:12" hidden="1" x14ac:dyDescent="0.25">
      <c r="A175" s="1479"/>
      <c r="B175" s="1393"/>
      <c r="C175" s="1437"/>
      <c r="D175" s="96" t="s">
        <v>263</v>
      </c>
      <c r="E175" s="95"/>
      <c r="F175" s="80">
        <v>3080</v>
      </c>
      <c r="G175" s="80"/>
      <c r="H175" s="80"/>
      <c r="I175" s="80">
        <v>1659</v>
      </c>
      <c r="J175" s="96"/>
      <c r="K175" s="96"/>
      <c r="L175" s="200"/>
    </row>
    <row r="176" spans="1:12" hidden="1" x14ac:dyDescent="0.25">
      <c r="A176" s="1479"/>
      <c r="B176" s="1393"/>
      <c r="C176" s="1437"/>
      <c r="D176" s="96" t="s">
        <v>357</v>
      </c>
      <c r="E176" s="95"/>
      <c r="F176" s="99">
        <f>(F175/F173)*100</f>
        <v>69.68325791855203</v>
      </c>
      <c r="G176" s="94"/>
      <c r="H176" s="94"/>
      <c r="I176" s="99">
        <f>I175/I173*100</f>
        <v>70.625798212005108</v>
      </c>
      <c r="J176" s="96"/>
      <c r="K176" s="96"/>
      <c r="L176" s="200"/>
    </row>
    <row r="177" spans="1:12" ht="14.85" hidden="1" customHeight="1" x14ac:dyDescent="0.25">
      <c r="A177" s="1479"/>
      <c r="B177" s="1393"/>
      <c r="C177" s="1437" t="s">
        <v>385</v>
      </c>
      <c r="D177" s="145" t="s">
        <v>251</v>
      </c>
      <c r="E177" s="95"/>
      <c r="F177" s="80">
        <v>385</v>
      </c>
      <c r="G177" s="80"/>
      <c r="H177" s="80"/>
      <c r="I177" s="80">
        <v>591</v>
      </c>
      <c r="J177" s="96"/>
      <c r="K177" s="96"/>
      <c r="L177" s="200"/>
    </row>
    <row r="178" spans="1:12" ht="14.85" hidden="1" customHeight="1" x14ac:dyDescent="0.25">
      <c r="A178" s="1479"/>
      <c r="B178" s="1393"/>
      <c r="C178" s="1437"/>
      <c r="D178" s="96" t="s">
        <v>257</v>
      </c>
      <c r="E178" s="95"/>
      <c r="F178" s="80">
        <v>230</v>
      </c>
      <c r="G178" s="80"/>
      <c r="H178" s="80"/>
      <c r="I178" s="80">
        <v>366</v>
      </c>
      <c r="J178" s="96"/>
      <c r="K178" s="96"/>
      <c r="L178" s="200"/>
    </row>
    <row r="179" spans="1:12" hidden="1" x14ac:dyDescent="0.25">
      <c r="A179" s="1479"/>
      <c r="B179" s="1393"/>
      <c r="C179" s="1437"/>
      <c r="D179" s="96" t="s">
        <v>263</v>
      </c>
      <c r="E179" s="95"/>
      <c r="F179" s="80">
        <v>155</v>
      </c>
      <c r="G179" s="80"/>
      <c r="H179" s="80"/>
      <c r="I179" s="80">
        <v>222</v>
      </c>
      <c r="J179" s="96"/>
      <c r="K179" s="96"/>
      <c r="L179" s="200"/>
    </row>
    <row r="180" spans="1:12" hidden="1" x14ac:dyDescent="0.25">
      <c r="A180" s="1479"/>
      <c r="B180" s="1393"/>
      <c r="C180" s="1437"/>
      <c r="D180" s="96" t="s">
        <v>357</v>
      </c>
      <c r="E180" s="95"/>
      <c r="F180" s="98">
        <f>(F179/F177)*100</f>
        <v>40.259740259740262</v>
      </c>
      <c r="G180" s="94"/>
      <c r="H180" s="94"/>
      <c r="I180" s="97">
        <f>I179/I177*100</f>
        <v>37.56345177664975</v>
      </c>
      <c r="J180" s="96"/>
      <c r="K180" s="96"/>
      <c r="L180" s="200"/>
    </row>
    <row r="181" spans="1:12" ht="14.85" hidden="1" customHeight="1" x14ac:dyDescent="0.25">
      <c r="A181" s="1479"/>
      <c r="B181" s="1393"/>
      <c r="C181" s="1437" t="s">
        <v>386</v>
      </c>
      <c r="D181" s="145" t="s">
        <v>251</v>
      </c>
      <c r="E181" s="95"/>
      <c r="F181" s="80">
        <v>2025</v>
      </c>
      <c r="G181" s="80"/>
      <c r="H181" s="80"/>
      <c r="I181" s="80">
        <v>2490</v>
      </c>
      <c r="J181" s="96"/>
      <c r="K181" s="96"/>
      <c r="L181" s="200"/>
    </row>
    <row r="182" spans="1:12" hidden="1" x14ac:dyDescent="0.25">
      <c r="A182" s="1479"/>
      <c r="B182" s="1393"/>
      <c r="C182" s="1437"/>
      <c r="D182" s="96" t="s">
        <v>257</v>
      </c>
      <c r="E182" s="95"/>
      <c r="F182" s="80">
        <v>980</v>
      </c>
      <c r="G182" s="80"/>
      <c r="H182" s="80"/>
      <c r="I182" s="80">
        <v>1386</v>
      </c>
      <c r="J182" s="96"/>
      <c r="K182" s="96"/>
      <c r="L182" s="200"/>
    </row>
    <row r="183" spans="1:12" hidden="1" x14ac:dyDescent="0.25">
      <c r="A183" s="1479"/>
      <c r="B183" s="1393"/>
      <c r="C183" s="1437"/>
      <c r="D183" s="96" t="s">
        <v>263</v>
      </c>
      <c r="E183" s="95"/>
      <c r="F183" s="80">
        <v>1045</v>
      </c>
      <c r="G183" s="80"/>
      <c r="H183" s="80"/>
      <c r="I183" s="80">
        <v>1101</v>
      </c>
      <c r="J183" s="96"/>
      <c r="K183" s="96"/>
      <c r="L183" s="200"/>
    </row>
    <row r="184" spans="1:12" hidden="1" x14ac:dyDescent="0.25">
      <c r="A184" s="1479"/>
      <c r="B184" s="1393"/>
      <c r="C184" s="1437"/>
      <c r="D184" s="96" t="s">
        <v>357</v>
      </c>
      <c r="E184" s="95"/>
      <c r="F184" s="98">
        <f>(F183/F181)*100</f>
        <v>51.604938271604937</v>
      </c>
      <c r="G184" s="94"/>
      <c r="H184" s="94"/>
      <c r="I184" s="98">
        <f>I183/I181*100</f>
        <v>44.216867469879517</v>
      </c>
      <c r="J184" s="96"/>
      <c r="K184" s="96"/>
      <c r="L184" s="200"/>
    </row>
    <row r="185" spans="1:12" ht="14.85" hidden="1" customHeight="1" x14ac:dyDescent="0.25">
      <c r="A185" s="1479"/>
      <c r="B185" s="1393"/>
      <c r="C185" s="1437" t="s">
        <v>387</v>
      </c>
      <c r="D185" s="145" t="s">
        <v>251</v>
      </c>
      <c r="E185" s="95"/>
      <c r="F185" s="80">
        <v>3745</v>
      </c>
      <c r="G185" s="80"/>
      <c r="H185" s="80"/>
      <c r="I185" s="80">
        <v>3348</v>
      </c>
      <c r="J185" s="96"/>
      <c r="K185" s="96"/>
      <c r="L185" s="200"/>
    </row>
    <row r="186" spans="1:12" hidden="1" x14ac:dyDescent="0.25">
      <c r="A186" s="1479"/>
      <c r="B186" s="1393"/>
      <c r="C186" s="1437"/>
      <c r="D186" s="96" t="s">
        <v>257</v>
      </c>
      <c r="E186" s="95"/>
      <c r="F186" s="80">
        <v>1465</v>
      </c>
      <c r="G186" s="80"/>
      <c r="H186" s="80"/>
      <c r="I186" s="80">
        <v>1401</v>
      </c>
      <c r="J186" s="96"/>
      <c r="K186" s="96"/>
      <c r="L186" s="200"/>
    </row>
    <row r="187" spans="1:12" hidden="1" x14ac:dyDescent="0.25">
      <c r="A187" s="1479"/>
      <c r="B187" s="1393"/>
      <c r="C187" s="1437"/>
      <c r="D187" s="96" t="s">
        <v>263</v>
      </c>
      <c r="E187" s="95"/>
      <c r="F187" s="80">
        <v>2285</v>
      </c>
      <c r="G187" s="80"/>
      <c r="H187" s="80"/>
      <c r="I187" s="80">
        <v>1944</v>
      </c>
      <c r="J187" s="96"/>
      <c r="K187" s="96"/>
      <c r="L187" s="200"/>
    </row>
    <row r="188" spans="1:12" hidden="1" x14ac:dyDescent="0.25">
      <c r="A188" s="1479"/>
      <c r="B188" s="1393"/>
      <c r="C188" s="1437"/>
      <c r="D188" s="96" t="s">
        <v>357</v>
      </c>
      <c r="E188" s="95"/>
      <c r="F188" s="99">
        <f>(F187/F185)*100</f>
        <v>61.01468624833111</v>
      </c>
      <c r="G188" s="94"/>
      <c r="H188" s="94"/>
      <c r="I188" s="98">
        <f>I187/I185*100</f>
        <v>58.064516129032263</v>
      </c>
      <c r="J188" s="96"/>
      <c r="K188" s="96"/>
      <c r="L188" s="200"/>
    </row>
    <row r="189" spans="1:12" ht="14.85" hidden="1" customHeight="1" x14ac:dyDescent="0.25">
      <c r="A189" s="1479"/>
      <c r="B189" s="1393"/>
      <c r="C189" s="1437" t="s">
        <v>388</v>
      </c>
      <c r="D189" s="145" t="s">
        <v>251</v>
      </c>
      <c r="E189" s="95"/>
      <c r="F189" s="80">
        <v>10</v>
      </c>
      <c r="G189" s="80"/>
      <c r="H189" s="80"/>
      <c r="I189" s="80">
        <v>948</v>
      </c>
      <c r="J189" s="96"/>
      <c r="K189" s="96"/>
      <c r="L189" s="200"/>
    </row>
    <row r="190" spans="1:12" hidden="1" x14ac:dyDescent="0.25">
      <c r="A190" s="1479"/>
      <c r="B190" s="1393"/>
      <c r="C190" s="1437"/>
      <c r="D190" s="96" t="s">
        <v>257</v>
      </c>
      <c r="E190" s="95"/>
      <c r="F190" s="80">
        <v>10</v>
      </c>
      <c r="G190" s="80"/>
      <c r="H190" s="80"/>
      <c r="I190" s="80">
        <v>513</v>
      </c>
      <c r="J190" s="96"/>
      <c r="K190" s="96"/>
      <c r="L190" s="200"/>
    </row>
    <row r="191" spans="1:12" hidden="1" x14ac:dyDescent="0.25">
      <c r="A191" s="1479"/>
      <c r="B191" s="1393"/>
      <c r="C191" s="1437"/>
      <c r="D191" s="96" t="s">
        <v>263</v>
      </c>
      <c r="E191" s="95"/>
      <c r="F191" s="80">
        <v>0</v>
      </c>
      <c r="G191" s="80"/>
      <c r="H191" s="80"/>
      <c r="I191" s="80">
        <v>435</v>
      </c>
      <c r="J191" s="96"/>
      <c r="K191" s="96"/>
      <c r="L191" s="200"/>
    </row>
    <row r="192" spans="1:12" hidden="1" x14ac:dyDescent="0.25">
      <c r="A192" s="1479"/>
      <c r="B192" s="1393"/>
      <c r="C192" s="1437"/>
      <c r="D192" s="96" t="s">
        <v>357</v>
      </c>
      <c r="E192" s="95"/>
      <c r="F192" s="97">
        <f>(F191/F189)*100</f>
        <v>0</v>
      </c>
      <c r="G192" s="94"/>
      <c r="H192" s="94"/>
      <c r="I192" s="98">
        <f>I191/I189*100</f>
        <v>45.88607594936709</v>
      </c>
      <c r="J192" s="96"/>
      <c r="K192" s="96"/>
      <c r="L192" s="200"/>
    </row>
    <row r="193" spans="1:12" ht="14.85" hidden="1" customHeight="1" x14ac:dyDescent="0.25">
      <c r="A193" s="1479"/>
      <c r="B193" s="1393"/>
      <c r="C193" s="1403" t="s">
        <v>389</v>
      </c>
      <c r="D193" s="144" t="s">
        <v>251</v>
      </c>
      <c r="E193" s="94"/>
      <c r="F193" s="80">
        <v>590</v>
      </c>
      <c r="G193" s="80"/>
      <c r="H193" s="80"/>
      <c r="I193" s="80">
        <v>651</v>
      </c>
      <c r="J193" s="28"/>
      <c r="K193" s="28"/>
      <c r="L193" s="21"/>
    </row>
    <row r="194" spans="1:12" hidden="1" x14ac:dyDescent="0.25">
      <c r="A194" s="1479"/>
      <c r="B194" s="1393"/>
      <c r="C194" s="1403"/>
      <c r="D194" s="28" t="s">
        <v>257</v>
      </c>
      <c r="E194" s="94"/>
      <c r="F194" s="80">
        <v>255</v>
      </c>
      <c r="G194" s="80"/>
      <c r="H194" s="80"/>
      <c r="I194" s="80">
        <v>264</v>
      </c>
      <c r="J194" s="28"/>
      <c r="K194" s="28"/>
      <c r="L194" s="21"/>
    </row>
    <row r="195" spans="1:12" hidden="1" x14ac:dyDescent="0.25">
      <c r="A195" s="1479"/>
      <c r="B195" s="1393"/>
      <c r="C195" s="1403"/>
      <c r="D195" s="28" t="s">
        <v>263</v>
      </c>
      <c r="E195" s="94"/>
      <c r="F195" s="80">
        <v>340</v>
      </c>
      <c r="G195" s="80"/>
      <c r="H195" s="80"/>
      <c r="I195" s="80">
        <v>384</v>
      </c>
      <c r="J195" s="28"/>
      <c r="K195" s="28"/>
      <c r="L195" s="21"/>
    </row>
    <row r="196" spans="1:12" hidden="1" x14ac:dyDescent="0.25">
      <c r="A196" s="1479"/>
      <c r="B196" s="1393"/>
      <c r="C196" s="1403"/>
      <c r="D196" s="28" t="s">
        <v>357</v>
      </c>
      <c r="E196" s="94"/>
      <c r="F196" s="98">
        <f>(F195/F193)*100</f>
        <v>57.627118644067799</v>
      </c>
      <c r="G196" s="94"/>
      <c r="H196" s="94"/>
      <c r="I196" s="98">
        <f>I195/I193*100</f>
        <v>58.986175115207374</v>
      </c>
      <c r="J196" s="28"/>
      <c r="K196" s="28"/>
      <c r="L196" s="21"/>
    </row>
    <row r="197" spans="1:12" ht="14.85" hidden="1" customHeight="1" x14ac:dyDescent="0.25">
      <c r="A197" s="1479"/>
      <c r="B197" s="1393"/>
      <c r="C197" s="1403" t="s">
        <v>390</v>
      </c>
      <c r="D197" s="144" t="s">
        <v>251</v>
      </c>
      <c r="E197" s="94"/>
      <c r="F197" s="80">
        <v>460</v>
      </c>
      <c r="G197" s="80"/>
      <c r="H197" s="80"/>
      <c r="I197" s="80">
        <v>501</v>
      </c>
      <c r="J197" s="28"/>
      <c r="K197" s="28"/>
      <c r="L197" s="21"/>
    </row>
    <row r="198" spans="1:12" ht="14.85" hidden="1" customHeight="1" x14ac:dyDescent="0.25">
      <c r="A198" s="1479"/>
      <c r="B198" s="1393"/>
      <c r="C198" s="1403"/>
      <c r="D198" s="28" t="s">
        <v>257</v>
      </c>
      <c r="E198" s="94"/>
      <c r="F198" s="80">
        <v>105</v>
      </c>
      <c r="G198" s="80"/>
      <c r="H198" s="80"/>
      <c r="I198" s="80">
        <v>165</v>
      </c>
      <c r="J198" s="28"/>
      <c r="K198" s="28"/>
      <c r="L198" s="21"/>
    </row>
    <row r="199" spans="1:12" hidden="1" x14ac:dyDescent="0.25">
      <c r="A199" s="1479"/>
      <c r="B199" s="1393"/>
      <c r="C199" s="1403"/>
      <c r="D199" s="28" t="s">
        <v>263</v>
      </c>
      <c r="E199" s="94"/>
      <c r="F199" s="80">
        <v>360</v>
      </c>
      <c r="G199" s="80"/>
      <c r="H199" s="80"/>
      <c r="I199" s="80">
        <v>336</v>
      </c>
      <c r="J199" s="28"/>
      <c r="K199" s="28"/>
      <c r="L199" s="21"/>
    </row>
    <row r="200" spans="1:12" hidden="1" x14ac:dyDescent="0.25">
      <c r="A200" s="1479"/>
      <c r="B200" s="1393"/>
      <c r="C200" s="1403"/>
      <c r="D200" s="28" t="s">
        <v>357</v>
      </c>
      <c r="E200" s="94"/>
      <c r="F200" s="99">
        <f>(F199/F197)*100</f>
        <v>78.260869565217391</v>
      </c>
      <c r="G200" s="94"/>
      <c r="H200" s="94"/>
      <c r="I200" s="99">
        <f>I199/I197*100</f>
        <v>67.06586826347305</v>
      </c>
      <c r="J200" s="28"/>
      <c r="K200" s="28"/>
      <c r="L200" s="21"/>
    </row>
    <row r="201" spans="1:12" ht="14.85" hidden="1" customHeight="1" x14ac:dyDescent="0.25">
      <c r="A201" s="1479"/>
      <c r="B201" s="1393"/>
      <c r="C201" s="1403" t="s">
        <v>391</v>
      </c>
      <c r="D201" s="144" t="s">
        <v>251</v>
      </c>
      <c r="E201" s="94"/>
      <c r="F201" s="80">
        <v>1475</v>
      </c>
      <c r="G201" s="80"/>
      <c r="H201" s="80"/>
      <c r="I201" s="80">
        <v>1317</v>
      </c>
      <c r="J201" s="28"/>
      <c r="K201" s="28"/>
      <c r="L201" s="21"/>
    </row>
    <row r="202" spans="1:12" hidden="1" x14ac:dyDescent="0.25">
      <c r="A202" s="1479"/>
      <c r="B202" s="1393"/>
      <c r="C202" s="1403"/>
      <c r="D202" s="28" t="s">
        <v>257</v>
      </c>
      <c r="E202" s="94"/>
      <c r="F202" s="80">
        <v>265</v>
      </c>
      <c r="G202" s="80"/>
      <c r="H202" s="80"/>
      <c r="I202" s="80">
        <v>234</v>
      </c>
      <c r="J202" s="28"/>
      <c r="K202" s="28"/>
      <c r="L202" s="21"/>
    </row>
    <row r="203" spans="1:12" hidden="1" x14ac:dyDescent="0.25">
      <c r="A203" s="1479"/>
      <c r="B203" s="1393"/>
      <c r="C203" s="1403"/>
      <c r="D203" s="28" t="s">
        <v>263</v>
      </c>
      <c r="E203" s="94"/>
      <c r="F203" s="80">
        <v>1210</v>
      </c>
      <c r="G203" s="80"/>
      <c r="H203" s="80"/>
      <c r="I203" s="80">
        <v>1083</v>
      </c>
      <c r="J203" s="28"/>
      <c r="K203" s="28"/>
      <c r="L203" s="21"/>
    </row>
    <row r="204" spans="1:12" hidden="1" x14ac:dyDescent="0.25">
      <c r="A204" s="1479"/>
      <c r="B204" s="1393"/>
      <c r="C204" s="1403"/>
      <c r="D204" s="28" t="s">
        <v>357</v>
      </c>
      <c r="E204" s="94"/>
      <c r="F204" s="99">
        <f>(F203/F201)*100</f>
        <v>82.033898305084733</v>
      </c>
      <c r="G204" s="94"/>
      <c r="H204" s="94"/>
      <c r="I204" s="99">
        <f>I203/I201*100</f>
        <v>82.232346241457861</v>
      </c>
      <c r="J204" s="28"/>
      <c r="K204" s="28"/>
      <c r="L204" s="21"/>
    </row>
    <row r="205" spans="1:12" ht="14.85" hidden="1" customHeight="1" x14ac:dyDescent="0.25">
      <c r="A205" s="1479"/>
      <c r="B205" s="1393"/>
      <c r="C205" s="1403" t="s">
        <v>392</v>
      </c>
      <c r="D205" s="144" t="s">
        <v>251</v>
      </c>
      <c r="E205" s="94"/>
      <c r="F205" s="80">
        <v>700</v>
      </c>
      <c r="G205" s="80"/>
      <c r="H205" s="80"/>
      <c r="I205" s="80">
        <v>507</v>
      </c>
      <c r="J205" s="28"/>
      <c r="K205" s="28"/>
      <c r="L205" s="21"/>
    </row>
    <row r="206" spans="1:12" hidden="1" x14ac:dyDescent="0.25">
      <c r="A206" s="1479"/>
      <c r="B206" s="1393"/>
      <c r="C206" s="1403"/>
      <c r="D206" s="28" t="s">
        <v>257</v>
      </c>
      <c r="E206" s="94"/>
      <c r="F206" s="80">
        <v>45</v>
      </c>
      <c r="G206" s="80"/>
      <c r="H206" s="80"/>
      <c r="I206" s="80">
        <v>69</v>
      </c>
      <c r="J206" s="28"/>
      <c r="K206" s="28"/>
      <c r="L206" s="21"/>
    </row>
    <row r="207" spans="1:12" hidden="1" x14ac:dyDescent="0.25">
      <c r="A207" s="1479"/>
      <c r="B207" s="1393"/>
      <c r="C207" s="1403"/>
      <c r="D207" s="28" t="s">
        <v>263</v>
      </c>
      <c r="E207" s="94"/>
      <c r="F207" s="80">
        <v>655</v>
      </c>
      <c r="G207" s="80"/>
      <c r="H207" s="80"/>
      <c r="I207" s="80">
        <v>438</v>
      </c>
      <c r="J207" s="28"/>
      <c r="K207" s="28"/>
      <c r="L207" s="21"/>
    </row>
    <row r="208" spans="1:12" hidden="1" x14ac:dyDescent="0.25">
      <c r="A208" s="1479"/>
      <c r="B208" s="1393"/>
      <c r="C208" s="1403"/>
      <c r="D208" s="28" t="s">
        <v>357</v>
      </c>
      <c r="E208" s="94"/>
      <c r="F208" s="99">
        <f>(F207/F205)*100</f>
        <v>93.571428571428569</v>
      </c>
      <c r="G208" s="94"/>
      <c r="H208" s="94"/>
      <c r="I208" s="99">
        <f>I207/I205*100</f>
        <v>86.390532544378701</v>
      </c>
      <c r="J208" s="28"/>
      <c r="K208" s="28"/>
      <c r="L208" s="21"/>
    </row>
    <row r="209" spans="1:12" ht="14.85" hidden="1" customHeight="1" x14ac:dyDescent="0.25">
      <c r="A209" s="1479"/>
      <c r="B209" s="1393"/>
      <c r="C209" s="1403" t="s">
        <v>393</v>
      </c>
      <c r="D209" s="144" t="s">
        <v>251</v>
      </c>
      <c r="E209" s="94"/>
      <c r="F209" s="80">
        <v>2100</v>
      </c>
      <c r="G209" s="80"/>
      <c r="H209" s="80"/>
      <c r="I209" s="80">
        <v>2193</v>
      </c>
      <c r="J209" s="28"/>
      <c r="K209" s="28"/>
      <c r="L209" s="21"/>
    </row>
    <row r="210" spans="1:12" hidden="1" x14ac:dyDescent="0.25">
      <c r="A210" s="1479"/>
      <c r="B210" s="1393"/>
      <c r="C210" s="1403"/>
      <c r="D210" s="28" t="s">
        <v>257</v>
      </c>
      <c r="E210" s="94"/>
      <c r="F210" s="80">
        <v>1170</v>
      </c>
      <c r="G210" s="80"/>
      <c r="H210" s="80"/>
      <c r="I210" s="80">
        <v>1137</v>
      </c>
      <c r="J210" s="28"/>
      <c r="K210" s="28"/>
      <c r="L210" s="21"/>
    </row>
    <row r="211" spans="1:12" hidden="1" x14ac:dyDescent="0.25">
      <c r="A211" s="1479"/>
      <c r="B211" s="1393"/>
      <c r="C211" s="1403"/>
      <c r="D211" s="28" t="s">
        <v>263</v>
      </c>
      <c r="E211" s="94"/>
      <c r="F211" s="80">
        <v>935</v>
      </c>
      <c r="G211" s="80"/>
      <c r="H211" s="80"/>
      <c r="I211" s="80">
        <v>1056</v>
      </c>
      <c r="J211" s="28"/>
      <c r="K211" s="28"/>
      <c r="L211" s="21"/>
    </row>
    <row r="212" spans="1:12" hidden="1" x14ac:dyDescent="0.25">
      <c r="A212" s="1479"/>
      <c r="B212" s="1393"/>
      <c r="C212" s="1403"/>
      <c r="D212" s="28" t="s">
        <v>357</v>
      </c>
      <c r="E212" s="94"/>
      <c r="F212" s="98">
        <f>(F211/F209)*100</f>
        <v>44.523809523809518</v>
      </c>
      <c r="G212" s="94"/>
      <c r="H212" s="94"/>
      <c r="I212" s="98">
        <f>I211/I209*100</f>
        <v>48.153214774281807</v>
      </c>
      <c r="J212" s="28"/>
      <c r="K212" s="28"/>
      <c r="L212" s="21"/>
    </row>
    <row r="213" spans="1:12" ht="14.85" hidden="1" customHeight="1" x14ac:dyDescent="0.25">
      <c r="A213" s="1479"/>
      <c r="B213" s="1393"/>
      <c r="C213" s="1403" t="s">
        <v>394</v>
      </c>
      <c r="D213" s="144" t="s">
        <v>251</v>
      </c>
      <c r="E213" s="94"/>
      <c r="F213" s="80">
        <v>1940</v>
      </c>
      <c r="G213" s="80"/>
      <c r="H213" s="80"/>
      <c r="I213" s="80">
        <v>2532</v>
      </c>
      <c r="J213" s="28"/>
      <c r="K213" s="28"/>
      <c r="L213" s="21"/>
    </row>
    <row r="214" spans="1:12" hidden="1" x14ac:dyDescent="0.25">
      <c r="A214" s="1479"/>
      <c r="B214" s="1393"/>
      <c r="C214" s="1403"/>
      <c r="D214" s="28" t="s">
        <v>257</v>
      </c>
      <c r="E214" s="94"/>
      <c r="F214" s="80">
        <v>1690</v>
      </c>
      <c r="G214" s="80"/>
      <c r="H214" s="80"/>
      <c r="I214" s="80">
        <v>2031</v>
      </c>
      <c r="J214" s="28"/>
      <c r="K214" s="28"/>
      <c r="L214" s="21"/>
    </row>
    <row r="215" spans="1:12" hidden="1" x14ac:dyDescent="0.25">
      <c r="A215" s="1479"/>
      <c r="B215" s="1393"/>
      <c r="C215" s="1403"/>
      <c r="D215" s="28" t="s">
        <v>263</v>
      </c>
      <c r="E215" s="94"/>
      <c r="F215" s="80">
        <v>250</v>
      </c>
      <c r="G215" s="80"/>
      <c r="H215" s="80"/>
      <c r="I215" s="80">
        <v>504</v>
      </c>
      <c r="J215" s="28"/>
      <c r="K215" s="28"/>
      <c r="L215" s="21"/>
    </row>
    <row r="216" spans="1:12" hidden="1" x14ac:dyDescent="0.25">
      <c r="A216" s="1479"/>
      <c r="B216" s="1393"/>
      <c r="C216" s="1403"/>
      <c r="D216" s="28" t="s">
        <v>357</v>
      </c>
      <c r="E216" s="94"/>
      <c r="F216" s="97">
        <f>(F215/F213)*100</f>
        <v>12.886597938144329</v>
      </c>
      <c r="G216" s="94"/>
      <c r="H216" s="94"/>
      <c r="I216" s="97">
        <f>I215/I213*100</f>
        <v>19.90521327014218</v>
      </c>
      <c r="J216" s="28"/>
      <c r="K216" s="28"/>
      <c r="L216" s="21"/>
    </row>
    <row r="217" spans="1:12" ht="14.85" hidden="1" customHeight="1" x14ac:dyDescent="0.25">
      <c r="A217" s="1479"/>
      <c r="B217" s="1393"/>
      <c r="C217" s="1403" t="s">
        <v>395</v>
      </c>
      <c r="D217" s="144" t="s">
        <v>251</v>
      </c>
      <c r="E217" s="94"/>
      <c r="F217" s="80">
        <v>300</v>
      </c>
      <c r="G217" s="80"/>
      <c r="H217" s="80"/>
      <c r="I217" s="80">
        <v>186</v>
      </c>
      <c r="J217" s="94"/>
      <c r="K217" s="28"/>
      <c r="L217" s="21"/>
    </row>
    <row r="218" spans="1:12" ht="14.85" hidden="1" customHeight="1" x14ac:dyDescent="0.25">
      <c r="A218" s="1479"/>
      <c r="B218" s="1393"/>
      <c r="C218" s="1403"/>
      <c r="D218" s="28" t="s">
        <v>257</v>
      </c>
      <c r="E218" s="94"/>
      <c r="F218" s="80">
        <v>245</v>
      </c>
      <c r="G218" s="80"/>
      <c r="H218" s="80"/>
      <c r="I218" s="80">
        <v>135</v>
      </c>
      <c r="J218" s="94"/>
      <c r="K218" s="28"/>
      <c r="L218" s="21"/>
    </row>
    <row r="219" spans="1:12" hidden="1" x14ac:dyDescent="0.25">
      <c r="A219" s="1479"/>
      <c r="B219" s="1393"/>
      <c r="C219" s="1403"/>
      <c r="D219" s="28" t="s">
        <v>263</v>
      </c>
      <c r="E219" s="94"/>
      <c r="F219" s="80">
        <v>50</v>
      </c>
      <c r="G219" s="80"/>
      <c r="H219" s="80"/>
      <c r="I219" s="80">
        <v>51</v>
      </c>
      <c r="J219" s="94"/>
      <c r="K219" s="28"/>
      <c r="L219" s="21"/>
    </row>
    <row r="220" spans="1:12" hidden="1" x14ac:dyDescent="0.25">
      <c r="A220" s="1479"/>
      <c r="B220" s="1393"/>
      <c r="C220" s="1403"/>
      <c r="D220" s="28" t="s">
        <v>357</v>
      </c>
      <c r="E220" s="94"/>
      <c r="F220" s="97">
        <f>(F219/F217)*100</f>
        <v>16.666666666666664</v>
      </c>
      <c r="G220" s="94"/>
      <c r="H220" s="94"/>
      <c r="I220" s="97">
        <f>I219/I217*100</f>
        <v>27.419354838709676</v>
      </c>
      <c r="J220" s="94"/>
      <c r="K220" s="28"/>
      <c r="L220" s="21"/>
    </row>
    <row r="221" spans="1:12" ht="14.85" hidden="1" customHeight="1" x14ac:dyDescent="0.25">
      <c r="A221" s="1479"/>
      <c r="B221" s="1393"/>
      <c r="C221" s="1403" t="s">
        <v>396</v>
      </c>
      <c r="D221" s="144" t="s">
        <v>251</v>
      </c>
      <c r="E221" s="94"/>
      <c r="F221" s="80">
        <v>65</v>
      </c>
      <c r="G221" s="80"/>
      <c r="H221" s="80"/>
      <c r="I221" s="80">
        <v>21</v>
      </c>
      <c r="J221" s="94"/>
      <c r="K221" s="28"/>
      <c r="L221" s="21"/>
    </row>
    <row r="222" spans="1:12" hidden="1" x14ac:dyDescent="0.25">
      <c r="A222" s="1479"/>
      <c r="B222" s="1393"/>
      <c r="C222" s="1403"/>
      <c r="D222" s="28" t="s">
        <v>257</v>
      </c>
      <c r="E222" s="94"/>
      <c r="F222" s="80">
        <v>35</v>
      </c>
      <c r="G222" s="80"/>
      <c r="H222" s="80"/>
      <c r="I222" s="80">
        <v>18</v>
      </c>
      <c r="J222" s="94"/>
      <c r="K222" s="28"/>
      <c r="L222" s="21"/>
    </row>
    <row r="223" spans="1:12" hidden="1" x14ac:dyDescent="0.25">
      <c r="A223" s="1479"/>
      <c r="B223" s="1393"/>
      <c r="C223" s="1403"/>
      <c r="D223" s="28" t="s">
        <v>263</v>
      </c>
      <c r="E223" s="94"/>
      <c r="F223" s="80">
        <v>30</v>
      </c>
      <c r="G223" s="80"/>
      <c r="H223" s="80"/>
      <c r="I223" s="80">
        <v>6</v>
      </c>
      <c r="J223" s="94"/>
      <c r="K223" s="28"/>
      <c r="L223" s="21"/>
    </row>
    <row r="224" spans="1:12" hidden="1" x14ac:dyDescent="0.25">
      <c r="A224" s="1479"/>
      <c r="B224" s="1393"/>
      <c r="C224" s="1403"/>
      <c r="D224" s="28" t="s">
        <v>357</v>
      </c>
      <c r="E224" s="94"/>
      <c r="F224" s="98">
        <f>(F223/F221)*100</f>
        <v>46.153846153846153</v>
      </c>
      <c r="G224" s="94"/>
      <c r="H224" s="94"/>
      <c r="I224" s="97">
        <f>I223/I221*100</f>
        <v>28.571428571428569</v>
      </c>
      <c r="J224" s="94"/>
      <c r="K224" s="28"/>
      <c r="L224" s="21"/>
    </row>
    <row r="225" spans="1:12" ht="14.85" hidden="1" customHeight="1" x14ac:dyDescent="0.25">
      <c r="A225" s="1479"/>
      <c r="B225" s="1393"/>
      <c r="C225" s="1403" t="s">
        <v>397</v>
      </c>
      <c r="D225" s="144" t="s">
        <v>251</v>
      </c>
      <c r="E225" s="94"/>
      <c r="F225" s="80"/>
      <c r="G225" s="80"/>
      <c r="H225" s="80"/>
      <c r="I225" s="80">
        <v>9</v>
      </c>
      <c r="J225" s="94"/>
      <c r="K225" s="28"/>
      <c r="L225" s="21"/>
    </row>
    <row r="226" spans="1:12" hidden="1" x14ac:dyDescent="0.25">
      <c r="A226" s="1479"/>
      <c r="B226" s="1393"/>
      <c r="C226" s="1403"/>
      <c r="D226" s="28" t="s">
        <v>257</v>
      </c>
      <c r="E226" s="94"/>
      <c r="F226" s="80"/>
      <c r="G226" s="80"/>
      <c r="H226" s="80"/>
      <c r="I226" s="80">
        <v>3</v>
      </c>
      <c r="J226" s="94"/>
      <c r="K226" s="28"/>
      <c r="L226" s="21"/>
    </row>
    <row r="227" spans="1:12" hidden="1" x14ac:dyDescent="0.25">
      <c r="A227" s="1479"/>
      <c r="B227" s="1393"/>
      <c r="C227" s="1403"/>
      <c r="D227" s="28" t="s">
        <v>263</v>
      </c>
      <c r="E227" s="94"/>
      <c r="F227" s="80"/>
      <c r="G227" s="80"/>
      <c r="H227" s="80"/>
      <c r="I227" s="80">
        <v>6</v>
      </c>
      <c r="J227" s="94"/>
      <c r="K227" s="28"/>
      <c r="L227" s="21"/>
    </row>
    <row r="228" spans="1:12" hidden="1" x14ac:dyDescent="0.25">
      <c r="A228" s="1479"/>
      <c r="B228" s="1393"/>
      <c r="C228" s="1403"/>
      <c r="D228" s="28" t="s">
        <v>357</v>
      </c>
      <c r="E228" s="94"/>
      <c r="F228" s="94"/>
      <c r="G228" s="94"/>
      <c r="H228" s="94"/>
      <c r="I228" s="99">
        <f>I227/I225*100</f>
        <v>66.666666666666657</v>
      </c>
      <c r="J228" s="94"/>
      <c r="K228" s="28"/>
      <c r="L228" s="21"/>
    </row>
    <row r="229" spans="1:12" ht="14.85" hidden="1" customHeight="1" x14ac:dyDescent="0.25">
      <c r="A229" s="1479"/>
      <c r="B229" s="1393"/>
      <c r="C229" s="1403" t="s">
        <v>398</v>
      </c>
      <c r="D229" s="144" t="s">
        <v>251</v>
      </c>
      <c r="E229" s="94"/>
      <c r="F229" s="80"/>
      <c r="G229" s="80"/>
      <c r="H229" s="80"/>
      <c r="I229" s="80">
        <v>12</v>
      </c>
      <c r="J229" s="94"/>
      <c r="K229" s="28"/>
      <c r="L229" s="21"/>
    </row>
    <row r="230" spans="1:12" ht="14.85" hidden="1" customHeight="1" x14ac:dyDescent="0.25">
      <c r="A230" s="1479"/>
      <c r="B230" s="1393"/>
      <c r="C230" s="1403"/>
      <c r="D230" s="28" t="s">
        <v>257</v>
      </c>
      <c r="E230" s="94"/>
      <c r="F230" s="80"/>
      <c r="G230" s="80"/>
      <c r="H230" s="80"/>
      <c r="I230" s="80">
        <v>3</v>
      </c>
      <c r="J230" s="94"/>
      <c r="K230" s="28"/>
      <c r="L230" s="21"/>
    </row>
    <row r="231" spans="1:12" hidden="1" x14ac:dyDescent="0.25">
      <c r="A231" s="1479"/>
      <c r="B231" s="1393"/>
      <c r="C231" s="1403"/>
      <c r="D231" s="28" t="s">
        <v>263</v>
      </c>
      <c r="E231" s="94"/>
      <c r="F231" s="80"/>
      <c r="G231" s="80"/>
      <c r="H231" s="80"/>
      <c r="I231" s="80">
        <v>6</v>
      </c>
      <c r="J231" s="94"/>
      <c r="K231" s="28"/>
      <c r="L231" s="21"/>
    </row>
    <row r="232" spans="1:12" hidden="1" x14ac:dyDescent="0.25">
      <c r="A232" s="1479"/>
      <c r="B232" s="1393"/>
      <c r="C232" s="1403"/>
      <c r="D232" s="28" t="s">
        <v>357</v>
      </c>
      <c r="E232" s="94"/>
      <c r="F232" s="206"/>
      <c r="G232" s="94"/>
      <c r="H232" s="94"/>
      <c r="I232" s="98">
        <f>I231/I229*100</f>
        <v>50</v>
      </c>
      <c r="J232" s="94"/>
      <c r="K232" s="28"/>
      <c r="L232" s="21"/>
    </row>
    <row r="233" spans="1:12" ht="14.85" hidden="1" customHeight="1" x14ac:dyDescent="0.25">
      <c r="A233" s="1479"/>
      <c r="B233" s="1393"/>
      <c r="C233" s="1403" t="s">
        <v>399</v>
      </c>
      <c r="D233" s="144" t="s">
        <v>251</v>
      </c>
      <c r="E233" s="94"/>
      <c r="F233" s="80">
        <v>945</v>
      </c>
      <c r="G233" s="80"/>
      <c r="H233" s="80"/>
      <c r="I233" s="80">
        <v>978</v>
      </c>
      <c r="J233" s="94"/>
      <c r="K233" s="28"/>
      <c r="L233" s="21"/>
    </row>
    <row r="234" spans="1:12" ht="14.85" hidden="1" customHeight="1" x14ac:dyDescent="0.25">
      <c r="A234" s="1479"/>
      <c r="B234" s="1393"/>
      <c r="C234" s="1403"/>
      <c r="D234" s="28" t="s">
        <v>257</v>
      </c>
      <c r="E234" s="94"/>
      <c r="F234" s="80">
        <v>830</v>
      </c>
      <c r="G234" s="80"/>
      <c r="H234" s="80"/>
      <c r="I234" s="80">
        <v>870</v>
      </c>
      <c r="J234" s="94"/>
      <c r="K234" s="28"/>
      <c r="L234" s="21"/>
    </row>
    <row r="235" spans="1:12" hidden="1" x14ac:dyDescent="0.25">
      <c r="A235" s="1479"/>
      <c r="B235" s="1393"/>
      <c r="C235" s="1403"/>
      <c r="D235" s="28" t="s">
        <v>263</v>
      </c>
      <c r="E235" s="94"/>
      <c r="F235" s="80">
        <v>110</v>
      </c>
      <c r="G235" s="80"/>
      <c r="H235" s="80"/>
      <c r="I235" s="80">
        <v>108</v>
      </c>
      <c r="J235" s="94"/>
      <c r="K235" s="28"/>
      <c r="L235" s="21"/>
    </row>
    <row r="236" spans="1:12" hidden="1" x14ac:dyDescent="0.25">
      <c r="A236" s="1479"/>
      <c r="B236" s="1393"/>
      <c r="C236" s="1403"/>
      <c r="D236" s="28" t="s">
        <v>357</v>
      </c>
      <c r="E236" s="94"/>
      <c r="F236" s="97">
        <f>(F235/F233)*100</f>
        <v>11.640211640211639</v>
      </c>
      <c r="G236" s="94"/>
      <c r="H236" s="94"/>
      <c r="I236" s="97">
        <f>I235/I233*100</f>
        <v>11.042944785276074</v>
      </c>
      <c r="J236" s="94"/>
      <c r="K236" s="28"/>
      <c r="L236" s="21"/>
    </row>
    <row r="237" spans="1:12" ht="14.85" hidden="1" customHeight="1" x14ac:dyDescent="0.25">
      <c r="A237" s="1479"/>
      <c r="B237" s="1393"/>
      <c r="C237" s="1403" t="s">
        <v>400</v>
      </c>
      <c r="D237" s="144" t="s">
        <v>251</v>
      </c>
      <c r="E237" s="94"/>
      <c r="F237" s="80">
        <v>630</v>
      </c>
      <c r="G237" s="80"/>
      <c r="H237" s="80"/>
      <c r="I237" s="80">
        <v>492</v>
      </c>
      <c r="J237" s="94"/>
      <c r="K237" s="28"/>
      <c r="L237" s="21"/>
    </row>
    <row r="238" spans="1:12" hidden="1" x14ac:dyDescent="0.25">
      <c r="A238" s="1479"/>
      <c r="B238" s="1393"/>
      <c r="C238" s="1403"/>
      <c r="D238" s="28" t="s">
        <v>257</v>
      </c>
      <c r="E238" s="94"/>
      <c r="F238" s="80">
        <v>430</v>
      </c>
      <c r="G238" s="80"/>
      <c r="H238" s="80"/>
      <c r="I238" s="80">
        <v>447</v>
      </c>
      <c r="J238" s="94"/>
      <c r="K238" s="28"/>
      <c r="L238" s="21"/>
    </row>
    <row r="239" spans="1:12" hidden="1" x14ac:dyDescent="0.25">
      <c r="A239" s="1479"/>
      <c r="B239" s="1393"/>
      <c r="C239" s="1403"/>
      <c r="D239" s="28" t="s">
        <v>263</v>
      </c>
      <c r="E239" s="94"/>
      <c r="F239" s="80">
        <v>205</v>
      </c>
      <c r="G239" s="80"/>
      <c r="H239" s="80"/>
      <c r="I239" s="80">
        <v>45</v>
      </c>
      <c r="J239" s="94"/>
      <c r="K239" s="28"/>
      <c r="L239" s="21"/>
    </row>
    <row r="240" spans="1:12" hidden="1" x14ac:dyDescent="0.25">
      <c r="A240" s="1479"/>
      <c r="B240" s="1393"/>
      <c r="C240" s="1403"/>
      <c r="D240" s="28" t="s">
        <v>357</v>
      </c>
      <c r="E240" s="94"/>
      <c r="F240" s="97">
        <f>(F239/F237)*100</f>
        <v>32.539682539682538</v>
      </c>
      <c r="G240" s="94"/>
      <c r="H240" s="94"/>
      <c r="I240" s="97">
        <f>I239/I237*100</f>
        <v>9.1463414634146343</v>
      </c>
      <c r="J240" s="94"/>
      <c r="K240" s="28"/>
      <c r="L240" s="21"/>
    </row>
    <row r="241" spans="1:12" ht="14.85" hidden="1" customHeight="1" x14ac:dyDescent="0.25">
      <c r="A241" s="1479"/>
      <c r="B241" s="1393"/>
      <c r="C241" s="1403" t="s">
        <v>401</v>
      </c>
      <c r="D241" s="144" t="s">
        <v>251</v>
      </c>
      <c r="E241" s="94"/>
      <c r="F241" s="80">
        <v>340</v>
      </c>
      <c r="G241" s="80"/>
      <c r="H241" s="80"/>
      <c r="I241" s="80">
        <v>210</v>
      </c>
      <c r="J241" s="94"/>
      <c r="K241" s="28"/>
      <c r="L241" s="21"/>
    </row>
    <row r="242" spans="1:12" hidden="1" x14ac:dyDescent="0.25">
      <c r="A242" s="1479"/>
      <c r="B242" s="1393"/>
      <c r="C242" s="1403"/>
      <c r="D242" s="28" t="s">
        <v>257</v>
      </c>
      <c r="E242" s="94"/>
      <c r="F242" s="80">
        <v>340</v>
      </c>
      <c r="G242" s="80"/>
      <c r="H242" s="80"/>
      <c r="I242" s="80">
        <v>192</v>
      </c>
      <c r="J242" s="94"/>
      <c r="K242" s="28"/>
      <c r="L242" s="21"/>
    </row>
    <row r="243" spans="1:12" hidden="1" x14ac:dyDescent="0.25">
      <c r="A243" s="1479"/>
      <c r="B243" s="1393"/>
      <c r="C243" s="1403"/>
      <c r="D243" s="28" t="s">
        <v>263</v>
      </c>
      <c r="E243" s="94"/>
      <c r="F243" s="80">
        <v>0</v>
      </c>
      <c r="G243" s="80"/>
      <c r="H243" s="80"/>
      <c r="I243" s="80">
        <v>18</v>
      </c>
      <c r="J243" s="94"/>
      <c r="K243" s="28"/>
      <c r="L243" s="21"/>
    </row>
    <row r="244" spans="1:12" hidden="1" x14ac:dyDescent="0.25">
      <c r="A244" s="1479"/>
      <c r="B244" s="1393"/>
      <c r="C244" s="1403"/>
      <c r="D244" s="28" t="s">
        <v>357</v>
      </c>
      <c r="E244" s="94"/>
      <c r="F244" s="97">
        <f>(F243/F241)*100</f>
        <v>0</v>
      </c>
      <c r="G244" s="94"/>
      <c r="H244" s="94"/>
      <c r="I244" s="97">
        <f>I243/I241*100</f>
        <v>8.5714285714285712</v>
      </c>
      <c r="J244" s="94"/>
      <c r="K244" s="28"/>
      <c r="L244" s="21"/>
    </row>
    <row r="245" spans="1:12" ht="14.85" hidden="1" customHeight="1" x14ac:dyDescent="0.25">
      <c r="A245" s="1479"/>
      <c r="B245" s="1393"/>
      <c r="C245" s="1403" t="s">
        <v>402</v>
      </c>
      <c r="D245" s="144" t="s">
        <v>251</v>
      </c>
      <c r="E245" s="94"/>
      <c r="F245" s="80">
        <v>570</v>
      </c>
      <c r="G245" s="80"/>
      <c r="H245" s="80"/>
      <c r="I245" s="80">
        <v>537</v>
      </c>
      <c r="J245" s="94"/>
      <c r="K245" s="28"/>
      <c r="L245" s="21"/>
    </row>
    <row r="246" spans="1:12" hidden="1" x14ac:dyDescent="0.25">
      <c r="A246" s="1479"/>
      <c r="B246" s="1393"/>
      <c r="C246" s="1403"/>
      <c r="D246" s="28" t="s">
        <v>257</v>
      </c>
      <c r="E246" s="94"/>
      <c r="F246" s="80">
        <v>570</v>
      </c>
      <c r="G246" s="80"/>
      <c r="H246" s="80"/>
      <c r="I246" s="80">
        <v>492</v>
      </c>
      <c r="J246" s="94"/>
      <c r="K246" s="28"/>
      <c r="L246" s="21"/>
    </row>
    <row r="247" spans="1:12" hidden="1" x14ac:dyDescent="0.25">
      <c r="A247" s="1479"/>
      <c r="B247" s="1393"/>
      <c r="C247" s="1403"/>
      <c r="D247" s="28" t="s">
        <v>263</v>
      </c>
      <c r="E247" s="94"/>
      <c r="F247" s="80">
        <v>0</v>
      </c>
      <c r="G247" s="80"/>
      <c r="H247" s="80"/>
      <c r="I247" s="80">
        <v>45</v>
      </c>
      <c r="J247" s="94"/>
      <c r="K247" s="28"/>
      <c r="L247" s="21"/>
    </row>
    <row r="248" spans="1:12" hidden="1" x14ac:dyDescent="0.25">
      <c r="A248" s="1479"/>
      <c r="B248" s="1393"/>
      <c r="C248" s="1403"/>
      <c r="D248" s="28" t="s">
        <v>357</v>
      </c>
      <c r="E248" s="94"/>
      <c r="F248" s="97">
        <f>(F247/F245)*100</f>
        <v>0</v>
      </c>
      <c r="G248" s="94"/>
      <c r="H248" s="94"/>
      <c r="I248" s="97">
        <f>I247/I245*100</f>
        <v>8.3798882681564244</v>
      </c>
      <c r="J248" s="94"/>
      <c r="K248" s="28"/>
      <c r="L248" s="21"/>
    </row>
    <row r="249" spans="1:12" ht="14.85" hidden="1" customHeight="1" x14ac:dyDescent="0.25">
      <c r="A249" s="1479"/>
      <c r="B249" s="1393"/>
      <c r="C249" s="1403" t="s">
        <v>403</v>
      </c>
      <c r="D249" s="144" t="s">
        <v>251</v>
      </c>
      <c r="E249" s="94"/>
      <c r="F249" s="80">
        <v>810</v>
      </c>
      <c r="G249" s="80"/>
      <c r="H249" s="80"/>
      <c r="I249" s="80">
        <v>795</v>
      </c>
      <c r="J249" s="94"/>
      <c r="K249" s="28"/>
      <c r="L249" s="21"/>
    </row>
    <row r="250" spans="1:12" hidden="1" x14ac:dyDescent="0.25">
      <c r="A250" s="1479"/>
      <c r="B250" s="1393"/>
      <c r="C250" s="1403"/>
      <c r="D250" s="28" t="s">
        <v>257</v>
      </c>
      <c r="E250" s="94"/>
      <c r="F250" s="80">
        <v>630</v>
      </c>
      <c r="G250" s="80"/>
      <c r="H250" s="80"/>
      <c r="I250" s="80">
        <v>696</v>
      </c>
      <c r="J250" s="94"/>
      <c r="K250" s="28"/>
      <c r="L250" s="21"/>
    </row>
    <row r="251" spans="1:12" hidden="1" x14ac:dyDescent="0.25">
      <c r="A251" s="1479"/>
      <c r="B251" s="1393"/>
      <c r="C251" s="1403"/>
      <c r="D251" s="28" t="s">
        <v>263</v>
      </c>
      <c r="E251" s="94"/>
      <c r="F251" s="80">
        <v>180</v>
      </c>
      <c r="G251" s="80"/>
      <c r="H251" s="80"/>
      <c r="I251" s="80">
        <v>99</v>
      </c>
      <c r="J251" s="94"/>
      <c r="K251" s="28"/>
      <c r="L251" s="21"/>
    </row>
    <row r="252" spans="1:12" hidden="1" x14ac:dyDescent="0.25">
      <c r="A252" s="1479"/>
      <c r="B252" s="1393"/>
      <c r="C252" s="1403"/>
      <c r="D252" s="28" t="s">
        <v>357</v>
      </c>
      <c r="E252" s="94"/>
      <c r="F252" s="97">
        <f>(F251/F249)*100</f>
        <v>22.222222222222221</v>
      </c>
      <c r="G252" s="94"/>
      <c r="H252" s="94"/>
      <c r="I252" s="97">
        <f>I251/I249*100</f>
        <v>12.452830188679245</v>
      </c>
      <c r="J252" s="94"/>
      <c r="K252" s="28"/>
      <c r="L252" s="21"/>
    </row>
    <row r="253" spans="1:12" ht="14.85" hidden="1" customHeight="1" x14ac:dyDescent="0.25">
      <c r="A253" s="1479"/>
      <c r="B253" s="1393"/>
      <c r="C253" s="1403" t="s">
        <v>404</v>
      </c>
      <c r="D253" s="144" t="s">
        <v>251</v>
      </c>
      <c r="E253" s="94"/>
      <c r="F253" s="80">
        <v>595</v>
      </c>
      <c r="G253" s="80"/>
      <c r="H253" s="80"/>
      <c r="I253" s="80">
        <v>183</v>
      </c>
      <c r="J253" s="94"/>
      <c r="K253" s="28"/>
      <c r="L253" s="21"/>
    </row>
    <row r="254" spans="1:12" ht="14.85" hidden="1" customHeight="1" x14ac:dyDescent="0.25">
      <c r="A254" s="1479"/>
      <c r="B254" s="1393"/>
      <c r="C254" s="1403"/>
      <c r="D254" s="28" t="s">
        <v>257</v>
      </c>
      <c r="E254" s="94"/>
      <c r="F254" s="80">
        <v>520</v>
      </c>
      <c r="G254" s="80"/>
      <c r="H254" s="80"/>
      <c r="I254" s="80">
        <v>135</v>
      </c>
      <c r="J254" s="94"/>
      <c r="K254" s="28"/>
      <c r="L254" s="21"/>
    </row>
    <row r="255" spans="1:12" hidden="1" x14ac:dyDescent="0.25">
      <c r="A255" s="1479"/>
      <c r="B255" s="1393"/>
      <c r="C255" s="1403"/>
      <c r="D255" s="28" t="s">
        <v>263</v>
      </c>
      <c r="E255" s="94"/>
      <c r="F255" s="80">
        <v>75</v>
      </c>
      <c r="G255" s="80"/>
      <c r="H255" s="80"/>
      <c r="I255" s="80">
        <v>45</v>
      </c>
      <c r="J255" s="94"/>
      <c r="K255" s="28"/>
      <c r="L255" s="21"/>
    </row>
    <row r="256" spans="1:12" hidden="1" x14ac:dyDescent="0.25">
      <c r="A256" s="1479"/>
      <c r="B256" s="1393"/>
      <c r="C256" s="1403"/>
      <c r="D256" s="28" t="s">
        <v>357</v>
      </c>
      <c r="E256" s="94"/>
      <c r="F256" s="97">
        <f>(F255/F253)*100</f>
        <v>12.605042016806722</v>
      </c>
      <c r="G256" s="94"/>
      <c r="H256" s="94"/>
      <c r="I256" s="97">
        <f>I255/I253*100</f>
        <v>24.590163934426229</v>
      </c>
      <c r="J256" s="94"/>
      <c r="K256" s="28"/>
      <c r="L256" s="21"/>
    </row>
    <row r="257" spans="1:12" ht="14.85" hidden="1" customHeight="1" x14ac:dyDescent="0.25">
      <c r="A257" s="1479"/>
      <c r="B257" s="1393"/>
      <c r="C257" s="1403" t="s">
        <v>405</v>
      </c>
      <c r="D257" s="144" t="s">
        <v>251</v>
      </c>
      <c r="E257" s="94"/>
      <c r="F257" s="80">
        <v>195</v>
      </c>
      <c r="G257" s="80"/>
      <c r="H257" s="80"/>
      <c r="I257" s="80">
        <v>129</v>
      </c>
      <c r="J257" s="94"/>
      <c r="K257" s="28"/>
      <c r="L257" s="21"/>
    </row>
    <row r="258" spans="1:12" hidden="1" x14ac:dyDescent="0.25">
      <c r="A258" s="1479"/>
      <c r="B258" s="1393"/>
      <c r="C258" s="1403"/>
      <c r="D258" s="28" t="s">
        <v>257</v>
      </c>
      <c r="E258" s="94"/>
      <c r="F258" s="80">
        <v>140</v>
      </c>
      <c r="G258" s="80"/>
      <c r="H258" s="80"/>
      <c r="I258" s="80">
        <v>84</v>
      </c>
      <c r="J258" s="94"/>
      <c r="K258" s="28"/>
      <c r="L258" s="21"/>
    </row>
    <row r="259" spans="1:12" hidden="1" x14ac:dyDescent="0.25">
      <c r="A259" s="1479"/>
      <c r="B259" s="1393"/>
      <c r="C259" s="1403"/>
      <c r="D259" s="28" t="s">
        <v>263</v>
      </c>
      <c r="E259" s="94"/>
      <c r="F259" s="80">
        <v>55</v>
      </c>
      <c r="G259" s="80"/>
      <c r="H259" s="80"/>
      <c r="I259" s="80">
        <v>48</v>
      </c>
      <c r="J259" s="94"/>
      <c r="K259" s="28"/>
      <c r="L259" s="21"/>
    </row>
    <row r="260" spans="1:12" hidden="1" x14ac:dyDescent="0.25">
      <c r="A260" s="1479"/>
      <c r="B260" s="1393"/>
      <c r="C260" s="1403"/>
      <c r="D260" s="28" t="s">
        <v>357</v>
      </c>
      <c r="E260" s="94"/>
      <c r="F260" s="97">
        <f>(F259/F257)*100</f>
        <v>28.205128205128204</v>
      </c>
      <c r="G260" s="94"/>
      <c r="H260" s="94"/>
      <c r="I260" s="97">
        <f>I259/I257*100</f>
        <v>37.209302325581397</v>
      </c>
      <c r="J260" s="94"/>
      <c r="K260" s="28"/>
      <c r="L260" s="21"/>
    </row>
    <row r="261" spans="1:12" ht="14.85" hidden="1" customHeight="1" x14ac:dyDescent="0.25">
      <c r="A261" s="1479"/>
      <c r="B261" s="1393"/>
      <c r="C261" s="1403" t="s">
        <v>406</v>
      </c>
      <c r="D261" s="144" t="s">
        <v>251</v>
      </c>
      <c r="E261" s="94"/>
      <c r="F261" s="80">
        <v>370</v>
      </c>
      <c r="G261" s="80"/>
      <c r="H261" s="80"/>
      <c r="I261" s="80">
        <v>237</v>
      </c>
      <c r="J261" s="94"/>
      <c r="K261" s="28"/>
      <c r="L261" s="21"/>
    </row>
    <row r="262" spans="1:12" hidden="1" x14ac:dyDescent="0.25">
      <c r="A262" s="1479"/>
      <c r="B262" s="1393"/>
      <c r="C262" s="1403"/>
      <c r="D262" s="28" t="s">
        <v>257</v>
      </c>
      <c r="E262" s="94"/>
      <c r="F262" s="80">
        <v>260</v>
      </c>
      <c r="G262" s="80"/>
      <c r="H262" s="80"/>
      <c r="I262" s="80">
        <v>159</v>
      </c>
      <c r="J262" s="94"/>
      <c r="K262" s="28"/>
      <c r="L262" s="21"/>
    </row>
    <row r="263" spans="1:12" hidden="1" x14ac:dyDescent="0.25">
      <c r="A263" s="1479"/>
      <c r="B263" s="1393"/>
      <c r="C263" s="1403"/>
      <c r="D263" s="28" t="s">
        <v>263</v>
      </c>
      <c r="E263" s="94"/>
      <c r="F263" s="80">
        <v>110</v>
      </c>
      <c r="G263" s="80"/>
      <c r="H263" s="80"/>
      <c r="I263" s="80">
        <v>75</v>
      </c>
      <c r="J263" s="94"/>
      <c r="K263" s="28"/>
      <c r="L263" s="21"/>
    </row>
    <row r="264" spans="1:12" hidden="1" x14ac:dyDescent="0.25">
      <c r="A264" s="1479"/>
      <c r="B264" s="1393"/>
      <c r="C264" s="1403"/>
      <c r="D264" s="28" t="s">
        <v>357</v>
      </c>
      <c r="E264" s="94"/>
      <c r="F264" s="97">
        <f>(F263/F261)*100</f>
        <v>29.72972972972973</v>
      </c>
      <c r="G264" s="94"/>
      <c r="H264" s="94"/>
      <c r="I264" s="97">
        <f>I263/I261*100</f>
        <v>31.645569620253166</v>
      </c>
      <c r="J264" s="94"/>
      <c r="K264" s="28"/>
      <c r="L264" s="21"/>
    </row>
    <row r="265" spans="1:12" ht="14.85" hidden="1" customHeight="1" x14ac:dyDescent="0.25">
      <c r="A265" s="1479"/>
      <c r="B265" s="1393"/>
      <c r="C265" s="1403" t="s">
        <v>407</v>
      </c>
      <c r="D265" s="144" t="s">
        <v>251</v>
      </c>
      <c r="E265" s="94"/>
      <c r="F265" s="80">
        <v>465</v>
      </c>
      <c r="G265" s="80"/>
      <c r="H265" s="80"/>
      <c r="I265" s="80">
        <v>192</v>
      </c>
      <c r="J265" s="94"/>
      <c r="K265" s="28"/>
      <c r="L265" s="21"/>
    </row>
    <row r="266" spans="1:12" hidden="1" x14ac:dyDescent="0.25">
      <c r="A266" s="1479"/>
      <c r="B266" s="1393"/>
      <c r="C266" s="1403"/>
      <c r="D266" s="28" t="s">
        <v>257</v>
      </c>
      <c r="E266" s="94"/>
      <c r="F266" s="80">
        <v>270</v>
      </c>
      <c r="G266" s="80"/>
      <c r="H266" s="80"/>
      <c r="I266" s="80">
        <v>141</v>
      </c>
      <c r="J266" s="94"/>
      <c r="K266" s="28"/>
      <c r="L266" s="21"/>
    </row>
    <row r="267" spans="1:12" hidden="1" x14ac:dyDescent="0.25">
      <c r="A267" s="1479"/>
      <c r="B267" s="1393"/>
      <c r="C267" s="1403"/>
      <c r="D267" s="28" t="s">
        <v>263</v>
      </c>
      <c r="E267" s="94"/>
      <c r="F267" s="80">
        <v>195</v>
      </c>
      <c r="G267" s="80"/>
      <c r="H267" s="80"/>
      <c r="I267" s="80">
        <v>51</v>
      </c>
      <c r="J267" s="94"/>
      <c r="K267" s="28"/>
      <c r="L267" s="21"/>
    </row>
    <row r="268" spans="1:12" hidden="1" x14ac:dyDescent="0.25">
      <c r="A268" s="1479"/>
      <c r="B268" s="1393"/>
      <c r="C268" s="1403"/>
      <c r="D268" s="28" t="s">
        <v>357</v>
      </c>
      <c r="E268" s="94"/>
      <c r="F268" s="98">
        <f>(F267/F265)*100</f>
        <v>41.935483870967744</v>
      </c>
      <c r="G268" s="94"/>
      <c r="H268" s="94"/>
      <c r="I268" s="97">
        <f>I267/I265*100</f>
        <v>26.5625</v>
      </c>
      <c r="J268" s="94"/>
      <c r="K268" s="28"/>
      <c r="L268" s="21"/>
    </row>
    <row r="269" spans="1:12" ht="14.85" hidden="1" customHeight="1" x14ac:dyDescent="0.25">
      <c r="A269" s="1479"/>
      <c r="B269" s="1393"/>
      <c r="C269" s="1403" t="s">
        <v>408</v>
      </c>
      <c r="D269" s="144" t="s">
        <v>251</v>
      </c>
      <c r="E269" s="94"/>
      <c r="F269" s="80">
        <v>115</v>
      </c>
      <c r="G269" s="80"/>
      <c r="H269" s="80"/>
      <c r="I269" s="80">
        <v>93</v>
      </c>
      <c r="J269" s="94"/>
      <c r="K269" s="28"/>
      <c r="L269" s="21"/>
    </row>
    <row r="270" spans="1:12" hidden="1" x14ac:dyDescent="0.25">
      <c r="A270" s="1479"/>
      <c r="B270" s="1393"/>
      <c r="C270" s="1403"/>
      <c r="D270" s="28" t="s">
        <v>257</v>
      </c>
      <c r="E270" s="94"/>
      <c r="F270" s="80">
        <v>105</v>
      </c>
      <c r="G270" s="80"/>
      <c r="H270" s="80"/>
      <c r="I270" s="80">
        <v>78</v>
      </c>
      <c r="J270" s="94"/>
      <c r="K270" s="28"/>
      <c r="L270" s="21"/>
    </row>
    <row r="271" spans="1:12" hidden="1" x14ac:dyDescent="0.25">
      <c r="A271" s="1479"/>
      <c r="B271" s="1393"/>
      <c r="C271" s="1403"/>
      <c r="D271" s="28" t="s">
        <v>263</v>
      </c>
      <c r="E271" s="94"/>
      <c r="F271" s="80">
        <v>15</v>
      </c>
      <c r="G271" s="80"/>
      <c r="H271" s="80"/>
      <c r="I271" s="80">
        <v>18</v>
      </c>
      <c r="J271" s="94"/>
      <c r="K271" s="28"/>
      <c r="L271" s="21"/>
    </row>
    <row r="272" spans="1:12" hidden="1" x14ac:dyDescent="0.25">
      <c r="A272" s="1479"/>
      <c r="B272" s="1393"/>
      <c r="C272" s="1403"/>
      <c r="D272" s="28" t="s">
        <v>357</v>
      </c>
      <c r="E272" s="94"/>
      <c r="F272" s="97">
        <f>(F271/F269)*100</f>
        <v>13.043478260869565</v>
      </c>
      <c r="G272" s="94"/>
      <c r="H272" s="94"/>
      <c r="I272" s="97">
        <f>I271/I269*100</f>
        <v>19.35483870967742</v>
      </c>
      <c r="J272" s="94"/>
      <c r="K272" s="28"/>
      <c r="L272" s="21"/>
    </row>
    <row r="273" spans="1:12" ht="14.85" hidden="1" customHeight="1" x14ac:dyDescent="0.25">
      <c r="A273" s="1479"/>
      <c r="B273" s="1393"/>
      <c r="C273" s="1403" t="s">
        <v>409</v>
      </c>
      <c r="D273" s="144" t="s">
        <v>251</v>
      </c>
      <c r="E273" s="94"/>
      <c r="F273" s="80">
        <v>175</v>
      </c>
      <c r="G273" s="80"/>
      <c r="H273" s="80"/>
      <c r="I273" s="80">
        <v>156</v>
      </c>
      <c r="J273" s="94"/>
      <c r="K273" s="28"/>
      <c r="L273" s="21"/>
    </row>
    <row r="274" spans="1:12" ht="14.85" hidden="1" customHeight="1" x14ac:dyDescent="0.25">
      <c r="A274" s="1479"/>
      <c r="B274" s="1393"/>
      <c r="C274" s="1403"/>
      <c r="D274" s="28" t="s">
        <v>257</v>
      </c>
      <c r="E274" s="94"/>
      <c r="F274" s="80">
        <v>140</v>
      </c>
      <c r="G274" s="80"/>
      <c r="H274" s="80"/>
      <c r="I274" s="80">
        <v>144</v>
      </c>
      <c r="J274" s="94"/>
      <c r="K274" s="28"/>
      <c r="L274" s="21"/>
    </row>
    <row r="275" spans="1:12" hidden="1" x14ac:dyDescent="0.25">
      <c r="A275" s="1479"/>
      <c r="B275" s="1393"/>
      <c r="C275" s="1403"/>
      <c r="D275" s="28" t="s">
        <v>263</v>
      </c>
      <c r="E275" s="94"/>
      <c r="F275" s="80">
        <v>30</v>
      </c>
      <c r="G275" s="80"/>
      <c r="H275" s="80"/>
      <c r="I275" s="80">
        <v>12</v>
      </c>
      <c r="J275" s="94"/>
      <c r="K275" s="28"/>
      <c r="L275" s="21"/>
    </row>
    <row r="276" spans="1:12" hidden="1" x14ac:dyDescent="0.25">
      <c r="A276" s="1479"/>
      <c r="B276" s="1393"/>
      <c r="C276" s="1403"/>
      <c r="D276" s="28" t="s">
        <v>357</v>
      </c>
      <c r="E276" s="94"/>
      <c r="F276" s="97">
        <f>(F275/F273)*100</f>
        <v>17.142857142857142</v>
      </c>
      <c r="G276" s="94"/>
      <c r="H276" s="94"/>
      <c r="I276" s="97">
        <f>I275/I273*100</f>
        <v>7.6923076923076925</v>
      </c>
      <c r="J276" s="94"/>
      <c r="K276" s="28"/>
      <c r="L276" s="21"/>
    </row>
    <row r="277" spans="1:12" ht="14.85" hidden="1" customHeight="1" x14ac:dyDescent="0.25">
      <c r="A277" s="1479"/>
      <c r="B277" s="1393"/>
      <c r="C277" s="1403" t="s">
        <v>410</v>
      </c>
      <c r="D277" s="144" t="s">
        <v>251</v>
      </c>
      <c r="E277" s="94"/>
      <c r="F277" s="80">
        <v>1830</v>
      </c>
      <c r="G277" s="80"/>
      <c r="H277" s="80"/>
      <c r="I277" s="80">
        <v>1887</v>
      </c>
      <c r="J277" s="94"/>
      <c r="K277" s="28"/>
      <c r="L277" s="21"/>
    </row>
    <row r="278" spans="1:12" hidden="1" x14ac:dyDescent="0.25">
      <c r="A278" s="1479"/>
      <c r="B278" s="1393"/>
      <c r="C278" s="1403"/>
      <c r="D278" s="28" t="s">
        <v>257</v>
      </c>
      <c r="E278" s="94"/>
      <c r="F278" s="80">
        <v>1710</v>
      </c>
      <c r="G278" s="80"/>
      <c r="H278" s="80"/>
      <c r="I278" s="80">
        <v>1746</v>
      </c>
      <c r="J278" s="94"/>
      <c r="K278" s="28"/>
      <c r="L278" s="21"/>
    </row>
    <row r="279" spans="1:12" hidden="1" x14ac:dyDescent="0.25">
      <c r="A279" s="1479"/>
      <c r="B279" s="1393"/>
      <c r="C279" s="1403"/>
      <c r="D279" s="28" t="s">
        <v>263</v>
      </c>
      <c r="E279" s="94"/>
      <c r="F279" s="80">
        <v>120</v>
      </c>
      <c r="G279" s="80"/>
      <c r="H279" s="80"/>
      <c r="I279" s="80">
        <v>141</v>
      </c>
      <c r="J279" s="94"/>
      <c r="K279" s="28"/>
      <c r="L279" s="21"/>
    </row>
    <row r="280" spans="1:12" hidden="1" x14ac:dyDescent="0.25">
      <c r="A280" s="1479"/>
      <c r="B280" s="1393"/>
      <c r="C280" s="1403"/>
      <c r="D280" s="28" t="s">
        <v>357</v>
      </c>
      <c r="E280" s="94"/>
      <c r="F280" s="97">
        <f>(F279/F277)*100</f>
        <v>6.557377049180328</v>
      </c>
      <c r="G280" s="94"/>
      <c r="H280" s="94"/>
      <c r="I280" s="97">
        <f>I279/I277*100</f>
        <v>7.4721780604133547</v>
      </c>
      <c r="J280" s="94"/>
      <c r="K280" s="28"/>
      <c r="L280" s="21"/>
    </row>
    <row r="281" spans="1:12" hidden="1" x14ac:dyDescent="0.25">
      <c r="A281" s="1479"/>
      <c r="B281" s="1393"/>
      <c r="C281" s="1403" t="s">
        <v>411</v>
      </c>
      <c r="D281" s="144" t="s">
        <v>251</v>
      </c>
      <c r="E281" s="94"/>
      <c r="F281" s="80">
        <v>2460</v>
      </c>
      <c r="G281" s="80"/>
      <c r="H281" s="80"/>
      <c r="I281" s="80">
        <v>2778</v>
      </c>
      <c r="J281" s="94"/>
      <c r="K281" s="28"/>
      <c r="L281" s="21"/>
    </row>
    <row r="282" spans="1:12" hidden="1" x14ac:dyDescent="0.25">
      <c r="A282" s="1479"/>
      <c r="B282" s="1393"/>
      <c r="C282" s="1403"/>
      <c r="D282" s="28" t="s">
        <v>257</v>
      </c>
      <c r="E282" s="94"/>
      <c r="F282" s="80">
        <v>185</v>
      </c>
      <c r="G282" s="80"/>
      <c r="H282" s="80"/>
      <c r="I282" s="80">
        <v>108</v>
      </c>
      <c r="J282" s="94"/>
      <c r="K282" s="28"/>
      <c r="L282" s="21"/>
    </row>
    <row r="283" spans="1:12" hidden="1" x14ac:dyDescent="0.25">
      <c r="A283" s="1479"/>
      <c r="B283" s="1393"/>
      <c r="C283" s="1403"/>
      <c r="D283" s="28" t="s">
        <v>263</v>
      </c>
      <c r="E283" s="94"/>
      <c r="F283" s="80">
        <v>2275</v>
      </c>
      <c r="G283" s="80"/>
      <c r="H283" s="80"/>
      <c r="I283" s="80">
        <v>2673</v>
      </c>
      <c r="J283" s="94"/>
      <c r="K283" s="28"/>
      <c r="L283" s="21"/>
    </row>
    <row r="284" spans="1:12" hidden="1" x14ac:dyDescent="0.25">
      <c r="A284" s="1479"/>
      <c r="B284" s="1393"/>
      <c r="C284" s="1403"/>
      <c r="D284" s="28" t="s">
        <v>357</v>
      </c>
      <c r="E284" s="94"/>
      <c r="F284" s="99">
        <f>(F283/F281)*100</f>
        <v>92.479674796747972</v>
      </c>
      <c r="G284" s="94"/>
      <c r="H284" s="94"/>
      <c r="I284" s="99">
        <f>I283/I281*100</f>
        <v>96.220302375809936</v>
      </c>
      <c r="J284" s="94"/>
      <c r="K284" s="28"/>
      <c r="L284" s="21"/>
    </row>
    <row r="285" spans="1:12" ht="14.85" hidden="1" customHeight="1" x14ac:dyDescent="0.25">
      <c r="A285" s="1479"/>
      <c r="B285" s="1393"/>
      <c r="C285" s="1403" t="s">
        <v>412</v>
      </c>
      <c r="D285" s="144" t="s">
        <v>251</v>
      </c>
      <c r="E285" s="94"/>
      <c r="F285" s="80">
        <v>2220</v>
      </c>
      <c r="G285" s="80"/>
      <c r="H285" s="80"/>
      <c r="I285" s="80">
        <v>2304</v>
      </c>
      <c r="J285" s="94"/>
      <c r="K285" s="28"/>
      <c r="L285" s="21"/>
    </row>
    <row r="286" spans="1:12" hidden="1" x14ac:dyDescent="0.25">
      <c r="A286" s="1479"/>
      <c r="B286" s="1393"/>
      <c r="C286" s="1403"/>
      <c r="D286" s="28" t="s">
        <v>257</v>
      </c>
      <c r="E286" s="94"/>
      <c r="F286" s="80">
        <v>390</v>
      </c>
      <c r="G286" s="80"/>
      <c r="H286" s="80"/>
      <c r="I286" s="80">
        <v>558</v>
      </c>
      <c r="J286" s="94"/>
      <c r="K286" s="28"/>
      <c r="L286" s="21"/>
    </row>
    <row r="287" spans="1:12" hidden="1" x14ac:dyDescent="0.25">
      <c r="A287" s="1479"/>
      <c r="B287" s="1393"/>
      <c r="C287" s="1403"/>
      <c r="D287" s="28" t="s">
        <v>263</v>
      </c>
      <c r="E287" s="94"/>
      <c r="F287" s="80">
        <v>1830</v>
      </c>
      <c r="G287" s="80"/>
      <c r="H287" s="80"/>
      <c r="I287" s="80">
        <v>1743</v>
      </c>
      <c r="J287" s="94"/>
      <c r="K287" s="28"/>
      <c r="L287" s="21"/>
    </row>
    <row r="288" spans="1:12" hidden="1" x14ac:dyDescent="0.25">
      <c r="A288" s="1479"/>
      <c r="B288" s="1393"/>
      <c r="C288" s="1403"/>
      <c r="D288" s="28" t="s">
        <v>357</v>
      </c>
      <c r="E288" s="94"/>
      <c r="F288" s="99">
        <f>(F287/F285)*100</f>
        <v>82.432432432432435</v>
      </c>
      <c r="G288" s="94"/>
      <c r="H288" s="94"/>
      <c r="I288" s="99">
        <f>I287/I285*100</f>
        <v>75.651041666666657</v>
      </c>
      <c r="J288" s="94"/>
      <c r="K288" s="28"/>
      <c r="L288" s="21"/>
    </row>
    <row r="289" spans="1:12" ht="14.85" hidden="1" customHeight="1" x14ac:dyDescent="0.25">
      <c r="A289" s="1479"/>
      <c r="B289" s="1393"/>
      <c r="C289" s="1403" t="s">
        <v>413</v>
      </c>
      <c r="D289" s="144" t="s">
        <v>251</v>
      </c>
      <c r="E289" s="94"/>
      <c r="F289" s="80">
        <v>505</v>
      </c>
      <c r="G289" s="80"/>
      <c r="H289" s="80"/>
      <c r="I289" s="80">
        <v>309</v>
      </c>
      <c r="J289" s="94"/>
      <c r="K289" s="28"/>
      <c r="L289" s="21"/>
    </row>
    <row r="290" spans="1:12" ht="14.85" hidden="1" customHeight="1" x14ac:dyDescent="0.25">
      <c r="A290" s="1479"/>
      <c r="B290" s="1393"/>
      <c r="C290" s="1403"/>
      <c r="D290" s="28" t="s">
        <v>257</v>
      </c>
      <c r="E290" s="94"/>
      <c r="F290" s="80">
        <v>180</v>
      </c>
      <c r="G290" s="80"/>
      <c r="H290" s="80"/>
      <c r="I290" s="80">
        <v>165</v>
      </c>
      <c r="J290" s="94"/>
      <c r="K290" s="28"/>
      <c r="L290" s="21"/>
    </row>
    <row r="291" spans="1:12" hidden="1" x14ac:dyDescent="0.25">
      <c r="A291" s="1479"/>
      <c r="B291" s="1393"/>
      <c r="C291" s="1403"/>
      <c r="D291" s="28" t="s">
        <v>263</v>
      </c>
      <c r="E291" s="94"/>
      <c r="F291" s="80">
        <v>325</v>
      </c>
      <c r="G291" s="80"/>
      <c r="H291" s="80"/>
      <c r="I291" s="80">
        <v>144</v>
      </c>
      <c r="J291" s="94"/>
      <c r="K291" s="28"/>
      <c r="L291" s="21"/>
    </row>
    <row r="292" spans="1:12" hidden="1" x14ac:dyDescent="0.25">
      <c r="A292" s="1479"/>
      <c r="B292" s="1393"/>
      <c r="C292" s="1403"/>
      <c r="D292" s="28" t="s">
        <v>357</v>
      </c>
      <c r="E292" s="94"/>
      <c r="F292" s="99">
        <f>(F291/F289)*100</f>
        <v>64.356435643564353</v>
      </c>
      <c r="G292" s="94"/>
      <c r="H292" s="94"/>
      <c r="I292" s="98">
        <f>I291/I289*100</f>
        <v>46.601941747572816</v>
      </c>
      <c r="J292" s="94"/>
      <c r="K292" s="28"/>
      <c r="L292" s="21"/>
    </row>
    <row r="293" spans="1:12" ht="14.85" hidden="1" customHeight="1" x14ac:dyDescent="0.25">
      <c r="A293" s="1479"/>
      <c r="B293" s="1393"/>
      <c r="C293" s="1403" t="s">
        <v>414</v>
      </c>
      <c r="D293" s="144" t="s">
        <v>251</v>
      </c>
      <c r="E293" s="94"/>
      <c r="F293" s="80">
        <v>380</v>
      </c>
      <c r="G293" s="80"/>
      <c r="H293" s="80"/>
      <c r="I293" s="80">
        <v>660</v>
      </c>
      <c r="J293" s="94"/>
      <c r="K293" s="28"/>
      <c r="L293" s="21"/>
    </row>
    <row r="294" spans="1:12" ht="14.85" hidden="1" customHeight="1" x14ac:dyDescent="0.25">
      <c r="A294" s="1479"/>
      <c r="B294" s="1393"/>
      <c r="C294" s="1403"/>
      <c r="D294" s="28" t="s">
        <v>257</v>
      </c>
      <c r="E294" s="94"/>
      <c r="F294" s="80">
        <v>240</v>
      </c>
      <c r="G294" s="80"/>
      <c r="H294" s="80"/>
      <c r="I294" s="80">
        <v>465</v>
      </c>
      <c r="J294" s="94"/>
      <c r="K294" s="28"/>
      <c r="L294" s="21"/>
    </row>
    <row r="295" spans="1:12" hidden="1" x14ac:dyDescent="0.25">
      <c r="A295" s="1479"/>
      <c r="B295" s="1393"/>
      <c r="C295" s="1403"/>
      <c r="D295" s="28" t="s">
        <v>263</v>
      </c>
      <c r="E295" s="94"/>
      <c r="F295" s="80">
        <v>140</v>
      </c>
      <c r="G295" s="80"/>
      <c r="H295" s="80"/>
      <c r="I295" s="80">
        <v>195</v>
      </c>
      <c r="J295" s="94"/>
      <c r="K295" s="28"/>
      <c r="L295" s="21"/>
    </row>
    <row r="296" spans="1:12" hidden="1" x14ac:dyDescent="0.25">
      <c r="A296" s="1479"/>
      <c r="B296" s="1393"/>
      <c r="C296" s="1403"/>
      <c r="D296" s="28" t="s">
        <v>357</v>
      </c>
      <c r="E296" s="94"/>
      <c r="F296" s="97">
        <f>(F295/F293)*100</f>
        <v>36.84210526315789</v>
      </c>
      <c r="G296" s="94"/>
      <c r="H296" s="94"/>
      <c r="I296" s="97">
        <f>I295/I293*100</f>
        <v>29.545454545454547</v>
      </c>
      <c r="J296" s="94"/>
      <c r="K296" s="28"/>
      <c r="L296" s="21"/>
    </row>
    <row r="297" spans="1:12" ht="14.85" hidden="1" customHeight="1" x14ac:dyDescent="0.25">
      <c r="A297" s="1479"/>
      <c r="B297" s="1393"/>
      <c r="C297" s="1403" t="s">
        <v>415</v>
      </c>
      <c r="D297" s="144" t="s">
        <v>251</v>
      </c>
      <c r="E297" s="94"/>
      <c r="F297" s="80">
        <v>155</v>
      </c>
      <c r="G297" s="80"/>
      <c r="H297" s="80"/>
      <c r="I297" s="80">
        <v>75</v>
      </c>
      <c r="J297" s="94"/>
      <c r="K297" s="28"/>
      <c r="L297" s="21"/>
    </row>
    <row r="298" spans="1:12" hidden="1" x14ac:dyDescent="0.25">
      <c r="A298" s="1479"/>
      <c r="B298" s="1393"/>
      <c r="C298" s="1403"/>
      <c r="D298" s="28" t="s">
        <v>257</v>
      </c>
      <c r="E298" s="94"/>
      <c r="F298" s="80">
        <v>80</v>
      </c>
      <c r="G298" s="80"/>
      <c r="H298" s="80"/>
      <c r="I298" s="80">
        <v>63</v>
      </c>
      <c r="J298" s="94"/>
      <c r="K298" s="28"/>
      <c r="L298" s="21"/>
    </row>
    <row r="299" spans="1:12" hidden="1" x14ac:dyDescent="0.25">
      <c r="A299" s="1479"/>
      <c r="B299" s="1393"/>
      <c r="C299" s="1403"/>
      <c r="D299" s="28" t="s">
        <v>263</v>
      </c>
      <c r="E299" s="94"/>
      <c r="F299" s="80">
        <v>75</v>
      </c>
      <c r="G299" s="80"/>
      <c r="H299" s="80"/>
      <c r="I299" s="80">
        <v>12</v>
      </c>
      <c r="J299" s="94"/>
      <c r="K299" s="28"/>
      <c r="L299" s="21"/>
    </row>
    <row r="300" spans="1:12" hidden="1" x14ac:dyDescent="0.25">
      <c r="A300" s="1479"/>
      <c r="B300" s="1393"/>
      <c r="C300" s="1403"/>
      <c r="D300" s="28" t="s">
        <v>357</v>
      </c>
      <c r="E300" s="94"/>
      <c r="F300" s="98">
        <f>(F299/F297)*100</f>
        <v>48.387096774193552</v>
      </c>
      <c r="G300" s="94"/>
      <c r="H300" s="94"/>
      <c r="I300" s="97">
        <f>I299/I297*100</f>
        <v>16</v>
      </c>
      <c r="J300" s="94"/>
      <c r="K300" s="28"/>
      <c r="L300" s="21"/>
    </row>
    <row r="301" spans="1:12" ht="14.85" hidden="1" customHeight="1" x14ac:dyDescent="0.25">
      <c r="A301" s="1479"/>
      <c r="B301" s="1393"/>
      <c r="C301" s="1403" t="s">
        <v>416</v>
      </c>
      <c r="D301" s="144" t="s">
        <v>251</v>
      </c>
      <c r="E301" s="94"/>
      <c r="F301" s="80">
        <v>145</v>
      </c>
      <c r="G301" s="80"/>
      <c r="H301" s="80"/>
      <c r="I301" s="80">
        <v>102</v>
      </c>
      <c r="J301" s="94"/>
      <c r="K301" s="28"/>
      <c r="L301" s="21"/>
    </row>
    <row r="302" spans="1:12" hidden="1" x14ac:dyDescent="0.25">
      <c r="A302" s="1479"/>
      <c r="B302" s="1393"/>
      <c r="C302" s="1403"/>
      <c r="D302" s="28" t="s">
        <v>257</v>
      </c>
      <c r="E302" s="94"/>
      <c r="F302" s="80">
        <v>135</v>
      </c>
      <c r="G302" s="80"/>
      <c r="H302" s="80"/>
      <c r="I302" s="80">
        <v>96</v>
      </c>
      <c r="J302" s="94"/>
      <c r="K302" s="28"/>
      <c r="L302" s="21"/>
    </row>
    <row r="303" spans="1:12" hidden="1" x14ac:dyDescent="0.25">
      <c r="A303" s="1479"/>
      <c r="B303" s="1393"/>
      <c r="C303" s="1403"/>
      <c r="D303" s="28" t="s">
        <v>263</v>
      </c>
      <c r="E303" s="94"/>
      <c r="F303" s="80">
        <v>10</v>
      </c>
      <c r="G303" s="80"/>
      <c r="H303" s="80"/>
      <c r="I303" s="80">
        <v>3</v>
      </c>
      <c r="J303" s="94"/>
      <c r="K303" s="28"/>
      <c r="L303" s="21"/>
    </row>
    <row r="304" spans="1:12" hidden="1" x14ac:dyDescent="0.25">
      <c r="A304" s="1479"/>
      <c r="B304" s="1393"/>
      <c r="C304" s="1403"/>
      <c r="D304" s="28" t="s">
        <v>357</v>
      </c>
      <c r="E304" s="94"/>
      <c r="F304" s="97">
        <f>(F303/F301)*100</f>
        <v>6.8965517241379306</v>
      </c>
      <c r="G304" s="94"/>
      <c r="H304" s="94"/>
      <c r="I304" s="97">
        <f>I303/I301*100</f>
        <v>2.9411764705882351</v>
      </c>
      <c r="J304" s="94"/>
      <c r="K304" s="28"/>
      <c r="L304" s="21"/>
    </row>
    <row r="305" spans="1:12" ht="14.85" hidden="1" customHeight="1" x14ac:dyDescent="0.25">
      <c r="A305" s="1479"/>
      <c r="B305" s="1393"/>
      <c r="C305" s="1403" t="s">
        <v>417</v>
      </c>
      <c r="D305" s="144" t="s">
        <v>251</v>
      </c>
      <c r="E305" s="94"/>
      <c r="F305" s="80">
        <v>230</v>
      </c>
      <c r="G305" s="80"/>
      <c r="H305" s="80"/>
      <c r="I305" s="80">
        <v>387</v>
      </c>
      <c r="J305" s="94"/>
      <c r="K305" s="28"/>
      <c r="L305" s="21"/>
    </row>
    <row r="306" spans="1:12" hidden="1" x14ac:dyDescent="0.25">
      <c r="A306" s="1479"/>
      <c r="B306" s="1393"/>
      <c r="C306" s="1403"/>
      <c r="D306" s="28" t="s">
        <v>257</v>
      </c>
      <c r="E306" s="94"/>
      <c r="F306" s="80">
        <v>100</v>
      </c>
      <c r="G306" s="80"/>
      <c r="H306" s="80"/>
      <c r="I306" s="80">
        <v>246</v>
      </c>
      <c r="J306" s="94"/>
      <c r="K306" s="28"/>
      <c r="L306" s="21"/>
    </row>
    <row r="307" spans="1:12" hidden="1" x14ac:dyDescent="0.25">
      <c r="A307" s="1479"/>
      <c r="B307" s="1393"/>
      <c r="C307" s="1403"/>
      <c r="D307" s="28" t="s">
        <v>263</v>
      </c>
      <c r="E307" s="94"/>
      <c r="F307" s="80">
        <v>130</v>
      </c>
      <c r="G307" s="80"/>
      <c r="H307" s="80"/>
      <c r="I307" s="80">
        <v>141</v>
      </c>
      <c r="J307" s="94"/>
      <c r="K307" s="28"/>
      <c r="L307" s="21"/>
    </row>
    <row r="308" spans="1:12" hidden="1" x14ac:dyDescent="0.25">
      <c r="A308" s="1479"/>
      <c r="B308" s="1393"/>
      <c r="C308" s="1403"/>
      <c r="D308" s="28" t="s">
        <v>357</v>
      </c>
      <c r="E308" s="94"/>
      <c r="F308" s="98">
        <f>(F307/F305)*100</f>
        <v>56.521739130434781</v>
      </c>
      <c r="G308" s="94"/>
      <c r="H308" s="94"/>
      <c r="I308" s="97">
        <f>I307/I305*100</f>
        <v>36.434108527131784</v>
      </c>
      <c r="J308" s="94"/>
      <c r="K308" s="28"/>
      <c r="L308" s="21"/>
    </row>
    <row r="309" spans="1:12" ht="14.85" hidden="1" customHeight="1" x14ac:dyDescent="0.25">
      <c r="A309" s="1479"/>
      <c r="B309" s="1393"/>
      <c r="C309" s="1403" t="s">
        <v>418</v>
      </c>
      <c r="D309" s="144" t="s">
        <v>251</v>
      </c>
      <c r="E309" s="94"/>
      <c r="F309" s="80">
        <v>370</v>
      </c>
      <c r="G309" s="80"/>
      <c r="H309" s="80"/>
      <c r="I309" s="80">
        <v>735</v>
      </c>
      <c r="J309" s="94"/>
      <c r="K309" s="28"/>
      <c r="L309" s="21"/>
    </row>
    <row r="310" spans="1:12" hidden="1" x14ac:dyDescent="0.25">
      <c r="A310" s="1479"/>
      <c r="B310" s="1393"/>
      <c r="C310" s="1403"/>
      <c r="D310" s="28" t="s">
        <v>263</v>
      </c>
      <c r="E310" s="94"/>
      <c r="F310" s="80">
        <v>280</v>
      </c>
      <c r="G310" s="80"/>
      <c r="H310" s="80"/>
      <c r="I310" s="80">
        <v>579</v>
      </c>
      <c r="J310" s="94"/>
      <c r="K310" s="28"/>
      <c r="L310" s="21"/>
    </row>
    <row r="311" spans="1:12" ht="14.85" hidden="1" customHeight="1" x14ac:dyDescent="0.25">
      <c r="A311" s="1479"/>
      <c r="B311" s="1393"/>
      <c r="C311" s="1403"/>
      <c r="D311" s="28" t="s">
        <v>257</v>
      </c>
      <c r="E311" s="94"/>
      <c r="F311" s="80">
        <v>90</v>
      </c>
      <c r="G311" s="80"/>
      <c r="H311" s="80"/>
      <c r="I311" s="80">
        <v>156</v>
      </c>
      <c r="J311" s="94"/>
      <c r="K311" s="28"/>
      <c r="L311" s="21"/>
    </row>
    <row r="312" spans="1:12" hidden="1" x14ac:dyDescent="0.25">
      <c r="A312" s="1479"/>
      <c r="B312" s="1393"/>
      <c r="C312" s="1403"/>
      <c r="D312" s="28" t="s">
        <v>357</v>
      </c>
      <c r="E312" s="94"/>
      <c r="F312" s="97">
        <f>(F311/F309)*100</f>
        <v>24.324324324324326</v>
      </c>
      <c r="G312" s="94"/>
      <c r="H312" s="94"/>
      <c r="I312" s="97">
        <f>I311/I309*100</f>
        <v>21.224489795918366</v>
      </c>
      <c r="J312" s="94"/>
      <c r="K312" s="28"/>
      <c r="L312" s="21"/>
    </row>
    <row r="313" spans="1:12" x14ac:dyDescent="0.25">
      <c r="A313" s="1479"/>
      <c r="B313" s="1393"/>
      <c r="C313" s="1110" t="s">
        <v>419</v>
      </c>
      <c r="D313" s="1110"/>
      <c r="E313" s="94"/>
      <c r="F313" s="100">
        <f>28/60*100</f>
        <v>46.666666666666664</v>
      </c>
      <c r="G313" s="92"/>
      <c r="H313" s="92"/>
      <c r="I313" s="101">
        <f>31/61*100</f>
        <v>50.819672131147541</v>
      </c>
      <c r="J313" s="94"/>
      <c r="K313" s="28"/>
      <c r="L313" s="21"/>
    </row>
    <row r="314" spans="1:12" x14ac:dyDescent="0.25">
      <c r="A314" s="1479"/>
      <c r="B314" s="1393"/>
      <c r="C314" s="1110" t="s">
        <v>420</v>
      </c>
      <c r="D314" s="1110"/>
      <c r="E314" s="94"/>
      <c r="F314" s="102">
        <f>17/60*100</f>
        <v>28.333333333333332</v>
      </c>
      <c r="G314" s="92"/>
      <c r="H314" s="92"/>
      <c r="I314" s="102">
        <f>15/61*100</f>
        <v>24.590163934426229</v>
      </c>
      <c r="J314" s="94"/>
      <c r="K314" s="28"/>
      <c r="L314" s="21"/>
    </row>
    <row r="315" spans="1:12" ht="16.5" thickBot="1" x14ac:dyDescent="0.3">
      <c r="A315" s="1481"/>
      <c r="B315" s="1394"/>
      <c r="C315" s="1351" t="s">
        <v>421</v>
      </c>
      <c r="D315" s="1351"/>
      <c r="E315" s="104"/>
      <c r="F315" s="105">
        <f>15/60*100</f>
        <v>25</v>
      </c>
      <c r="G315" s="106"/>
      <c r="H315" s="106"/>
      <c r="I315" s="105">
        <f>15/61*100</f>
        <v>24.590163934426229</v>
      </c>
      <c r="J315" s="104"/>
      <c r="K315" s="33"/>
      <c r="L315" s="22"/>
    </row>
    <row r="316" spans="1:12" ht="16.5" thickBot="1" x14ac:dyDescent="0.3">
      <c r="A316" s="151" t="s">
        <v>248</v>
      </c>
      <c r="B316" s="768" t="s">
        <v>249</v>
      </c>
      <c r="C316" s="1680"/>
      <c r="D316" s="1681"/>
      <c r="E316" s="112">
        <v>2005</v>
      </c>
      <c r="F316" s="112">
        <v>2010</v>
      </c>
      <c r="G316" s="112">
        <v>2015</v>
      </c>
      <c r="H316" s="112">
        <v>2020</v>
      </c>
      <c r="I316" s="112">
        <v>2021</v>
      </c>
      <c r="J316" s="112">
        <v>2022</v>
      </c>
      <c r="K316" s="112">
        <v>2023</v>
      </c>
      <c r="L316" s="112">
        <v>2024</v>
      </c>
    </row>
    <row r="317" spans="1:12" ht="15" customHeight="1" x14ac:dyDescent="0.25">
      <c r="A317" s="1413" t="s">
        <v>422</v>
      </c>
      <c r="B317" s="1271" t="s">
        <v>164</v>
      </c>
      <c r="C317" s="1520" t="s">
        <v>424</v>
      </c>
      <c r="D317" s="1520"/>
      <c r="E317" s="36"/>
      <c r="F317" s="37">
        <v>1067.7</v>
      </c>
      <c r="G317" s="37">
        <v>1221.95</v>
      </c>
      <c r="H317" s="37">
        <v>1352</v>
      </c>
      <c r="I317" s="37">
        <v>1388</v>
      </c>
      <c r="J317" s="37">
        <v>1412</v>
      </c>
      <c r="K317" s="37">
        <v>1595</v>
      </c>
      <c r="L317" s="209">
        <v>1604</v>
      </c>
    </row>
    <row r="318" spans="1:12" x14ac:dyDescent="0.25">
      <c r="A318" s="1413"/>
      <c r="B318" s="1272"/>
      <c r="C318" s="1331" t="s">
        <v>425</v>
      </c>
      <c r="D318" s="1331"/>
      <c r="E318" s="28"/>
      <c r="F318" s="29">
        <v>1364.97</v>
      </c>
      <c r="G318" s="29">
        <v>1522.83</v>
      </c>
      <c r="H318" s="29">
        <v>1661</v>
      </c>
      <c r="I318" s="29">
        <v>1706</v>
      </c>
      <c r="J318" s="29">
        <v>1732</v>
      </c>
      <c r="K318" s="29">
        <v>1944</v>
      </c>
      <c r="L318" s="30">
        <v>1949</v>
      </c>
    </row>
    <row r="319" spans="1:12" x14ac:dyDescent="0.25">
      <c r="A319" s="1413"/>
      <c r="B319" s="1272"/>
      <c r="C319" s="1331" t="s">
        <v>426</v>
      </c>
      <c r="D319" s="1331"/>
      <c r="E319" s="28"/>
      <c r="F319" s="29">
        <v>775.43</v>
      </c>
      <c r="G319" s="29">
        <v>946.83</v>
      </c>
      <c r="H319" s="29">
        <v>1096</v>
      </c>
      <c r="I319" s="29">
        <v>1134</v>
      </c>
      <c r="J319" s="29">
        <v>1161</v>
      </c>
      <c r="K319" s="29">
        <v>1322</v>
      </c>
      <c r="L319" s="30">
        <v>1337</v>
      </c>
    </row>
    <row r="320" spans="1:12" x14ac:dyDescent="0.25">
      <c r="A320" s="1413"/>
      <c r="B320" s="1272"/>
      <c r="C320" s="1333" t="s">
        <v>427</v>
      </c>
      <c r="D320" s="1333"/>
      <c r="E320" s="28"/>
      <c r="F320" s="157">
        <f t="shared" ref="F320:L320" si="15">+F319-F318</f>
        <v>-589.54000000000008</v>
      </c>
      <c r="G320" s="157">
        <f t="shared" si="15"/>
        <v>-575.99999999999989</v>
      </c>
      <c r="H320" s="157">
        <f t="shared" si="15"/>
        <v>-565</v>
      </c>
      <c r="I320" s="157">
        <f t="shared" si="15"/>
        <v>-572</v>
      </c>
      <c r="J320" s="157">
        <f t="shared" si="15"/>
        <v>-571</v>
      </c>
      <c r="K320" s="157">
        <f t="shared" si="15"/>
        <v>-622</v>
      </c>
      <c r="L320" s="160">
        <f t="shared" si="15"/>
        <v>-612</v>
      </c>
    </row>
    <row r="321" spans="1:12" ht="16.5" thickBot="1" x14ac:dyDescent="0.3">
      <c r="A321" s="1413"/>
      <c r="B321" s="1409"/>
      <c r="C321" s="1335" t="s">
        <v>428</v>
      </c>
      <c r="D321" s="1335"/>
      <c r="E321" s="33"/>
      <c r="F321" s="34">
        <f t="shared" ref="F321:L321" si="16">(F319-F318)/F318*100</f>
        <v>-43.190692835739988</v>
      </c>
      <c r="G321" s="34">
        <f t="shared" si="16"/>
        <v>-37.824313941805713</v>
      </c>
      <c r="H321" s="34">
        <f t="shared" si="16"/>
        <v>-34.015653220951236</v>
      </c>
      <c r="I321" s="34">
        <f t="shared" si="16"/>
        <v>-33.528722157092616</v>
      </c>
      <c r="J321" s="34">
        <f t="shared" si="16"/>
        <v>-32.967667436489606</v>
      </c>
      <c r="K321" s="34">
        <f t="shared" si="16"/>
        <v>-31.995884773662553</v>
      </c>
      <c r="L321" s="35">
        <f t="shared" si="16"/>
        <v>-31.400718317085683</v>
      </c>
    </row>
    <row r="322" spans="1:12" ht="15" customHeight="1" x14ac:dyDescent="0.25">
      <c r="A322" s="1413"/>
      <c r="B322" s="1408" t="s">
        <v>429</v>
      </c>
      <c r="C322" s="1147" t="s">
        <v>430</v>
      </c>
      <c r="D322" s="1147"/>
      <c r="E322" s="36"/>
      <c r="F322" s="36"/>
      <c r="G322" s="37">
        <v>39.94219131063138</v>
      </c>
      <c r="H322" s="37">
        <v>40.052832938604482</v>
      </c>
      <c r="I322" s="37">
        <v>43.056155507559396</v>
      </c>
      <c r="J322" s="37">
        <v>48.440610484406108</v>
      </c>
      <c r="K322" s="37">
        <v>47.352108880204824</v>
      </c>
      <c r="L322" s="20">
        <v>48.7</v>
      </c>
    </row>
    <row r="323" spans="1:12" x14ac:dyDescent="0.25">
      <c r="A323" s="1413"/>
      <c r="B323" s="1272"/>
      <c r="C323" s="1124" t="s">
        <v>431</v>
      </c>
      <c r="D323" s="1124"/>
      <c r="E323" s="28"/>
      <c r="F323" s="28"/>
      <c r="G323" s="29">
        <v>42.86589099816289</v>
      </c>
      <c r="H323" s="29">
        <v>43.989013310796537</v>
      </c>
      <c r="I323" s="29">
        <v>46.722600943890932</v>
      </c>
      <c r="J323" s="29">
        <v>52.342225113858163</v>
      </c>
      <c r="K323" s="29">
        <v>51.194647977062758</v>
      </c>
      <c r="L323" s="21">
        <v>52.5</v>
      </c>
    </row>
    <row r="324" spans="1:12" x14ac:dyDescent="0.25">
      <c r="A324" s="1413"/>
      <c r="B324" s="1272"/>
      <c r="C324" s="1124" t="s">
        <v>432</v>
      </c>
      <c r="D324" s="1124"/>
      <c r="E324" s="28"/>
      <c r="F324" s="28"/>
      <c r="G324" s="29">
        <v>37.621516526247568</v>
      </c>
      <c r="H324" s="29">
        <v>37.069655724579661</v>
      </c>
      <c r="I324" s="29">
        <v>40.488431876606683</v>
      </c>
      <c r="J324" s="29">
        <v>45.752073526115225</v>
      </c>
      <c r="K324" s="29">
        <v>44.535263895375991</v>
      </c>
      <c r="L324" s="21">
        <v>45.9</v>
      </c>
    </row>
    <row r="325" spans="1:12" ht="16.5" thickBot="1" x14ac:dyDescent="0.3">
      <c r="A325" s="1413"/>
      <c r="B325" s="1409"/>
      <c r="C325" s="1225" t="s">
        <v>354</v>
      </c>
      <c r="D325" s="1225"/>
      <c r="E325" s="33"/>
      <c r="F325" s="33"/>
      <c r="G325" s="34">
        <f t="shared" ref="G325:L325" si="17">+G324-G323</f>
        <v>-5.2443744719153216</v>
      </c>
      <c r="H325" s="34">
        <f t="shared" si="17"/>
        <v>-6.9193575862168757</v>
      </c>
      <c r="I325" s="34">
        <f t="shared" si="17"/>
        <v>-6.2341690672842489</v>
      </c>
      <c r="J325" s="34">
        <f t="shared" si="17"/>
        <v>-6.5901515877429375</v>
      </c>
      <c r="K325" s="34">
        <f t="shared" si="17"/>
        <v>-6.6593840816867669</v>
      </c>
      <c r="L325" s="35">
        <f t="shared" si="17"/>
        <v>-6.6000000000000014</v>
      </c>
    </row>
    <row r="326" spans="1:12" x14ac:dyDescent="0.25">
      <c r="A326" s="1413"/>
      <c r="B326" s="1408" t="s">
        <v>545</v>
      </c>
      <c r="C326" s="1317" t="s">
        <v>434</v>
      </c>
      <c r="D326" s="146" t="s">
        <v>435</v>
      </c>
      <c r="E326" s="40"/>
      <c r="F326" s="40"/>
      <c r="G326" s="40"/>
      <c r="H326" s="40"/>
      <c r="I326" s="40">
        <v>64</v>
      </c>
      <c r="J326" s="40">
        <v>46</v>
      </c>
      <c r="K326" s="40">
        <v>30</v>
      </c>
      <c r="L326" s="1061">
        <v>24</v>
      </c>
    </row>
    <row r="327" spans="1:12" x14ac:dyDescent="0.25">
      <c r="A327" s="1413"/>
      <c r="B327" s="1272"/>
      <c r="C327" s="1309"/>
      <c r="D327" s="147" t="s">
        <v>436</v>
      </c>
      <c r="E327" s="28"/>
      <c r="F327" s="28"/>
      <c r="G327" s="28"/>
      <c r="H327" s="28"/>
      <c r="I327" s="28">
        <v>22</v>
      </c>
      <c r="J327" s="28">
        <v>17</v>
      </c>
      <c r="K327" s="28">
        <v>10</v>
      </c>
      <c r="L327" s="1061">
        <v>9</v>
      </c>
    </row>
    <row r="328" spans="1:12" x14ac:dyDescent="0.25">
      <c r="A328" s="1413"/>
      <c r="B328" s="1272"/>
      <c r="C328" s="1309"/>
      <c r="D328" s="28" t="s">
        <v>437</v>
      </c>
      <c r="E328" s="28"/>
      <c r="F328" s="28"/>
      <c r="G328" s="28"/>
      <c r="H328" s="28"/>
      <c r="I328" s="28">
        <v>42</v>
      </c>
      <c r="J328" s="28">
        <v>29</v>
      </c>
      <c r="K328" s="28">
        <v>20</v>
      </c>
      <c r="L328" s="1061">
        <v>15</v>
      </c>
    </row>
    <row r="329" spans="1:12" x14ac:dyDescent="0.25">
      <c r="A329" s="1413"/>
      <c r="B329" s="1272"/>
      <c r="C329" s="1309"/>
      <c r="D329" s="148" t="s">
        <v>353</v>
      </c>
      <c r="E329" s="28"/>
      <c r="F329" s="28"/>
      <c r="G329" s="28"/>
      <c r="H329" s="28"/>
      <c r="I329" s="363">
        <f>I328-I327</f>
        <v>20</v>
      </c>
      <c r="J329" s="363">
        <f>J328-J327</f>
        <v>12</v>
      </c>
      <c r="K329" s="363">
        <f>K328-K327</f>
        <v>10</v>
      </c>
      <c r="L329" s="363">
        <f>L328-L327</f>
        <v>6</v>
      </c>
    </row>
    <row r="330" spans="1:12" x14ac:dyDescent="0.25">
      <c r="A330" s="1413"/>
      <c r="B330" s="1272"/>
      <c r="C330" s="1309"/>
      <c r="D330" s="148" t="s">
        <v>270</v>
      </c>
      <c r="E330" s="28"/>
      <c r="F330" s="28"/>
      <c r="G330" s="28"/>
      <c r="H330" s="28"/>
      <c r="I330" s="364">
        <f>I328/I326*100</f>
        <v>65.625</v>
      </c>
      <c r="J330" s="364">
        <f>J328/J326*100</f>
        <v>63.04347826086957</v>
      </c>
      <c r="K330" s="364">
        <f>K328/K326*100</f>
        <v>66.666666666666657</v>
      </c>
      <c r="L330" s="364">
        <f>L328/L326*100</f>
        <v>62.5</v>
      </c>
    </row>
    <row r="331" spans="1:12" x14ac:dyDescent="0.25">
      <c r="A331" s="1413"/>
      <c r="B331" s="1272"/>
      <c r="C331" s="1309" t="s">
        <v>438</v>
      </c>
      <c r="D331" s="149" t="s">
        <v>435</v>
      </c>
      <c r="E331" s="44"/>
      <c r="F331" s="44"/>
      <c r="G331" s="44"/>
      <c r="H331" s="44"/>
      <c r="I331" s="44">
        <v>231</v>
      </c>
      <c r="J331" s="44">
        <v>90</v>
      </c>
      <c r="K331" s="44">
        <v>41</v>
      </c>
      <c r="L331" s="1062">
        <v>63</v>
      </c>
    </row>
    <row r="332" spans="1:12" x14ac:dyDescent="0.25">
      <c r="A332" s="1413"/>
      <c r="B332" s="1272"/>
      <c r="C332" s="1309"/>
      <c r="D332" s="147" t="s">
        <v>436</v>
      </c>
      <c r="E332" s="28"/>
      <c r="F332" s="28"/>
      <c r="G332" s="28"/>
      <c r="H332" s="28"/>
      <c r="I332" s="28">
        <v>94</v>
      </c>
      <c r="J332" s="28">
        <v>34</v>
      </c>
      <c r="K332" s="28">
        <v>16</v>
      </c>
      <c r="L332" s="1062">
        <v>31</v>
      </c>
    </row>
    <row r="333" spans="1:12" x14ac:dyDescent="0.25">
      <c r="A333" s="1413"/>
      <c r="B333" s="1272"/>
      <c r="C333" s="1309"/>
      <c r="D333" s="28" t="s">
        <v>437</v>
      </c>
      <c r="E333" s="28"/>
      <c r="F333" s="28"/>
      <c r="G333" s="28"/>
      <c r="H333" s="28"/>
      <c r="I333" s="28">
        <v>137</v>
      </c>
      <c r="J333" s="28">
        <v>56</v>
      </c>
      <c r="K333" s="28">
        <v>25</v>
      </c>
      <c r="L333" s="1062">
        <v>32</v>
      </c>
    </row>
    <row r="334" spans="1:12" x14ac:dyDescent="0.25">
      <c r="A334" s="1413"/>
      <c r="B334" s="1272"/>
      <c r="C334" s="1309"/>
      <c r="D334" s="148" t="s">
        <v>353</v>
      </c>
      <c r="E334" s="28"/>
      <c r="F334" s="28"/>
      <c r="G334" s="28"/>
      <c r="H334" s="28"/>
      <c r="I334" s="363">
        <f>I333-I332</f>
        <v>43</v>
      </c>
      <c r="J334" s="363">
        <f>J333-J332</f>
        <v>22</v>
      </c>
      <c r="K334" s="363">
        <f>K333-K332</f>
        <v>9</v>
      </c>
      <c r="L334" s="363">
        <f>L333-L332</f>
        <v>1</v>
      </c>
    </row>
    <row r="335" spans="1:12" ht="16.5" thickBot="1" x14ac:dyDescent="0.3">
      <c r="A335" s="1413"/>
      <c r="B335" s="1409"/>
      <c r="C335" s="1416"/>
      <c r="D335" s="217" t="s">
        <v>270</v>
      </c>
      <c r="E335" s="33"/>
      <c r="F335" s="33"/>
      <c r="G335" s="33"/>
      <c r="H335" s="33"/>
      <c r="I335" s="161">
        <f>I333/I331*100</f>
        <v>59.307359307359306</v>
      </c>
      <c r="J335" s="161">
        <f>J333/J331*100</f>
        <v>62.222222222222221</v>
      </c>
      <c r="K335" s="161">
        <f>K333/K331*100</f>
        <v>60.975609756097562</v>
      </c>
      <c r="L335" s="161">
        <f>L333/L331*100</f>
        <v>50.793650793650791</v>
      </c>
    </row>
    <row r="336" spans="1:12" s="64" customFormat="1" ht="15" customHeight="1" x14ac:dyDescent="0.25">
      <c r="A336" s="1413"/>
      <c r="B336" s="1408" t="s">
        <v>180</v>
      </c>
      <c r="C336" s="1147" t="s">
        <v>435</v>
      </c>
      <c r="D336" s="1147"/>
      <c r="E336" s="40"/>
      <c r="F336" s="40"/>
      <c r="G336" s="40"/>
      <c r="H336" s="195">
        <v>23982</v>
      </c>
      <c r="I336" s="195">
        <v>23277</v>
      </c>
      <c r="J336" s="195">
        <v>24705</v>
      </c>
      <c r="K336" s="195">
        <v>25423</v>
      </c>
      <c r="L336" s="325"/>
    </row>
    <row r="337" spans="1:14" x14ac:dyDescent="0.25">
      <c r="A337" s="1413"/>
      <c r="B337" s="1272"/>
      <c r="C337" s="1124" t="s">
        <v>436</v>
      </c>
      <c r="D337" s="1124"/>
      <c r="E337" s="28"/>
      <c r="F337" s="28"/>
      <c r="G337" s="28"/>
      <c r="H337" s="96">
        <v>9074</v>
      </c>
      <c r="I337" s="96">
        <v>8715</v>
      </c>
      <c r="J337" s="96">
        <v>9299</v>
      </c>
      <c r="K337" s="96">
        <v>9498</v>
      </c>
      <c r="L337" s="21"/>
    </row>
    <row r="338" spans="1:14" x14ac:dyDescent="0.25">
      <c r="A338" s="1413"/>
      <c r="B338" s="1272"/>
      <c r="C338" s="1124" t="s">
        <v>437</v>
      </c>
      <c r="D338" s="1124"/>
      <c r="E338" s="28"/>
      <c r="F338" s="28"/>
      <c r="G338" s="28"/>
      <c r="H338" s="96">
        <v>14908</v>
      </c>
      <c r="I338" s="96">
        <v>14562</v>
      </c>
      <c r="J338" s="96">
        <v>15406</v>
      </c>
      <c r="K338" s="96">
        <v>15925</v>
      </c>
      <c r="L338" s="21"/>
    </row>
    <row r="339" spans="1:14" x14ac:dyDescent="0.25">
      <c r="A339" s="1413"/>
      <c r="B339" s="1272"/>
      <c r="C339" s="1112" t="s">
        <v>353</v>
      </c>
      <c r="D339" s="1112"/>
      <c r="E339" s="28"/>
      <c r="F339" s="28"/>
      <c r="G339" s="28"/>
      <c r="H339" s="157">
        <f>H338-H337</f>
        <v>5834</v>
      </c>
      <c r="I339" s="157">
        <f>I338-I337</f>
        <v>5847</v>
      </c>
      <c r="J339" s="157">
        <f>J338-J337</f>
        <v>6107</v>
      </c>
      <c r="K339" s="157">
        <f>K338-K337</f>
        <v>6427</v>
      </c>
      <c r="L339" s="21"/>
    </row>
    <row r="340" spans="1:14" ht="16.5" thickBot="1" x14ac:dyDescent="0.3">
      <c r="A340" s="1413"/>
      <c r="B340" s="1273"/>
      <c r="C340" s="1178" t="s">
        <v>270</v>
      </c>
      <c r="D340" s="1178"/>
      <c r="E340" s="110"/>
      <c r="F340" s="110"/>
      <c r="G340" s="110"/>
      <c r="H340" s="378">
        <f>H338/H336*100</f>
        <v>62.163289133516805</v>
      </c>
      <c r="I340" s="378">
        <f>I338/I336*100</f>
        <v>62.559608196932594</v>
      </c>
      <c r="J340" s="378">
        <f>J338/J336*100</f>
        <v>62.359846184982793</v>
      </c>
      <c r="K340" s="378">
        <f>K338/K336*100</f>
        <v>62.640129017031818</v>
      </c>
      <c r="L340" s="53"/>
    </row>
    <row r="341" spans="1:14" ht="16.5" thickBot="1" x14ac:dyDescent="0.3">
      <c r="A341" s="727" t="s">
        <v>248</v>
      </c>
      <c r="B341" s="762" t="s">
        <v>249</v>
      </c>
      <c r="C341" s="1433"/>
      <c r="D341" s="1433"/>
      <c r="E341" s="616">
        <v>2005</v>
      </c>
      <c r="F341" s="616">
        <v>2010</v>
      </c>
      <c r="G341" s="616">
        <v>2015</v>
      </c>
      <c r="H341" s="616">
        <v>2020</v>
      </c>
      <c r="I341" s="616">
        <v>2021</v>
      </c>
      <c r="J341" s="616">
        <v>2022</v>
      </c>
      <c r="K341" s="616">
        <v>2023</v>
      </c>
      <c r="L341" s="729">
        <v>2024</v>
      </c>
    </row>
    <row r="342" spans="1:14" x14ac:dyDescent="0.25">
      <c r="A342" s="1695" t="s">
        <v>439</v>
      </c>
      <c r="B342" s="1612" t="s">
        <v>440</v>
      </c>
      <c r="C342" s="1498" t="s">
        <v>251</v>
      </c>
      <c r="D342" s="1498"/>
      <c r="E342" s="585">
        <v>81.8</v>
      </c>
      <c r="F342" s="586">
        <v>83.9</v>
      </c>
      <c r="G342" s="586">
        <v>84.7</v>
      </c>
      <c r="H342" s="586">
        <v>82.7</v>
      </c>
      <c r="I342" s="586">
        <v>85.9</v>
      </c>
      <c r="J342" s="587">
        <v>85.744779231815585</v>
      </c>
      <c r="K342" s="453">
        <v>86.1</v>
      </c>
      <c r="L342" s="108"/>
      <c r="M342" s="326"/>
      <c r="N342" s="326"/>
    </row>
    <row r="343" spans="1:14" x14ac:dyDescent="0.25">
      <c r="A343" s="1696"/>
      <c r="B343" s="1613"/>
      <c r="C343" s="1452" t="s">
        <v>257</v>
      </c>
      <c r="D343" s="1452"/>
      <c r="E343" s="580">
        <v>78.2</v>
      </c>
      <c r="F343" s="581">
        <v>81.400000000000006</v>
      </c>
      <c r="G343" s="581">
        <v>82.7</v>
      </c>
      <c r="H343" s="581">
        <v>79.900000000000006</v>
      </c>
      <c r="I343" s="581">
        <v>83.4</v>
      </c>
      <c r="J343" s="582">
        <v>83.25796330135465</v>
      </c>
      <c r="K343" s="403">
        <v>83.9</v>
      </c>
      <c r="L343" s="21"/>
    </row>
    <row r="344" spans="1:14" x14ac:dyDescent="0.25">
      <c r="A344" s="1696"/>
      <c r="B344" s="1613"/>
      <c r="C344" s="1452" t="s">
        <v>263</v>
      </c>
      <c r="D344" s="1452"/>
      <c r="E344" s="580">
        <v>85.1</v>
      </c>
      <c r="F344" s="581">
        <v>86.1</v>
      </c>
      <c r="G344" s="581">
        <v>86.4</v>
      </c>
      <c r="H344" s="581">
        <v>85.3</v>
      </c>
      <c r="I344" s="581">
        <v>88</v>
      </c>
      <c r="J344" s="582">
        <v>87.882659301089632</v>
      </c>
      <c r="K344" s="403">
        <v>87.8</v>
      </c>
      <c r="L344" s="21"/>
    </row>
    <row r="345" spans="1:14" ht="16.5" thickBot="1" x14ac:dyDescent="0.3">
      <c r="A345" s="1696"/>
      <c r="B345" s="1614"/>
      <c r="C345" s="1454" t="s">
        <v>441</v>
      </c>
      <c r="D345" s="1454"/>
      <c r="E345" s="588">
        <f t="shared" ref="E345:K345" si="18">+E344-E343</f>
        <v>6.8999999999999915</v>
      </c>
      <c r="F345" s="588">
        <f t="shared" si="18"/>
        <v>4.6999999999999886</v>
      </c>
      <c r="G345" s="588">
        <f t="shared" si="18"/>
        <v>3.7000000000000028</v>
      </c>
      <c r="H345" s="588">
        <f t="shared" si="18"/>
        <v>5.3999999999999915</v>
      </c>
      <c r="I345" s="588">
        <f t="shared" si="18"/>
        <v>4.5999999999999943</v>
      </c>
      <c r="J345" s="589">
        <f t="shared" si="18"/>
        <v>4.6246959997349819</v>
      </c>
      <c r="K345" s="589">
        <f t="shared" si="18"/>
        <v>3.8999999999999915</v>
      </c>
      <c r="L345" s="22"/>
    </row>
    <row r="346" spans="1:14" x14ac:dyDescent="0.25">
      <c r="A346" s="1696"/>
      <c r="B346" s="1612" t="s">
        <v>192</v>
      </c>
      <c r="C346" s="1498" t="s">
        <v>251</v>
      </c>
      <c r="D346" s="1498"/>
      <c r="E346" s="585"/>
      <c r="F346" s="590"/>
      <c r="G346" s="591">
        <v>10836</v>
      </c>
      <c r="H346" s="591">
        <v>12614</v>
      </c>
      <c r="I346" s="591">
        <v>12836</v>
      </c>
      <c r="J346" s="547">
        <v>13158</v>
      </c>
      <c r="K346" s="225">
        <v>13612</v>
      </c>
      <c r="L346" s="20"/>
    </row>
    <row r="347" spans="1:14" x14ac:dyDescent="0.25">
      <c r="A347" s="1696"/>
      <c r="B347" s="1613"/>
      <c r="C347" s="1452" t="s">
        <v>257</v>
      </c>
      <c r="D347" s="1452"/>
      <c r="E347" s="580"/>
      <c r="F347" s="583"/>
      <c r="G347" s="584">
        <v>5191</v>
      </c>
      <c r="H347" s="584">
        <v>6064</v>
      </c>
      <c r="I347" s="584">
        <v>6149</v>
      </c>
      <c r="J347" s="404">
        <v>6338</v>
      </c>
      <c r="K347" s="96">
        <v>6425</v>
      </c>
      <c r="L347" s="21"/>
    </row>
    <row r="348" spans="1:14" x14ac:dyDescent="0.25">
      <c r="A348" s="1696"/>
      <c r="B348" s="1613"/>
      <c r="C348" s="1452" t="s">
        <v>263</v>
      </c>
      <c r="D348" s="1452"/>
      <c r="E348" s="580"/>
      <c r="F348" s="583"/>
      <c r="G348" s="584">
        <v>5645</v>
      </c>
      <c r="H348" s="584">
        <v>6550</v>
      </c>
      <c r="I348" s="584">
        <v>6687</v>
      </c>
      <c r="J348" s="404">
        <v>6820</v>
      </c>
      <c r="K348" s="96">
        <v>7187</v>
      </c>
      <c r="L348" s="21"/>
    </row>
    <row r="349" spans="1:14" ht="16.5" thickBot="1" x14ac:dyDescent="0.3">
      <c r="A349" s="1696"/>
      <c r="B349" s="1687"/>
      <c r="C349" s="1494" t="s">
        <v>270</v>
      </c>
      <c r="D349" s="1494"/>
      <c r="E349" s="592"/>
      <c r="F349" s="592"/>
      <c r="G349" s="525">
        <f>G348/G346*100</f>
        <v>52.094868955334071</v>
      </c>
      <c r="H349" s="525">
        <f>H348/H346*100</f>
        <v>51.926430949738389</v>
      </c>
      <c r="I349" s="525">
        <f>I348/I346*100</f>
        <v>52.0956684325335</v>
      </c>
      <c r="J349" s="525">
        <f>J348/J346*100</f>
        <v>51.831585347317223</v>
      </c>
      <c r="K349" s="525">
        <f>K348/K346*100</f>
        <v>52.799000881575076</v>
      </c>
      <c r="L349" s="53"/>
    </row>
    <row r="350" spans="1:14" ht="16.5" thickBot="1" x14ac:dyDescent="0.3">
      <c r="A350" s="338" t="s">
        <v>248</v>
      </c>
      <c r="B350" s="463" t="s">
        <v>249</v>
      </c>
      <c r="C350" s="1509"/>
      <c r="D350" s="1509"/>
      <c r="E350" s="616" t="s">
        <v>442</v>
      </c>
      <c r="F350" s="616" t="s">
        <v>443</v>
      </c>
      <c r="G350" s="616" t="s">
        <v>444</v>
      </c>
      <c r="H350" s="616" t="s">
        <v>445</v>
      </c>
      <c r="I350" s="616" t="s">
        <v>446</v>
      </c>
      <c r="J350" s="616" t="s">
        <v>447</v>
      </c>
      <c r="K350" s="616" t="s">
        <v>448</v>
      </c>
      <c r="L350" s="729">
        <v>2024</v>
      </c>
    </row>
    <row r="351" spans="1:14" ht="15" customHeight="1" x14ac:dyDescent="0.25">
      <c r="A351" s="1700" t="s">
        <v>450</v>
      </c>
      <c r="B351" s="1688" t="s">
        <v>199</v>
      </c>
      <c r="C351" s="1689" t="s">
        <v>451</v>
      </c>
      <c r="D351" s="430" t="s">
        <v>435</v>
      </c>
      <c r="E351" s="195"/>
      <c r="F351" s="195">
        <v>18861</v>
      </c>
      <c r="G351" s="195">
        <v>20569</v>
      </c>
      <c r="H351" s="195">
        <v>18495</v>
      </c>
      <c r="I351" s="195">
        <v>17473</v>
      </c>
      <c r="J351" s="195">
        <v>16606</v>
      </c>
      <c r="K351" s="195">
        <v>16184</v>
      </c>
      <c r="L351" s="20"/>
    </row>
    <row r="352" spans="1:14" x14ac:dyDescent="0.25">
      <c r="A352" s="1701"/>
      <c r="B352" s="1403"/>
      <c r="C352" s="1676"/>
      <c r="D352" s="428" t="s">
        <v>436</v>
      </c>
      <c r="E352" s="96"/>
      <c r="F352" s="96">
        <v>9669</v>
      </c>
      <c r="G352" s="96">
        <v>10625</v>
      </c>
      <c r="H352" s="96">
        <v>9449</v>
      </c>
      <c r="I352" s="96">
        <v>9010</v>
      </c>
      <c r="J352" s="96">
        <v>8587</v>
      </c>
      <c r="K352" s="96">
        <v>8367</v>
      </c>
      <c r="L352" s="21"/>
    </row>
    <row r="353" spans="1:12" x14ac:dyDescent="0.25">
      <c r="A353" s="1701"/>
      <c r="B353" s="1403"/>
      <c r="C353" s="1676"/>
      <c r="D353" s="428" t="s">
        <v>437</v>
      </c>
      <c r="E353" s="96"/>
      <c r="F353" s="96">
        <v>9192</v>
      </c>
      <c r="G353" s="96">
        <v>9944</v>
      </c>
      <c r="H353" s="96">
        <v>9046</v>
      </c>
      <c r="I353" s="96">
        <v>8463</v>
      </c>
      <c r="J353" s="96">
        <v>8019</v>
      </c>
      <c r="K353" s="96">
        <v>7817</v>
      </c>
      <c r="L353" s="21"/>
    </row>
    <row r="354" spans="1:12" ht="15" customHeight="1" x14ac:dyDescent="0.25">
      <c r="A354" s="1701"/>
      <c r="B354" s="1403"/>
      <c r="C354" s="1676" t="s">
        <v>452</v>
      </c>
      <c r="D354" s="427" t="s">
        <v>435</v>
      </c>
      <c r="E354" s="96"/>
      <c r="F354" s="157">
        <v>11369</v>
      </c>
      <c r="G354" s="157">
        <v>13359</v>
      </c>
      <c r="H354" s="157">
        <v>12274</v>
      </c>
      <c r="I354" s="157">
        <v>11963</v>
      </c>
      <c r="J354" s="157">
        <v>11500</v>
      </c>
      <c r="K354" s="157">
        <v>11314</v>
      </c>
      <c r="L354" s="21"/>
    </row>
    <row r="355" spans="1:12" x14ac:dyDescent="0.25">
      <c r="A355" s="1701"/>
      <c r="B355" s="1403"/>
      <c r="C355" s="1676"/>
      <c r="D355" s="428" t="s">
        <v>436</v>
      </c>
      <c r="E355" s="96"/>
      <c r="F355" s="96">
        <v>5900</v>
      </c>
      <c r="G355" s="96">
        <v>6891</v>
      </c>
      <c r="H355" s="96">
        <v>6236</v>
      </c>
      <c r="I355" s="96">
        <v>6157</v>
      </c>
      <c r="J355" s="96">
        <v>5963</v>
      </c>
      <c r="K355" s="96">
        <v>5845</v>
      </c>
      <c r="L355" s="21"/>
    </row>
    <row r="356" spans="1:12" x14ac:dyDescent="0.25">
      <c r="A356" s="1701"/>
      <c r="B356" s="1403"/>
      <c r="C356" s="1676"/>
      <c r="D356" s="428" t="s">
        <v>437</v>
      </c>
      <c r="E356" s="96"/>
      <c r="F356" s="96">
        <v>5469</v>
      </c>
      <c r="G356" s="96">
        <v>6468</v>
      </c>
      <c r="H356" s="96">
        <v>6038</v>
      </c>
      <c r="I356" s="96">
        <v>5806</v>
      </c>
      <c r="J356" s="96">
        <v>5537</v>
      </c>
      <c r="K356" s="96">
        <v>5469</v>
      </c>
      <c r="L356" s="21"/>
    </row>
    <row r="357" spans="1:12" x14ac:dyDescent="0.25">
      <c r="A357" s="1701"/>
      <c r="B357" s="1403"/>
      <c r="C357" s="1610" t="s">
        <v>453</v>
      </c>
      <c r="D357" s="1610"/>
      <c r="E357" s="96"/>
      <c r="F357" s="31">
        <f>+(F354/F351)*100</f>
        <v>60.277821960659558</v>
      </c>
      <c r="G357" s="31">
        <f t="shared" ref="G357:J357" si="19">+(G354/G351)*100</f>
        <v>64.947250717098541</v>
      </c>
      <c r="H357" s="31">
        <f t="shared" si="19"/>
        <v>66.363882130305484</v>
      </c>
      <c r="I357" s="31">
        <f t="shared" si="19"/>
        <v>68.465632690436678</v>
      </c>
      <c r="J357" s="31">
        <f t="shared" si="19"/>
        <v>69.252077562326875</v>
      </c>
      <c r="K357" s="31">
        <f>+(K354/K351)*100</f>
        <v>69.908551655956501</v>
      </c>
      <c r="L357" s="21"/>
    </row>
    <row r="358" spans="1:12" x14ac:dyDescent="0.25">
      <c r="A358" s="1701"/>
      <c r="B358" s="1403"/>
      <c r="C358" s="1236" t="s">
        <v>454</v>
      </c>
      <c r="D358" s="1236"/>
      <c r="E358" s="28"/>
      <c r="F358" s="187">
        <f t="shared" ref="F358:J359" si="20">F355/F352*100</f>
        <v>61.019753852518356</v>
      </c>
      <c r="G358" s="187">
        <f t="shared" si="20"/>
        <v>64.856470588235297</v>
      </c>
      <c r="H358" s="187">
        <f t="shared" si="20"/>
        <v>65.996401735633398</v>
      </c>
      <c r="I358" s="187">
        <f t="shared" si="20"/>
        <v>68.335183129855722</v>
      </c>
      <c r="J358" s="187">
        <f t="shared" si="20"/>
        <v>69.442180039594732</v>
      </c>
      <c r="K358" s="187">
        <f>K355/K352*100</f>
        <v>69.857774590653747</v>
      </c>
      <c r="L358" s="21"/>
    </row>
    <row r="359" spans="1:12" ht="15" customHeight="1" x14ac:dyDescent="0.25">
      <c r="A359" s="1701"/>
      <c r="B359" s="1403"/>
      <c r="C359" s="1236" t="s">
        <v>455</v>
      </c>
      <c r="D359" s="1236"/>
      <c r="E359" s="28"/>
      <c r="F359" s="187">
        <f t="shared" si="20"/>
        <v>59.497389033942561</v>
      </c>
      <c r="G359" s="187">
        <f t="shared" si="20"/>
        <v>65.044247787610615</v>
      </c>
      <c r="H359" s="187">
        <f t="shared" si="20"/>
        <v>66.747733804996685</v>
      </c>
      <c r="I359" s="187">
        <f t="shared" si="20"/>
        <v>68.604513765804086</v>
      </c>
      <c r="J359" s="187">
        <f t="shared" si="20"/>
        <v>69.048509789250531</v>
      </c>
      <c r="K359" s="187">
        <f>K356/K353*100</f>
        <v>69.962901368811572</v>
      </c>
      <c r="L359" s="21"/>
    </row>
    <row r="360" spans="1:12" x14ac:dyDescent="0.25">
      <c r="A360" s="1701"/>
      <c r="B360" s="1403"/>
      <c r="C360" s="1698" t="s">
        <v>354</v>
      </c>
      <c r="D360" s="1698"/>
      <c r="E360" s="28"/>
      <c r="F360" s="228">
        <f>+F359-F358</f>
        <v>-1.5223648185757952</v>
      </c>
      <c r="G360" s="763">
        <f t="shared" ref="G360:I360" si="21">+G359-G358</f>
        <v>0.18777719937531856</v>
      </c>
      <c r="H360" s="763">
        <f t="shared" si="21"/>
        <v>0.75133206936328634</v>
      </c>
      <c r="I360" s="763">
        <f t="shared" si="21"/>
        <v>0.26933063594836426</v>
      </c>
      <c r="J360" s="764">
        <f>+J359-J358</f>
        <v>-0.39367025034420067</v>
      </c>
      <c r="K360" s="764">
        <f>+K359-K358</f>
        <v>0.10512677815782467</v>
      </c>
      <c r="L360" s="21"/>
    </row>
    <row r="361" spans="1:12" ht="16.5" thickBot="1" x14ac:dyDescent="0.3">
      <c r="A361" s="769" t="s">
        <v>248</v>
      </c>
      <c r="B361" s="770" t="s">
        <v>249</v>
      </c>
      <c r="C361" s="1697"/>
      <c r="D361" s="1697"/>
      <c r="E361" s="771" t="s">
        <v>442</v>
      </c>
      <c r="F361" s="771" t="s">
        <v>443</v>
      </c>
      <c r="G361" s="771" t="s">
        <v>444</v>
      </c>
      <c r="H361" s="771" t="s">
        <v>445</v>
      </c>
      <c r="I361" s="771" t="s">
        <v>446</v>
      </c>
      <c r="J361" s="771" t="s">
        <v>447</v>
      </c>
      <c r="K361" s="771" t="s">
        <v>448</v>
      </c>
      <c r="L361" s="772" t="s">
        <v>449</v>
      </c>
    </row>
    <row r="362" spans="1:12" ht="15.6" customHeight="1" x14ac:dyDescent="0.25">
      <c r="A362" s="1699" t="s">
        <v>456</v>
      </c>
      <c r="B362" s="1686" t="s">
        <v>457</v>
      </c>
      <c r="C362" s="1172" t="s">
        <v>458</v>
      </c>
      <c r="D362" s="238" t="s">
        <v>459</v>
      </c>
      <c r="E362" s="220" t="s">
        <v>460</v>
      </c>
      <c r="F362" s="192">
        <v>3021</v>
      </c>
      <c r="G362" s="192">
        <v>3519</v>
      </c>
      <c r="H362" s="192">
        <v>4005</v>
      </c>
      <c r="I362" s="192">
        <v>3993</v>
      </c>
      <c r="J362" s="220">
        <v>4064</v>
      </c>
      <c r="K362" s="962">
        <v>4324</v>
      </c>
      <c r="L362" s="122"/>
    </row>
    <row r="363" spans="1:12" ht="15" customHeight="1" x14ac:dyDescent="0.25">
      <c r="A363" s="1699"/>
      <c r="B363" s="1151"/>
      <c r="C363" s="1173"/>
      <c r="D363" s="227" t="s">
        <v>436</v>
      </c>
      <c r="E363" s="96"/>
      <c r="F363" s="96">
        <v>1474</v>
      </c>
      <c r="G363" s="96">
        <v>1721</v>
      </c>
      <c r="H363" s="96">
        <v>1957</v>
      </c>
      <c r="I363" s="96">
        <v>1981</v>
      </c>
      <c r="J363" s="96">
        <v>2047</v>
      </c>
      <c r="K363" s="972">
        <v>2199</v>
      </c>
      <c r="L363" s="28"/>
    </row>
    <row r="364" spans="1:12" ht="14.1" customHeight="1" x14ac:dyDescent="0.25">
      <c r="A364" s="1699"/>
      <c r="B364" s="1151"/>
      <c r="C364" s="1173"/>
      <c r="D364" s="227" t="s">
        <v>437</v>
      </c>
      <c r="E364" s="96"/>
      <c r="F364" s="96">
        <v>1547</v>
      </c>
      <c r="G364" s="96">
        <v>1798</v>
      </c>
      <c r="H364" s="96">
        <v>2048</v>
      </c>
      <c r="I364" s="96">
        <v>2012</v>
      </c>
      <c r="J364" s="96">
        <v>2017</v>
      </c>
      <c r="K364" s="972">
        <v>2125</v>
      </c>
      <c r="L364" s="28"/>
    </row>
    <row r="365" spans="1:12" x14ac:dyDescent="0.25">
      <c r="A365" s="1699"/>
      <c r="B365" s="1151"/>
      <c r="C365" s="1173" t="s">
        <v>461</v>
      </c>
      <c r="D365" s="226" t="s">
        <v>459</v>
      </c>
      <c r="E365" s="157"/>
      <c r="F365" s="157">
        <v>1371</v>
      </c>
      <c r="G365" s="157">
        <f>845+831</f>
        <v>1676</v>
      </c>
      <c r="H365" s="157">
        <v>2035</v>
      </c>
      <c r="I365" s="157">
        <v>2230</v>
      </c>
      <c r="J365" s="157">
        <f>1149+1220</f>
        <v>2369</v>
      </c>
      <c r="K365" s="963">
        <v>2320</v>
      </c>
      <c r="L365" s="28"/>
    </row>
    <row r="366" spans="1:12" ht="15" customHeight="1" x14ac:dyDescent="0.25">
      <c r="A366" s="1699"/>
      <c r="B366" s="1151"/>
      <c r="C366" s="1173"/>
      <c r="D366" s="227" t="s">
        <v>436</v>
      </c>
      <c r="E366" s="96"/>
      <c r="F366" s="96">
        <v>776</v>
      </c>
      <c r="G366" s="96">
        <f>442+460</f>
        <v>902</v>
      </c>
      <c r="H366" s="96">
        <v>1048</v>
      </c>
      <c r="I366" s="96">
        <v>1155</v>
      </c>
      <c r="J366" s="96">
        <f>625+656</f>
        <v>1281</v>
      </c>
      <c r="K366" s="972">
        <v>1296</v>
      </c>
      <c r="L366" s="28"/>
    </row>
    <row r="367" spans="1:12" x14ac:dyDescent="0.25">
      <c r="A367" s="1699"/>
      <c r="B367" s="1151"/>
      <c r="C367" s="1173"/>
      <c r="D367" s="227" t="s">
        <v>437</v>
      </c>
      <c r="E367" s="96"/>
      <c r="F367" s="96">
        <v>595</v>
      </c>
      <c r="G367" s="96">
        <f>403+371</f>
        <v>774</v>
      </c>
      <c r="H367" s="96">
        <v>987</v>
      </c>
      <c r="I367" s="96">
        <v>1075</v>
      </c>
      <c r="J367" s="96">
        <f>524+564</f>
        <v>1088</v>
      </c>
      <c r="K367" s="972">
        <v>1024</v>
      </c>
      <c r="L367" s="28"/>
    </row>
    <row r="368" spans="1:12" x14ac:dyDescent="0.25">
      <c r="A368" s="1699"/>
      <c r="B368" s="1151"/>
      <c r="C368" s="1148" t="s">
        <v>462</v>
      </c>
      <c r="D368" s="1124"/>
      <c r="E368" s="96"/>
      <c r="F368" s="29">
        <f>F366/F363*100</f>
        <v>52.645861601085485</v>
      </c>
      <c r="G368" s="29">
        <f t="shared" ref="G368:I369" si="22">G366/G363*100</f>
        <v>52.411388727484024</v>
      </c>
      <c r="H368" s="29">
        <f t="shared" si="22"/>
        <v>53.55135411343894</v>
      </c>
      <c r="I368" s="29">
        <f t="shared" si="22"/>
        <v>58.303886925795055</v>
      </c>
      <c r="J368" s="29">
        <f>J366/J363*100</f>
        <v>62.579384465070831</v>
      </c>
      <c r="K368" s="29">
        <f>K366/K363*100</f>
        <v>58.93587994542974</v>
      </c>
      <c r="L368" s="28"/>
    </row>
    <row r="369" spans="1:17" x14ac:dyDescent="0.25">
      <c r="A369" s="1699"/>
      <c r="B369" s="1151"/>
      <c r="C369" s="1148" t="s">
        <v>463</v>
      </c>
      <c r="D369" s="1124"/>
      <c r="E369" s="96"/>
      <c r="F369" s="29">
        <f>F367/F364*100</f>
        <v>38.461538461538467</v>
      </c>
      <c r="G369" s="29">
        <f t="shared" si="22"/>
        <v>43.047830923248057</v>
      </c>
      <c r="H369" s="29">
        <f t="shared" si="22"/>
        <v>48.193359375</v>
      </c>
      <c r="I369" s="29">
        <f t="shared" si="22"/>
        <v>53.429423459244532</v>
      </c>
      <c r="J369" s="29">
        <f>J367/J364*100</f>
        <v>53.941497273177987</v>
      </c>
      <c r="K369" s="29">
        <f>K367/K364*100</f>
        <v>48.188235294117646</v>
      </c>
      <c r="L369" s="28"/>
    </row>
    <row r="370" spans="1:17" ht="16.5" thickBot="1" x14ac:dyDescent="0.3">
      <c r="A370" s="1699"/>
      <c r="B370" s="1446"/>
      <c r="C370" s="1177" t="s">
        <v>354</v>
      </c>
      <c r="D370" s="1178"/>
      <c r="E370" s="336"/>
      <c r="F370" s="165">
        <f>+F369-F368</f>
        <v>-14.184323139547018</v>
      </c>
      <c r="G370" s="165">
        <f t="shared" ref="G370:I370" si="23">+G369-G368</f>
        <v>-9.3635578042359668</v>
      </c>
      <c r="H370" s="165">
        <f t="shared" si="23"/>
        <v>-5.3579947384389399</v>
      </c>
      <c r="I370" s="165">
        <f t="shared" si="23"/>
        <v>-4.8744634665505231</v>
      </c>
      <c r="J370" s="165">
        <f>+J369-J368</f>
        <v>-8.6378871918928439</v>
      </c>
      <c r="K370" s="165">
        <f>+K369-K368</f>
        <v>-10.747644651312093</v>
      </c>
      <c r="L370" s="110"/>
    </row>
    <row r="371" spans="1:17" ht="16.5" thickBot="1" x14ac:dyDescent="0.3">
      <c r="A371" s="1699"/>
      <c r="B371" s="151" t="s">
        <v>249</v>
      </c>
      <c r="C371" s="1702"/>
      <c r="D371" s="1703"/>
      <c r="E371" s="120" t="s">
        <v>442</v>
      </c>
      <c r="F371" s="120" t="s">
        <v>443</v>
      </c>
      <c r="G371" s="120" t="s">
        <v>444</v>
      </c>
      <c r="H371" s="120" t="s">
        <v>445</v>
      </c>
      <c r="I371" s="120" t="s">
        <v>446</v>
      </c>
      <c r="J371" s="120" t="s">
        <v>447</v>
      </c>
      <c r="K371" s="120" t="s">
        <v>448</v>
      </c>
      <c r="L371" s="121" t="s">
        <v>449</v>
      </c>
    </row>
    <row r="372" spans="1:17" x14ac:dyDescent="0.25">
      <c r="A372" s="1699"/>
      <c r="B372" s="1677" t="s">
        <v>464</v>
      </c>
      <c r="C372" s="1121" t="s">
        <v>459</v>
      </c>
      <c r="D372" s="1122"/>
      <c r="E372" s="122"/>
      <c r="F372" s="192">
        <v>1129</v>
      </c>
      <c r="G372" s="192">
        <v>1506</v>
      </c>
      <c r="H372" s="192">
        <v>1923</v>
      </c>
      <c r="I372" s="192">
        <v>2068</v>
      </c>
      <c r="J372" s="192">
        <v>2329</v>
      </c>
      <c r="K372" s="195">
        <v>2656</v>
      </c>
      <c r="L372" s="87"/>
    </row>
    <row r="373" spans="1:17" ht="15" customHeight="1" x14ac:dyDescent="0.25">
      <c r="A373" s="1699"/>
      <c r="B373" s="1678"/>
      <c r="C373" s="1123" t="s">
        <v>436</v>
      </c>
      <c r="D373" s="1124"/>
      <c r="E373" s="96"/>
      <c r="F373" s="96">
        <v>543</v>
      </c>
      <c r="G373" s="96">
        <v>717</v>
      </c>
      <c r="H373" s="96">
        <v>997</v>
      </c>
      <c r="I373" s="96">
        <v>1054</v>
      </c>
      <c r="J373" s="96">
        <v>1150</v>
      </c>
      <c r="K373" s="96">
        <v>1221</v>
      </c>
      <c r="L373" s="21"/>
    </row>
    <row r="374" spans="1:17" x14ac:dyDescent="0.25">
      <c r="A374" s="1699"/>
      <c r="B374" s="1678"/>
      <c r="C374" s="1123" t="s">
        <v>437</v>
      </c>
      <c r="D374" s="1124"/>
      <c r="E374" s="96"/>
      <c r="F374" s="96">
        <v>586</v>
      </c>
      <c r="G374" s="96">
        <v>789</v>
      </c>
      <c r="H374" s="96">
        <v>926</v>
      </c>
      <c r="I374" s="96">
        <v>1014</v>
      </c>
      <c r="J374" s="96">
        <v>1179</v>
      </c>
      <c r="K374" s="96">
        <v>1435</v>
      </c>
      <c r="L374" s="21"/>
    </row>
    <row r="375" spans="1:17" ht="16.5" thickBot="1" x14ac:dyDescent="0.3">
      <c r="A375" s="1699"/>
      <c r="B375" s="1678"/>
      <c r="C375" s="1577" t="s">
        <v>270</v>
      </c>
      <c r="D375" s="1634"/>
      <c r="E375" s="360"/>
      <c r="F375" s="435">
        <f t="shared" ref="F375:J375" si="24">F374/F372*100</f>
        <v>51.904340124003546</v>
      </c>
      <c r="G375" s="435">
        <f t="shared" si="24"/>
        <v>52.39043824701195</v>
      </c>
      <c r="H375" s="435">
        <f t="shared" si="24"/>
        <v>48.153926157046286</v>
      </c>
      <c r="I375" s="435">
        <f t="shared" si="24"/>
        <v>49.032882011605416</v>
      </c>
      <c r="J375" s="435">
        <f t="shared" si="24"/>
        <v>50.622584800343496</v>
      </c>
      <c r="K375" s="435">
        <f>K374/K372*100</f>
        <v>54.028614457831324</v>
      </c>
      <c r="L375" s="53"/>
    </row>
    <row r="376" spans="1:17" x14ac:dyDescent="0.25">
      <c r="A376" s="1699"/>
      <c r="B376" s="1678"/>
      <c r="C376" s="1159" t="s">
        <v>523</v>
      </c>
      <c r="D376" s="248" t="s">
        <v>251</v>
      </c>
      <c r="E376" s="249"/>
      <c r="F376" s="250">
        <v>141</v>
      </c>
      <c r="G376" s="250">
        <v>127</v>
      </c>
      <c r="H376" s="250">
        <v>156</v>
      </c>
      <c r="I376" s="250">
        <v>143</v>
      </c>
      <c r="J376" s="250">
        <v>146</v>
      </c>
      <c r="K376" s="794">
        <v>139</v>
      </c>
      <c r="L376" s="20"/>
    </row>
    <row r="377" spans="1:17" ht="14.85" customHeight="1" x14ac:dyDescent="0.25">
      <c r="A377" s="1699"/>
      <c r="B377" s="1678"/>
      <c r="C377" s="1160"/>
      <c r="D377" s="28" t="s">
        <v>257</v>
      </c>
      <c r="E377" s="94"/>
      <c r="F377" s="80">
        <v>56</v>
      </c>
      <c r="G377" s="80">
        <v>57</v>
      </c>
      <c r="H377" s="80">
        <v>70</v>
      </c>
      <c r="I377" s="80">
        <v>65</v>
      </c>
      <c r="J377" s="80">
        <v>64</v>
      </c>
      <c r="K377" s="1001">
        <v>75</v>
      </c>
      <c r="L377" s="21"/>
    </row>
    <row r="378" spans="1:17" x14ac:dyDescent="0.25">
      <c r="A378" s="1699"/>
      <c r="B378" s="1678"/>
      <c r="C378" s="1160"/>
      <c r="D378" s="28" t="s">
        <v>263</v>
      </c>
      <c r="E378" s="94"/>
      <c r="F378" s="80">
        <v>85</v>
      </c>
      <c r="G378" s="80">
        <v>70</v>
      </c>
      <c r="H378" s="80">
        <v>86</v>
      </c>
      <c r="I378" s="80">
        <v>78</v>
      </c>
      <c r="J378" s="80">
        <v>82</v>
      </c>
      <c r="K378" s="759">
        <v>64</v>
      </c>
      <c r="L378" s="21"/>
      <c r="N378" s="64"/>
      <c r="O378" s="64"/>
      <c r="P378" s="64"/>
      <c r="Q378" s="64"/>
    </row>
    <row r="379" spans="1:17" s="64" customFormat="1" ht="16.5" thickBot="1" x14ac:dyDescent="0.3">
      <c r="A379" s="1699"/>
      <c r="B379" s="1678"/>
      <c r="C379" s="1161"/>
      <c r="D379" s="203" t="s">
        <v>270</v>
      </c>
      <c r="E379" s="106"/>
      <c r="F379" s="251">
        <f>(F378*100)/F376</f>
        <v>60.283687943262414</v>
      </c>
      <c r="G379" s="252">
        <f t="shared" ref="G379:J379" si="25">(G378*100)/G376</f>
        <v>55.118110236220474</v>
      </c>
      <c r="H379" s="252">
        <f t="shared" si="25"/>
        <v>55.128205128205131</v>
      </c>
      <c r="I379" s="252">
        <f t="shared" si="25"/>
        <v>54.545454545454547</v>
      </c>
      <c r="J379" s="252">
        <f t="shared" si="25"/>
        <v>56.164383561643838</v>
      </c>
      <c r="K379" s="942">
        <f>K378/K376*100</f>
        <v>46.043165467625904</v>
      </c>
      <c r="L379" s="204"/>
      <c r="N379" s="11"/>
      <c r="O379" s="11"/>
      <c r="P379" s="11"/>
      <c r="Q379" s="11"/>
    </row>
    <row r="380" spans="1:17" x14ac:dyDescent="0.25">
      <c r="A380" s="1699"/>
      <c r="B380" s="1678"/>
      <c r="C380" s="1159" t="s">
        <v>465</v>
      </c>
      <c r="D380" s="248" t="s">
        <v>251</v>
      </c>
      <c r="E380" s="249"/>
      <c r="F380" s="250">
        <v>172</v>
      </c>
      <c r="G380" s="250">
        <v>314</v>
      </c>
      <c r="H380" s="250">
        <v>575</v>
      </c>
      <c r="I380" s="250">
        <v>668</v>
      </c>
      <c r="J380" s="250">
        <v>838</v>
      </c>
      <c r="K380" s="225">
        <v>1032</v>
      </c>
      <c r="L380" s="20"/>
    </row>
    <row r="381" spans="1:17" ht="14.85" customHeight="1" x14ac:dyDescent="0.25">
      <c r="A381" s="1699"/>
      <c r="B381" s="1678"/>
      <c r="C381" s="1160"/>
      <c r="D381" s="28" t="s">
        <v>257</v>
      </c>
      <c r="E381" s="94"/>
      <c r="F381" s="80">
        <v>33</v>
      </c>
      <c r="G381" s="80">
        <v>55</v>
      </c>
      <c r="H381" s="80">
        <v>182</v>
      </c>
      <c r="I381" s="80">
        <v>200</v>
      </c>
      <c r="J381" s="80">
        <v>242</v>
      </c>
      <c r="K381" s="28">
        <v>316</v>
      </c>
      <c r="L381" s="21"/>
    </row>
    <row r="382" spans="1:17" x14ac:dyDescent="0.25">
      <c r="A382" s="1699"/>
      <c r="B382" s="1678"/>
      <c r="C382" s="1160"/>
      <c r="D382" s="28" t="s">
        <v>263</v>
      </c>
      <c r="E382" s="94"/>
      <c r="F382" s="80">
        <v>139</v>
      </c>
      <c r="G382" s="80">
        <v>259</v>
      </c>
      <c r="H382" s="80">
        <v>393</v>
      </c>
      <c r="I382" s="80">
        <v>468</v>
      </c>
      <c r="J382" s="80">
        <v>596</v>
      </c>
      <c r="K382" s="96">
        <v>716</v>
      </c>
      <c r="L382" s="21"/>
      <c r="N382" s="64"/>
      <c r="O382" s="64"/>
      <c r="P382" s="64"/>
      <c r="Q382" s="64"/>
    </row>
    <row r="383" spans="1:17" s="64" customFormat="1" ht="16.5" thickBot="1" x14ac:dyDescent="0.3">
      <c r="A383" s="1699"/>
      <c r="B383" s="1678"/>
      <c r="C383" s="1161"/>
      <c r="D383" s="203" t="s">
        <v>270</v>
      </c>
      <c r="E383" s="106"/>
      <c r="F383" s="251">
        <f>(F382*100)/F380</f>
        <v>80.813953488372093</v>
      </c>
      <c r="G383" s="251">
        <f t="shared" ref="G383:K383" si="26">(G382*100)/G380</f>
        <v>82.484076433121018</v>
      </c>
      <c r="H383" s="251">
        <f t="shared" si="26"/>
        <v>68.347826086956516</v>
      </c>
      <c r="I383" s="251">
        <f t="shared" si="26"/>
        <v>70.059880239520965</v>
      </c>
      <c r="J383" s="251">
        <f t="shared" si="26"/>
        <v>71.1217183770883</v>
      </c>
      <c r="K383" s="251">
        <f t="shared" si="26"/>
        <v>69.379844961240309</v>
      </c>
      <c r="L383" s="204"/>
      <c r="N383" s="11"/>
      <c r="O383" s="11"/>
      <c r="P383" s="11"/>
      <c r="Q383" s="11"/>
    </row>
    <row r="384" spans="1:17" x14ac:dyDescent="0.25">
      <c r="A384" s="1699"/>
      <c r="B384" s="1678"/>
      <c r="C384" s="1159" t="s">
        <v>524</v>
      </c>
      <c r="D384" s="248" t="s">
        <v>251</v>
      </c>
      <c r="E384" s="249"/>
      <c r="F384" s="250">
        <v>32</v>
      </c>
      <c r="G384" s="250">
        <v>96</v>
      </c>
      <c r="H384" s="250">
        <v>197</v>
      </c>
      <c r="I384" s="250">
        <v>225</v>
      </c>
      <c r="J384" s="250">
        <v>249</v>
      </c>
      <c r="K384" s="1000">
        <v>285</v>
      </c>
      <c r="L384" s="20"/>
    </row>
    <row r="385" spans="1:17" ht="14.85" customHeight="1" x14ac:dyDescent="0.25">
      <c r="A385" s="1699"/>
      <c r="B385" s="1678"/>
      <c r="C385" s="1160"/>
      <c r="D385" s="28" t="s">
        <v>257</v>
      </c>
      <c r="E385" s="94"/>
      <c r="F385" s="80">
        <v>30</v>
      </c>
      <c r="G385" s="80">
        <v>94</v>
      </c>
      <c r="H385" s="80">
        <v>184</v>
      </c>
      <c r="I385" s="80">
        <v>207</v>
      </c>
      <c r="J385" s="80">
        <v>225</v>
      </c>
      <c r="K385" s="28">
        <v>250</v>
      </c>
      <c r="L385" s="21"/>
    </row>
    <row r="386" spans="1:17" x14ac:dyDescent="0.25">
      <c r="A386" s="1699"/>
      <c r="B386" s="1678"/>
      <c r="C386" s="1160"/>
      <c r="D386" s="28" t="s">
        <v>263</v>
      </c>
      <c r="E386" s="94"/>
      <c r="F386" s="80">
        <v>2</v>
      </c>
      <c r="G386" s="80">
        <v>2</v>
      </c>
      <c r="H386" s="80">
        <v>13</v>
      </c>
      <c r="I386" s="80">
        <v>18</v>
      </c>
      <c r="J386" s="80">
        <v>24</v>
      </c>
      <c r="K386" s="28">
        <v>35</v>
      </c>
      <c r="L386" s="21"/>
      <c r="N386" s="64"/>
      <c r="O386" s="64"/>
      <c r="P386" s="64"/>
      <c r="Q386" s="64"/>
    </row>
    <row r="387" spans="1:17" s="64" customFormat="1" ht="16.5" thickBot="1" x14ac:dyDescent="0.3">
      <c r="A387" s="1699"/>
      <c r="B387" s="1678"/>
      <c r="C387" s="1161"/>
      <c r="D387" s="203" t="s">
        <v>270</v>
      </c>
      <c r="E387" s="106"/>
      <c r="F387" s="253">
        <f>(F386*100)/F384</f>
        <v>6.25</v>
      </c>
      <c r="G387" s="253">
        <f t="shared" ref="G387:K387" si="27">(G386*100)/G384</f>
        <v>2.0833333333333335</v>
      </c>
      <c r="H387" s="253">
        <f t="shared" si="27"/>
        <v>6.5989847715736039</v>
      </c>
      <c r="I387" s="253">
        <f t="shared" si="27"/>
        <v>8</v>
      </c>
      <c r="J387" s="253">
        <f t="shared" si="27"/>
        <v>9.6385542168674707</v>
      </c>
      <c r="K387" s="804">
        <f t="shared" si="27"/>
        <v>12.280701754385966</v>
      </c>
      <c r="L387" s="204"/>
      <c r="N387" s="11"/>
      <c r="O387" s="11"/>
      <c r="P387" s="11"/>
      <c r="Q387" s="11"/>
    </row>
    <row r="388" spans="1:17" x14ac:dyDescent="0.25">
      <c r="A388" s="1699"/>
      <c r="B388" s="1678"/>
      <c r="C388" s="1659" t="s">
        <v>556</v>
      </c>
      <c r="D388" s="241" t="s">
        <v>251</v>
      </c>
      <c r="E388" s="242"/>
      <c r="F388" s="243">
        <v>141</v>
      </c>
      <c r="G388" s="243">
        <v>145</v>
      </c>
      <c r="H388" s="243">
        <v>114</v>
      </c>
      <c r="I388" s="243">
        <v>99</v>
      </c>
      <c r="J388" s="243">
        <v>85</v>
      </c>
      <c r="K388" s="737">
        <v>137</v>
      </c>
      <c r="L388" s="945"/>
    </row>
    <row r="389" spans="1:17" ht="14.85" customHeight="1" x14ac:dyDescent="0.25">
      <c r="A389" s="1699"/>
      <c r="B389" s="1678"/>
      <c r="C389" s="1160"/>
      <c r="D389" s="28" t="s">
        <v>257</v>
      </c>
      <c r="E389" s="94"/>
      <c r="F389" s="80">
        <v>8</v>
      </c>
      <c r="G389" s="80">
        <v>27</v>
      </c>
      <c r="H389" s="80">
        <v>17</v>
      </c>
      <c r="I389" s="80">
        <v>13</v>
      </c>
      <c r="J389" s="80">
        <v>13</v>
      </c>
      <c r="K389" s="83">
        <v>15</v>
      </c>
      <c r="L389" s="601"/>
    </row>
    <row r="390" spans="1:17" x14ac:dyDescent="0.25">
      <c r="A390" s="1699"/>
      <c r="B390" s="1678"/>
      <c r="C390" s="1160"/>
      <c r="D390" s="28" t="s">
        <v>263</v>
      </c>
      <c r="E390" s="94"/>
      <c r="F390" s="80">
        <v>133</v>
      </c>
      <c r="G390" s="80">
        <v>118</v>
      </c>
      <c r="H390" s="80">
        <v>97</v>
      </c>
      <c r="I390" s="80">
        <v>86</v>
      </c>
      <c r="J390" s="80">
        <v>72</v>
      </c>
      <c r="K390" s="83">
        <v>122</v>
      </c>
      <c r="L390" s="601"/>
      <c r="N390" s="64"/>
      <c r="O390" s="64"/>
      <c r="P390" s="64"/>
      <c r="Q390" s="64"/>
    </row>
    <row r="391" spans="1:17" s="64" customFormat="1" ht="16.5" thickBot="1" x14ac:dyDescent="0.3">
      <c r="A391" s="1699"/>
      <c r="B391" s="1678"/>
      <c r="C391" s="1161"/>
      <c r="D391" s="203" t="s">
        <v>270</v>
      </c>
      <c r="E391" s="106"/>
      <c r="F391" s="251">
        <f>(F390*100)/F388</f>
        <v>94.326241134751768</v>
      </c>
      <c r="G391" s="251">
        <f t="shared" ref="G391:K391" si="28">(G390*100)/G388</f>
        <v>81.379310344827587</v>
      </c>
      <c r="H391" s="251">
        <f t="shared" si="28"/>
        <v>85.087719298245617</v>
      </c>
      <c r="I391" s="251">
        <f t="shared" si="28"/>
        <v>86.868686868686865</v>
      </c>
      <c r="J391" s="251">
        <f t="shared" si="28"/>
        <v>84.705882352941174</v>
      </c>
      <c r="K391" s="780">
        <f t="shared" si="28"/>
        <v>89.051094890510953</v>
      </c>
      <c r="L391" s="946"/>
      <c r="N391" s="11"/>
      <c r="O391" s="11"/>
      <c r="P391" s="11"/>
      <c r="Q391" s="11"/>
    </row>
    <row r="392" spans="1:17" x14ac:dyDescent="0.25">
      <c r="A392" s="1699"/>
      <c r="B392" s="1678"/>
      <c r="C392" s="1159" t="s">
        <v>526</v>
      </c>
      <c r="D392" s="248" t="s">
        <v>251</v>
      </c>
      <c r="E392" s="249"/>
      <c r="F392" s="344">
        <v>43</v>
      </c>
      <c r="G392" s="250">
        <v>48</v>
      </c>
      <c r="H392" s="250">
        <v>54</v>
      </c>
      <c r="I392" s="250">
        <v>50</v>
      </c>
      <c r="J392" s="250">
        <v>49</v>
      </c>
      <c r="K392" s="250">
        <v>45</v>
      </c>
      <c r="L392" s="20"/>
    </row>
    <row r="393" spans="1:17" ht="14.85" customHeight="1" x14ac:dyDescent="0.25">
      <c r="A393" s="1699"/>
      <c r="B393" s="1678"/>
      <c r="C393" s="1160"/>
      <c r="D393" s="28" t="s">
        <v>257</v>
      </c>
      <c r="E393" s="94"/>
      <c r="F393" s="181">
        <v>24</v>
      </c>
      <c r="G393" s="80">
        <v>37</v>
      </c>
      <c r="H393" s="80">
        <v>40</v>
      </c>
      <c r="I393" s="80">
        <v>39</v>
      </c>
      <c r="J393" s="80">
        <v>32</v>
      </c>
      <c r="K393" s="80">
        <v>22</v>
      </c>
      <c r="L393" s="21"/>
    </row>
    <row r="394" spans="1:17" x14ac:dyDescent="0.25">
      <c r="A394" s="1699"/>
      <c r="B394" s="1678"/>
      <c r="C394" s="1160"/>
      <c r="D394" s="28" t="s">
        <v>263</v>
      </c>
      <c r="E394" s="94"/>
      <c r="F394" s="181">
        <v>19</v>
      </c>
      <c r="G394" s="80">
        <v>11</v>
      </c>
      <c r="H394" s="80">
        <v>14</v>
      </c>
      <c r="I394" s="80">
        <v>11</v>
      </c>
      <c r="J394" s="80">
        <v>17</v>
      </c>
      <c r="K394" s="80">
        <v>23</v>
      </c>
      <c r="L394" s="21"/>
      <c r="N394" s="64"/>
      <c r="O394" s="64"/>
      <c r="P394" s="64"/>
      <c r="Q394" s="64"/>
    </row>
    <row r="395" spans="1:17" s="64" customFormat="1" ht="16.5" thickBot="1" x14ac:dyDescent="0.3">
      <c r="A395" s="1699"/>
      <c r="B395" s="1678"/>
      <c r="C395" s="1161"/>
      <c r="D395" s="203" t="s">
        <v>270</v>
      </c>
      <c r="E395" s="106"/>
      <c r="F395" s="252">
        <f>(F394*100)/F392</f>
        <v>44.186046511627907</v>
      </c>
      <c r="G395" s="253">
        <f t="shared" ref="G395:K395" si="29">(G394*100)/G392</f>
        <v>22.916666666666668</v>
      </c>
      <c r="H395" s="253">
        <f t="shared" si="29"/>
        <v>25.925925925925927</v>
      </c>
      <c r="I395" s="253">
        <f t="shared" si="29"/>
        <v>22</v>
      </c>
      <c r="J395" s="253">
        <f t="shared" si="29"/>
        <v>34.693877551020407</v>
      </c>
      <c r="K395" s="940">
        <f t="shared" si="29"/>
        <v>51.111111111111114</v>
      </c>
      <c r="L395" s="204"/>
      <c r="N395" s="11"/>
      <c r="O395" s="11"/>
      <c r="P395" s="11"/>
      <c r="Q395" s="11"/>
    </row>
    <row r="396" spans="1:17" x14ac:dyDescent="0.25">
      <c r="A396" s="1699"/>
      <c r="B396" s="1678"/>
      <c r="C396" s="1659" t="s">
        <v>482</v>
      </c>
      <c r="D396" s="241" t="s">
        <v>251</v>
      </c>
      <c r="E396" s="242"/>
      <c r="F396" s="243">
        <v>45</v>
      </c>
      <c r="G396" s="243">
        <v>88</v>
      </c>
      <c r="H396" s="243">
        <v>50</v>
      </c>
      <c r="I396" s="243">
        <v>47</v>
      </c>
      <c r="J396" s="243">
        <v>52</v>
      </c>
      <c r="K396" s="87">
        <v>49</v>
      </c>
      <c r="L396" s="945"/>
    </row>
    <row r="397" spans="1:17" ht="14.85" customHeight="1" x14ac:dyDescent="0.25">
      <c r="A397" s="1699"/>
      <c r="B397" s="1678"/>
      <c r="C397" s="1160"/>
      <c r="D397" s="28" t="s">
        <v>257</v>
      </c>
      <c r="E397" s="94"/>
      <c r="F397" s="236">
        <v>24</v>
      </c>
      <c r="G397" s="236">
        <v>43</v>
      </c>
      <c r="H397" s="236">
        <v>36</v>
      </c>
      <c r="I397" s="236">
        <v>31</v>
      </c>
      <c r="J397" s="236">
        <v>29</v>
      </c>
      <c r="K397" s="21">
        <v>28</v>
      </c>
      <c r="L397" s="601"/>
    </row>
    <row r="398" spans="1:17" x14ac:dyDescent="0.25">
      <c r="A398" s="1699"/>
      <c r="B398" s="1678"/>
      <c r="C398" s="1160"/>
      <c r="D398" s="28" t="s">
        <v>263</v>
      </c>
      <c r="E398" s="94"/>
      <c r="F398" s="236">
        <v>21</v>
      </c>
      <c r="G398" s="236">
        <v>45</v>
      </c>
      <c r="H398" s="236">
        <v>14</v>
      </c>
      <c r="I398" s="236">
        <v>16</v>
      </c>
      <c r="J398" s="236">
        <v>23</v>
      </c>
      <c r="K398" s="21">
        <v>21</v>
      </c>
      <c r="L398" s="601"/>
      <c r="N398" s="64"/>
      <c r="O398" s="64"/>
      <c r="P398" s="64"/>
      <c r="Q398" s="64"/>
    </row>
    <row r="399" spans="1:17" s="64" customFormat="1" ht="16.5" thickBot="1" x14ac:dyDescent="0.3">
      <c r="A399" s="1699"/>
      <c r="B399" s="1678"/>
      <c r="C399" s="1161"/>
      <c r="D399" s="203" t="s">
        <v>270</v>
      </c>
      <c r="E399" s="106"/>
      <c r="F399" s="252">
        <f>(F398*100)/F396</f>
        <v>46.666666666666664</v>
      </c>
      <c r="G399" s="252">
        <f t="shared" ref="G399:K399" si="30">(G398*100)/G396</f>
        <v>51.136363636363633</v>
      </c>
      <c r="H399" s="253">
        <f t="shared" si="30"/>
        <v>28</v>
      </c>
      <c r="I399" s="253">
        <f t="shared" si="30"/>
        <v>34.042553191489361</v>
      </c>
      <c r="J399" s="252">
        <f t="shared" si="30"/>
        <v>44.230769230769234</v>
      </c>
      <c r="K399" s="941">
        <f t="shared" si="30"/>
        <v>42.857142857142854</v>
      </c>
      <c r="L399" s="946"/>
      <c r="N399" s="11"/>
      <c r="O399" s="11"/>
      <c r="P399" s="11"/>
      <c r="Q399" s="11"/>
    </row>
    <row r="400" spans="1:17" x14ac:dyDescent="0.25">
      <c r="A400" s="1699"/>
      <c r="B400" s="1678"/>
      <c r="C400" s="1159" t="s">
        <v>552</v>
      </c>
      <c r="D400" s="248" t="s">
        <v>251</v>
      </c>
      <c r="E400" s="249"/>
      <c r="F400" s="250">
        <v>106</v>
      </c>
      <c r="G400" s="250">
        <v>145</v>
      </c>
      <c r="H400" s="250">
        <v>158</v>
      </c>
      <c r="I400" s="250">
        <v>179</v>
      </c>
      <c r="J400" s="250">
        <v>170</v>
      </c>
      <c r="K400" s="36">
        <v>184</v>
      </c>
      <c r="L400" s="20"/>
    </row>
    <row r="401" spans="1:17" ht="14.85" customHeight="1" x14ac:dyDescent="0.25">
      <c r="A401" s="1699"/>
      <c r="B401" s="1678"/>
      <c r="C401" s="1160"/>
      <c r="D401" s="28" t="s">
        <v>257</v>
      </c>
      <c r="E401" s="94"/>
      <c r="F401" s="80">
        <v>12</v>
      </c>
      <c r="G401" s="80">
        <v>27</v>
      </c>
      <c r="H401" s="80">
        <v>16</v>
      </c>
      <c r="I401" s="80">
        <v>21</v>
      </c>
      <c r="J401" s="80">
        <v>17</v>
      </c>
      <c r="K401" s="28">
        <v>15</v>
      </c>
      <c r="L401" s="21"/>
    </row>
    <row r="402" spans="1:17" x14ac:dyDescent="0.25">
      <c r="A402" s="1699"/>
      <c r="B402" s="1678"/>
      <c r="C402" s="1160"/>
      <c r="D402" s="28" t="s">
        <v>263</v>
      </c>
      <c r="E402" s="94"/>
      <c r="F402" s="80">
        <v>94</v>
      </c>
      <c r="G402" s="80">
        <v>118</v>
      </c>
      <c r="H402" s="80">
        <v>142</v>
      </c>
      <c r="I402" s="80">
        <v>158</v>
      </c>
      <c r="J402" s="80">
        <v>153</v>
      </c>
      <c r="K402" s="28">
        <v>169</v>
      </c>
      <c r="L402" s="21"/>
      <c r="N402" s="64"/>
      <c r="O402" s="64"/>
      <c r="P402" s="64"/>
      <c r="Q402" s="64"/>
    </row>
    <row r="403" spans="1:17" s="64" customFormat="1" ht="16.5" thickBot="1" x14ac:dyDescent="0.3">
      <c r="A403" s="1699"/>
      <c r="B403" s="1678"/>
      <c r="C403" s="1161"/>
      <c r="D403" s="203" t="s">
        <v>270</v>
      </c>
      <c r="E403" s="106"/>
      <c r="F403" s="251">
        <f>(F402*100)/F400</f>
        <v>88.679245283018872</v>
      </c>
      <c r="G403" s="251">
        <f t="shared" ref="G403:J403" si="31">(G402*100)/G400</f>
        <v>81.379310344827587</v>
      </c>
      <c r="H403" s="251">
        <f t="shared" si="31"/>
        <v>89.87341772151899</v>
      </c>
      <c r="I403" s="251">
        <f t="shared" si="31"/>
        <v>88.268156424581008</v>
      </c>
      <c r="J403" s="251">
        <f t="shared" si="31"/>
        <v>90</v>
      </c>
      <c r="K403" s="251">
        <f>(K402*100)/K400</f>
        <v>91.847826086956516</v>
      </c>
      <c r="L403" s="204"/>
      <c r="N403" s="11"/>
      <c r="O403" s="11"/>
      <c r="P403" s="11"/>
      <c r="Q403" s="11"/>
    </row>
    <row r="404" spans="1:17" x14ac:dyDescent="0.25">
      <c r="A404" s="1699"/>
      <c r="B404" s="1678"/>
      <c r="C404" s="1159" t="s">
        <v>480</v>
      </c>
      <c r="D404" s="248" t="s">
        <v>251</v>
      </c>
      <c r="E404" s="249"/>
      <c r="F404" s="250">
        <v>204</v>
      </c>
      <c r="G404" s="250">
        <v>300</v>
      </c>
      <c r="H404" s="250">
        <v>257</v>
      </c>
      <c r="I404" s="250">
        <v>239</v>
      </c>
      <c r="J404" s="250">
        <v>223</v>
      </c>
      <c r="K404" s="794">
        <v>228</v>
      </c>
      <c r="L404" s="20"/>
    </row>
    <row r="405" spans="1:17" ht="14.85" customHeight="1" x14ac:dyDescent="0.25">
      <c r="A405" s="1699"/>
      <c r="B405" s="1678"/>
      <c r="C405" s="1160"/>
      <c r="D405" s="28" t="s">
        <v>257</v>
      </c>
      <c r="E405" s="94"/>
      <c r="F405" s="80">
        <v>145</v>
      </c>
      <c r="G405" s="80">
        <v>204</v>
      </c>
      <c r="H405" s="80">
        <v>158</v>
      </c>
      <c r="I405" s="80">
        <v>147</v>
      </c>
      <c r="J405" s="80">
        <v>136</v>
      </c>
      <c r="K405" s="759">
        <v>131</v>
      </c>
      <c r="L405" s="21"/>
    </row>
    <row r="406" spans="1:17" x14ac:dyDescent="0.25">
      <c r="A406" s="1699"/>
      <c r="B406" s="1678"/>
      <c r="C406" s="1160"/>
      <c r="D406" s="28" t="s">
        <v>263</v>
      </c>
      <c r="E406" s="94"/>
      <c r="F406" s="80">
        <v>59</v>
      </c>
      <c r="G406" s="80">
        <v>96</v>
      </c>
      <c r="H406" s="80">
        <v>99</v>
      </c>
      <c r="I406" s="80">
        <v>92</v>
      </c>
      <c r="J406" s="80">
        <v>87</v>
      </c>
      <c r="K406" s="759">
        <v>97</v>
      </c>
      <c r="L406" s="21"/>
      <c r="N406" s="64"/>
      <c r="O406" s="64"/>
      <c r="P406" s="64"/>
      <c r="Q406" s="64"/>
    </row>
    <row r="407" spans="1:17" s="64" customFormat="1" ht="16.5" thickBot="1" x14ac:dyDescent="0.3">
      <c r="A407" s="1699"/>
      <c r="B407" s="1678"/>
      <c r="C407" s="1161"/>
      <c r="D407" s="203" t="s">
        <v>270</v>
      </c>
      <c r="E407" s="106"/>
      <c r="F407" s="253">
        <f t="shared" ref="F407:J407" si="32">(F406*100)/F404</f>
        <v>28.921568627450981</v>
      </c>
      <c r="G407" s="253">
        <f t="shared" si="32"/>
        <v>32</v>
      </c>
      <c r="H407" s="253">
        <f t="shared" si="32"/>
        <v>38.521400778210115</v>
      </c>
      <c r="I407" s="253">
        <f t="shared" si="32"/>
        <v>38.493723849372387</v>
      </c>
      <c r="J407" s="253">
        <f t="shared" si="32"/>
        <v>39.013452914798208</v>
      </c>
      <c r="K407" s="940">
        <f>K406/K404*100</f>
        <v>42.543859649122808</v>
      </c>
      <c r="L407" s="204"/>
      <c r="N407" s="11"/>
      <c r="O407" s="11"/>
      <c r="P407" s="11"/>
      <c r="Q407" s="11"/>
    </row>
    <row r="408" spans="1:17" x14ac:dyDescent="0.25">
      <c r="A408" s="1699"/>
      <c r="B408" s="1678"/>
      <c r="C408" s="1159" t="s">
        <v>532</v>
      </c>
      <c r="D408" s="248" t="s">
        <v>251</v>
      </c>
      <c r="E408" s="249"/>
      <c r="F408" s="250">
        <v>44</v>
      </c>
      <c r="G408" s="250">
        <v>48</v>
      </c>
      <c r="H408" s="250">
        <v>48</v>
      </c>
      <c r="I408" s="250">
        <v>76</v>
      </c>
      <c r="J408" s="250">
        <v>91</v>
      </c>
      <c r="K408" s="36">
        <v>88</v>
      </c>
      <c r="L408" s="20"/>
    </row>
    <row r="409" spans="1:17" ht="14.85" customHeight="1" x14ac:dyDescent="0.25">
      <c r="A409" s="1699"/>
      <c r="B409" s="1678"/>
      <c r="C409" s="1160"/>
      <c r="D409" s="28" t="s">
        <v>257</v>
      </c>
      <c r="E409" s="94"/>
      <c r="F409" s="80">
        <v>23</v>
      </c>
      <c r="G409" s="80">
        <v>30</v>
      </c>
      <c r="H409" s="80">
        <v>28</v>
      </c>
      <c r="I409" s="80">
        <v>45</v>
      </c>
      <c r="J409" s="80">
        <v>50</v>
      </c>
      <c r="K409" s="28">
        <v>42</v>
      </c>
      <c r="L409" s="21"/>
    </row>
    <row r="410" spans="1:17" x14ac:dyDescent="0.25">
      <c r="A410" s="1699"/>
      <c r="B410" s="1678"/>
      <c r="C410" s="1160"/>
      <c r="D410" s="28" t="s">
        <v>263</v>
      </c>
      <c r="E410" s="94"/>
      <c r="F410" s="80">
        <v>21</v>
      </c>
      <c r="G410" s="80">
        <v>18</v>
      </c>
      <c r="H410" s="80">
        <v>20</v>
      </c>
      <c r="I410" s="80">
        <v>31</v>
      </c>
      <c r="J410" s="80">
        <v>41</v>
      </c>
      <c r="K410" s="28">
        <v>46</v>
      </c>
      <c r="L410" s="21"/>
      <c r="N410" s="64"/>
      <c r="O410" s="64"/>
      <c r="P410" s="64"/>
      <c r="Q410" s="64"/>
    </row>
    <row r="411" spans="1:17" s="64" customFormat="1" ht="16.5" thickBot="1" x14ac:dyDescent="0.3">
      <c r="A411" s="1699"/>
      <c r="B411" s="1678"/>
      <c r="C411" s="1161"/>
      <c r="D411" s="203" t="s">
        <v>270</v>
      </c>
      <c r="E411" s="106"/>
      <c r="F411" s="252">
        <f t="shared" ref="F411:G411" si="33">(F410*100)/F408</f>
        <v>47.727272727272727</v>
      </c>
      <c r="G411" s="253">
        <f t="shared" si="33"/>
        <v>37.5</v>
      </c>
      <c r="H411" s="252">
        <f t="shared" ref="H411:J411" si="34">(H410*100)/H408</f>
        <v>41.666666666666664</v>
      </c>
      <c r="I411" s="252">
        <f t="shared" si="34"/>
        <v>40.789473684210527</v>
      </c>
      <c r="J411" s="252">
        <f t="shared" si="34"/>
        <v>45.054945054945058</v>
      </c>
      <c r="K411" s="777">
        <f>K410/K408*100</f>
        <v>52.272727272727273</v>
      </c>
      <c r="L411" s="204"/>
      <c r="N411" s="11"/>
      <c r="O411" s="11"/>
      <c r="P411" s="11"/>
      <c r="Q411" s="11"/>
    </row>
    <row r="412" spans="1:17" x14ac:dyDescent="0.25">
      <c r="A412" s="1699"/>
      <c r="B412" s="1678"/>
      <c r="C412" s="1159" t="s">
        <v>539</v>
      </c>
      <c r="D412" s="248" t="s">
        <v>251</v>
      </c>
      <c r="E412" s="249"/>
      <c r="F412" s="250">
        <v>45</v>
      </c>
      <c r="G412" s="250">
        <v>44</v>
      </c>
      <c r="H412" s="250">
        <v>129</v>
      </c>
      <c r="I412" s="250">
        <v>143</v>
      </c>
      <c r="J412" s="250">
        <v>177</v>
      </c>
      <c r="K412" s="36">
        <v>215</v>
      </c>
      <c r="L412" s="20"/>
    </row>
    <row r="413" spans="1:17" ht="14.85" customHeight="1" x14ac:dyDescent="0.25">
      <c r="A413" s="1699"/>
      <c r="B413" s="1678"/>
      <c r="C413" s="1160"/>
      <c r="D413" s="28" t="s">
        <v>257</v>
      </c>
      <c r="E413" s="94"/>
      <c r="F413" s="80">
        <v>35</v>
      </c>
      <c r="G413" s="80">
        <v>32</v>
      </c>
      <c r="H413" s="80">
        <v>94</v>
      </c>
      <c r="I413" s="80">
        <v>109</v>
      </c>
      <c r="J413" s="80">
        <v>133</v>
      </c>
      <c r="K413" s="28">
        <v>141</v>
      </c>
      <c r="L413" s="21"/>
    </row>
    <row r="414" spans="1:17" x14ac:dyDescent="0.25">
      <c r="A414" s="1699"/>
      <c r="B414" s="1678"/>
      <c r="C414" s="1160"/>
      <c r="D414" s="28" t="s">
        <v>263</v>
      </c>
      <c r="E414" s="94"/>
      <c r="F414" s="80">
        <v>10</v>
      </c>
      <c r="G414" s="80">
        <v>12</v>
      </c>
      <c r="H414" s="80">
        <v>35</v>
      </c>
      <c r="I414" s="80">
        <v>34</v>
      </c>
      <c r="J414" s="80">
        <v>44</v>
      </c>
      <c r="K414" s="28">
        <v>74</v>
      </c>
      <c r="L414" s="21"/>
      <c r="N414" s="64"/>
      <c r="O414" s="64"/>
      <c r="P414" s="64"/>
      <c r="Q414" s="64"/>
    </row>
    <row r="415" spans="1:17" s="64" customFormat="1" ht="16.5" thickBot="1" x14ac:dyDescent="0.3">
      <c r="A415" s="1699"/>
      <c r="B415" s="1678"/>
      <c r="C415" s="1161"/>
      <c r="D415" s="203" t="s">
        <v>270</v>
      </c>
      <c r="E415" s="106"/>
      <c r="F415" s="253">
        <f>(F414*100)/F412</f>
        <v>22.222222222222221</v>
      </c>
      <c r="G415" s="253">
        <f t="shared" ref="G415:J415" si="35">(G414*100)/G412</f>
        <v>27.272727272727273</v>
      </c>
      <c r="H415" s="253">
        <f t="shared" si="35"/>
        <v>27.131782945736433</v>
      </c>
      <c r="I415" s="253">
        <f t="shared" si="35"/>
        <v>23.776223776223777</v>
      </c>
      <c r="J415" s="253">
        <f t="shared" si="35"/>
        <v>24.858757062146893</v>
      </c>
      <c r="K415" s="253">
        <f>K414/K412*100</f>
        <v>34.418604651162795</v>
      </c>
      <c r="L415" s="204"/>
      <c r="N415" s="11"/>
      <c r="O415" s="11"/>
      <c r="P415" s="11"/>
      <c r="Q415" s="11"/>
    </row>
    <row r="416" spans="1:17" x14ac:dyDescent="0.25">
      <c r="A416" s="1699"/>
      <c r="B416" s="1678"/>
      <c r="C416" s="1159" t="s">
        <v>527</v>
      </c>
      <c r="D416" s="248" t="s">
        <v>251</v>
      </c>
      <c r="E416" s="249"/>
      <c r="F416" s="250">
        <v>44</v>
      </c>
      <c r="G416" s="250">
        <v>73</v>
      </c>
      <c r="H416" s="250">
        <v>77</v>
      </c>
      <c r="I416" s="250">
        <v>72</v>
      </c>
      <c r="J416" s="250">
        <v>82</v>
      </c>
      <c r="K416" s="808">
        <v>64</v>
      </c>
      <c r="L416" s="20"/>
    </row>
    <row r="417" spans="1:17" ht="14.85" customHeight="1" x14ac:dyDescent="0.25">
      <c r="A417" s="1699"/>
      <c r="B417" s="1678"/>
      <c r="C417" s="1160"/>
      <c r="D417" s="28" t="s">
        <v>257</v>
      </c>
      <c r="E417" s="94"/>
      <c r="F417" s="80">
        <v>44</v>
      </c>
      <c r="G417" s="80">
        <v>71</v>
      </c>
      <c r="H417" s="80">
        <v>77</v>
      </c>
      <c r="I417" s="80">
        <v>72</v>
      </c>
      <c r="J417" s="80">
        <v>82</v>
      </c>
      <c r="K417" s="781">
        <v>64</v>
      </c>
      <c r="L417" s="21"/>
    </row>
    <row r="418" spans="1:17" x14ac:dyDescent="0.25">
      <c r="A418" s="1699"/>
      <c r="B418" s="1678"/>
      <c r="C418" s="1160"/>
      <c r="D418" s="28" t="s">
        <v>263</v>
      </c>
      <c r="E418" s="94"/>
      <c r="F418" s="80">
        <v>0</v>
      </c>
      <c r="G418" s="80">
        <v>2</v>
      </c>
      <c r="H418" s="80">
        <v>0</v>
      </c>
      <c r="I418" s="80">
        <v>0</v>
      </c>
      <c r="J418" s="80">
        <v>0</v>
      </c>
      <c r="K418" s="781">
        <v>0</v>
      </c>
      <c r="L418" s="21"/>
      <c r="N418" s="64"/>
      <c r="O418" s="64"/>
      <c r="P418" s="64"/>
      <c r="Q418" s="64"/>
    </row>
    <row r="419" spans="1:17" s="64" customFormat="1" ht="16.5" thickBot="1" x14ac:dyDescent="0.3">
      <c r="A419" s="1699"/>
      <c r="B419" s="1678"/>
      <c r="C419" s="1161"/>
      <c r="D419" s="203" t="s">
        <v>270</v>
      </c>
      <c r="E419" s="106"/>
      <c r="F419" s="253">
        <f>(F418*100)/F416</f>
        <v>0</v>
      </c>
      <c r="G419" s="253">
        <f t="shared" ref="G419:J419" si="36">(G418*100)/G416</f>
        <v>2.7397260273972601</v>
      </c>
      <c r="H419" s="253">
        <f t="shared" si="36"/>
        <v>0</v>
      </c>
      <c r="I419" s="253">
        <f t="shared" si="36"/>
        <v>0</v>
      </c>
      <c r="J419" s="253">
        <f t="shared" si="36"/>
        <v>0</v>
      </c>
      <c r="K419" s="253">
        <v>0</v>
      </c>
      <c r="L419" s="204"/>
      <c r="N419" s="11"/>
      <c r="O419" s="11"/>
      <c r="P419" s="11"/>
      <c r="Q419" s="11"/>
    </row>
    <row r="420" spans="1:17" x14ac:dyDescent="0.25">
      <c r="A420" s="1699"/>
      <c r="B420" s="1678"/>
      <c r="C420" s="1159" t="s">
        <v>522</v>
      </c>
      <c r="D420" s="248" t="s">
        <v>251</v>
      </c>
      <c r="E420" s="249"/>
      <c r="F420" s="250">
        <v>112</v>
      </c>
      <c r="G420" s="250">
        <v>44</v>
      </c>
      <c r="H420" s="250">
        <v>48</v>
      </c>
      <c r="I420" s="250">
        <v>43</v>
      </c>
      <c r="J420" s="250">
        <v>44</v>
      </c>
      <c r="K420" s="36">
        <v>40</v>
      </c>
      <c r="L420" s="20"/>
    </row>
    <row r="421" spans="1:17" ht="14.85" customHeight="1" x14ac:dyDescent="0.25">
      <c r="A421" s="1699"/>
      <c r="B421" s="1678"/>
      <c r="C421" s="1160"/>
      <c r="D421" s="28" t="s">
        <v>257</v>
      </c>
      <c r="E421" s="94"/>
      <c r="F421" s="80">
        <v>109</v>
      </c>
      <c r="G421" s="80">
        <v>44</v>
      </c>
      <c r="H421" s="80">
        <v>47</v>
      </c>
      <c r="I421" s="80">
        <v>41</v>
      </c>
      <c r="J421" s="80">
        <v>43</v>
      </c>
      <c r="K421" s="28">
        <v>39</v>
      </c>
      <c r="L421" s="21"/>
    </row>
    <row r="422" spans="1:17" x14ac:dyDescent="0.25">
      <c r="A422" s="1699"/>
      <c r="B422" s="1678"/>
      <c r="C422" s="1160"/>
      <c r="D422" s="28" t="s">
        <v>263</v>
      </c>
      <c r="E422" s="94"/>
      <c r="F422" s="80">
        <v>3</v>
      </c>
      <c r="G422" s="80">
        <v>0</v>
      </c>
      <c r="H422" s="80">
        <v>1</v>
      </c>
      <c r="I422" s="80">
        <v>2</v>
      </c>
      <c r="J422" s="80">
        <v>1</v>
      </c>
      <c r="K422" s="28">
        <v>1</v>
      </c>
      <c r="L422" s="21"/>
      <c r="N422" s="64"/>
      <c r="O422" s="64"/>
      <c r="P422" s="64"/>
      <c r="Q422" s="64"/>
    </row>
    <row r="423" spans="1:17" s="64" customFormat="1" ht="16.5" thickBot="1" x14ac:dyDescent="0.3">
      <c r="A423" s="1699"/>
      <c r="B423" s="1678"/>
      <c r="C423" s="1161"/>
      <c r="D423" s="203" t="s">
        <v>270</v>
      </c>
      <c r="E423" s="106"/>
      <c r="F423" s="253">
        <f>(F422*100)/F421</f>
        <v>2.7522935779816513</v>
      </c>
      <c r="G423" s="253">
        <f t="shared" ref="G423:J423" si="37">(G422*100)/G421</f>
        <v>0</v>
      </c>
      <c r="H423" s="253">
        <f t="shared" si="37"/>
        <v>2.1276595744680851</v>
      </c>
      <c r="I423" s="253">
        <f t="shared" si="37"/>
        <v>4.8780487804878048</v>
      </c>
      <c r="J423" s="253">
        <f t="shared" si="37"/>
        <v>2.3255813953488373</v>
      </c>
      <c r="K423" s="253">
        <f>K422/K420*100</f>
        <v>2.5</v>
      </c>
      <c r="L423" s="204"/>
      <c r="N423" s="11"/>
      <c r="O423" s="11"/>
      <c r="P423" s="11"/>
      <c r="Q423" s="11"/>
    </row>
    <row r="424" spans="1:17" x14ac:dyDescent="0.25">
      <c r="A424" s="1699"/>
      <c r="B424" s="1678"/>
      <c r="C424" s="1159" t="s">
        <v>558</v>
      </c>
      <c r="D424" s="248" t="s">
        <v>251</v>
      </c>
      <c r="E424" s="249"/>
      <c r="F424" s="250"/>
      <c r="G424" s="250">
        <v>34</v>
      </c>
      <c r="H424" s="250">
        <v>19</v>
      </c>
      <c r="I424" s="250">
        <v>24</v>
      </c>
      <c r="J424" s="250">
        <v>44</v>
      </c>
      <c r="K424" s="808">
        <v>74</v>
      </c>
      <c r="L424" s="20"/>
    </row>
    <row r="425" spans="1:17" ht="14.85" customHeight="1" x14ac:dyDescent="0.25">
      <c r="A425" s="1699"/>
      <c r="B425" s="1678"/>
      <c r="C425" s="1160"/>
      <c r="D425" s="28" t="s">
        <v>257</v>
      </c>
      <c r="E425" s="94"/>
      <c r="F425" s="80"/>
      <c r="G425" s="80">
        <v>11</v>
      </c>
      <c r="H425" s="80">
        <v>7</v>
      </c>
      <c r="I425" s="80">
        <v>10</v>
      </c>
      <c r="J425" s="80">
        <v>13</v>
      </c>
      <c r="K425" s="781">
        <v>21</v>
      </c>
      <c r="L425" s="21"/>
    </row>
    <row r="426" spans="1:17" x14ac:dyDescent="0.25">
      <c r="A426" s="1699"/>
      <c r="B426" s="1678"/>
      <c r="C426" s="1160"/>
      <c r="D426" s="28" t="s">
        <v>263</v>
      </c>
      <c r="E426" s="94"/>
      <c r="F426" s="80"/>
      <c r="G426" s="80">
        <v>23</v>
      </c>
      <c r="H426" s="80">
        <v>12</v>
      </c>
      <c r="I426" s="80">
        <v>14</v>
      </c>
      <c r="J426" s="80">
        <v>31</v>
      </c>
      <c r="K426" s="781">
        <v>53</v>
      </c>
      <c r="L426" s="21"/>
      <c r="N426" s="64"/>
      <c r="O426" s="64"/>
      <c r="P426" s="64"/>
      <c r="Q426" s="64"/>
    </row>
    <row r="427" spans="1:17" s="64" customFormat="1" ht="16.5" thickBot="1" x14ac:dyDescent="0.3">
      <c r="A427" s="1699"/>
      <c r="B427" s="1678"/>
      <c r="C427" s="1161"/>
      <c r="D427" s="203" t="s">
        <v>270</v>
      </c>
      <c r="E427" s="106"/>
      <c r="F427" s="197"/>
      <c r="G427" s="251">
        <f>(G426*100)/G424</f>
        <v>67.647058823529406</v>
      </c>
      <c r="H427" s="251">
        <f t="shared" ref="H427:J427" si="38">(H426*100)/H424</f>
        <v>63.157894736842103</v>
      </c>
      <c r="I427" s="252">
        <f t="shared" si="38"/>
        <v>58.333333333333336</v>
      </c>
      <c r="J427" s="251">
        <f t="shared" si="38"/>
        <v>70.454545454545453</v>
      </c>
      <c r="K427" s="251">
        <f>K426/K424*100</f>
        <v>71.621621621621628</v>
      </c>
      <c r="L427" s="204"/>
      <c r="N427" s="11"/>
      <c r="O427" s="11"/>
      <c r="P427" s="11"/>
      <c r="Q427" s="11"/>
    </row>
    <row r="428" spans="1:17" x14ac:dyDescent="0.25">
      <c r="A428" s="1699"/>
      <c r="B428" s="1678"/>
      <c r="C428" s="1159" t="s">
        <v>559</v>
      </c>
      <c r="D428" s="248" t="s">
        <v>251</v>
      </c>
      <c r="E428" s="249"/>
      <c r="F428" s="249"/>
      <c r="G428" s="250"/>
      <c r="H428" s="250">
        <v>41</v>
      </c>
      <c r="I428" s="250">
        <v>42</v>
      </c>
      <c r="J428" s="250">
        <v>49</v>
      </c>
      <c r="K428" s="808">
        <v>50</v>
      </c>
      <c r="L428" s="20"/>
    </row>
    <row r="429" spans="1:17" ht="14.85" customHeight="1" x14ac:dyDescent="0.25">
      <c r="A429" s="1699"/>
      <c r="B429" s="1678"/>
      <c r="C429" s="1160"/>
      <c r="D429" s="28" t="s">
        <v>257</v>
      </c>
      <c r="E429" s="94"/>
      <c r="F429" s="94"/>
      <c r="G429" s="80"/>
      <c r="H429" s="80">
        <v>41</v>
      </c>
      <c r="I429" s="80">
        <v>40</v>
      </c>
      <c r="J429" s="80">
        <v>49</v>
      </c>
      <c r="K429" s="781">
        <v>47</v>
      </c>
      <c r="L429" s="21"/>
    </row>
    <row r="430" spans="1:17" x14ac:dyDescent="0.25">
      <c r="A430" s="1699"/>
      <c r="B430" s="1678"/>
      <c r="C430" s="1160"/>
      <c r="D430" s="28" t="s">
        <v>263</v>
      </c>
      <c r="E430" s="94"/>
      <c r="F430" s="94"/>
      <c r="G430" s="80"/>
      <c r="H430" s="80">
        <v>0</v>
      </c>
      <c r="I430" s="80">
        <v>2</v>
      </c>
      <c r="J430" s="80">
        <v>0</v>
      </c>
      <c r="K430" s="781">
        <v>3</v>
      </c>
      <c r="L430" s="21"/>
      <c r="N430" s="64"/>
      <c r="O430" s="64"/>
      <c r="P430" s="64"/>
      <c r="Q430" s="64"/>
    </row>
    <row r="431" spans="1:17" s="64" customFormat="1" ht="16.5" thickBot="1" x14ac:dyDescent="0.3">
      <c r="A431" s="1699"/>
      <c r="B431" s="1678"/>
      <c r="C431" s="1161"/>
      <c r="D431" s="203" t="s">
        <v>270</v>
      </c>
      <c r="E431" s="106"/>
      <c r="F431" s="197"/>
      <c r="G431" s="197"/>
      <c r="H431" s="253">
        <f>(H430*100)/H428</f>
        <v>0</v>
      </c>
      <c r="I431" s="253">
        <f t="shared" ref="I431:J431" si="39">(I430*100)/I428</f>
        <v>4.7619047619047619</v>
      </c>
      <c r="J431" s="253">
        <f t="shared" si="39"/>
        <v>0</v>
      </c>
      <c r="K431" s="253">
        <f>K430/K428*100</f>
        <v>6</v>
      </c>
      <c r="L431" s="204"/>
      <c r="N431" s="11"/>
      <c r="O431" s="11"/>
      <c r="P431" s="11"/>
      <c r="Q431" s="11"/>
    </row>
    <row r="432" spans="1:17" x14ac:dyDescent="0.25">
      <c r="A432" s="1699"/>
      <c r="B432" s="1678"/>
      <c r="C432" s="1159" t="s">
        <v>560</v>
      </c>
      <c r="D432" s="248" t="s">
        <v>251</v>
      </c>
      <c r="E432" s="249"/>
      <c r="F432" s="225"/>
      <c r="G432" s="225"/>
      <c r="H432" s="225"/>
      <c r="I432" s="225">
        <v>18</v>
      </c>
      <c r="J432" s="225">
        <v>30</v>
      </c>
      <c r="K432" s="36">
        <v>26</v>
      </c>
      <c r="L432" s="20"/>
    </row>
    <row r="433" spans="1:17" ht="14.85" customHeight="1" x14ac:dyDescent="0.25">
      <c r="A433" s="1699"/>
      <c r="B433" s="1678"/>
      <c r="C433" s="1160"/>
      <c r="D433" s="28" t="s">
        <v>257</v>
      </c>
      <c r="E433" s="94"/>
      <c r="F433" s="96"/>
      <c r="G433" s="96"/>
      <c r="H433" s="96"/>
      <c r="I433" s="96">
        <v>14</v>
      </c>
      <c r="J433" s="96">
        <v>22</v>
      </c>
      <c r="K433" s="28">
        <v>15</v>
      </c>
      <c r="L433" s="21"/>
    </row>
    <row r="434" spans="1:17" x14ac:dyDescent="0.25">
      <c r="A434" s="1699"/>
      <c r="B434" s="1678"/>
      <c r="C434" s="1160"/>
      <c r="D434" s="28" t="s">
        <v>263</v>
      </c>
      <c r="E434" s="94"/>
      <c r="F434" s="96"/>
      <c r="G434" s="96"/>
      <c r="H434" s="96"/>
      <c r="I434" s="96">
        <v>4</v>
      </c>
      <c r="J434" s="96">
        <v>8</v>
      </c>
      <c r="K434" s="28">
        <v>11</v>
      </c>
      <c r="L434" s="21"/>
      <c r="N434" s="64"/>
      <c r="O434" s="64"/>
      <c r="P434" s="64"/>
      <c r="Q434" s="64"/>
    </row>
    <row r="435" spans="1:17" s="64" customFormat="1" ht="16.5" thickBot="1" x14ac:dyDescent="0.3">
      <c r="A435" s="1699"/>
      <c r="B435" s="1678"/>
      <c r="C435" s="1161"/>
      <c r="D435" s="203" t="s">
        <v>270</v>
      </c>
      <c r="E435" s="106"/>
      <c r="F435" s="197"/>
      <c r="G435" s="197"/>
      <c r="H435" s="197"/>
      <c r="I435" s="258">
        <f>(I434*100)/I432</f>
        <v>22.222222222222221</v>
      </c>
      <c r="J435" s="258">
        <f t="shared" ref="J435" si="40">(J434*100)/J432</f>
        <v>26.666666666666668</v>
      </c>
      <c r="K435" s="777">
        <f>K434/K432*100</f>
        <v>42.307692307692307</v>
      </c>
      <c r="L435" s="204"/>
      <c r="N435" s="11"/>
      <c r="O435" s="11"/>
      <c r="P435" s="11"/>
      <c r="Q435" s="11"/>
    </row>
    <row r="436" spans="1:17" x14ac:dyDescent="0.25">
      <c r="A436" s="1699"/>
      <c r="B436" s="1678"/>
      <c r="C436" s="1166" t="s">
        <v>472</v>
      </c>
      <c r="D436" s="308" t="s">
        <v>473</v>
      </c>
      <c r="E436" s="249"/>
      <c r="F436" s="261">
        <f>5/12*100</f>
        <v>41.666666666666671</v>
      </c>
      <c r="G436" s="261">
        <f>7/13*100</f>
        <v>53.846153846153847</v>
      </c>
      <c r="H436" s="261">
        <f>8/14*100</f>
        <v>57.142857142857139</v>
      </c>
      <c r="I436" s="261">
        <f>9/15*100</f>
        <v>60</v>
      </c>
      <c r="J436" s="261">
        <f>8/15*100</f>
        <v>53.333333333333336</v>
      </c>
      <c r="K436" s="261">
        <f>5/15*100</f>
        <v>33.333333333333329</v>
      </c>
      <c r="L436" s="20"/>
    </row>
    <row r="437" spans="1:17" x14ac:dyDescent="0.25">
      <c r="A437" s="1699"/>
      <c r="B437" s="1678"/>
      <c r="C437" s="1167"/>
      <c r="D437" s="232" t="s">
        <v>474</v>
      </c>
      <c r="E437" s="94"/>
      <c r="F437" s="234">
        <f>4/12*100</f>
        <v>33.333333333333329</v>
      </c>
      <c r="G437" s="234">
        <f>4/13*100</f>
        <v>30.76923076923077</v>
      </c>
      <c r="H437" s="234">
        <f>4/14*100</f>
        <v>28.571428571428569</v>
      </c>
      <c r="I437" s="234">
        <f>3/15*100</f>
        <v>20</v>
      </c>
      <c r="J437" s="234">
        <f>4/15*100</f>
        <v>26.666666666666668</v>
      </c>
      <c r="K437" s="234">
        <f>4/15*100</f>
        <v>26.666666666666668</v>
      </c>
      <c r="L437" s="21"/>
    </row>
    <row r="438" spans="1:17" ht="16.5" thickBot="1" x14ac:dyDescent="0.3">
      <c r="A438" s="1699"/>
      <c r="B438" s="1679"/>
      <c r="C438" s="1255"/>
      <c r="D438" s="311" t="s">
        <v>475</v>
      </c>
      <c r="E438" s="104"/>
      <c r="F438" s="312">
        <f>3/12*100</f>
        <v>25</v>
      </c>
      <c r="G438" s="312">
        <f>2/13*100</f>
        <v>15.384615384615385</v>
      </c>
      <c r="H438" s="312">
        <f>2/14*100</f>
        <v>14.285714285714285</v>
      </c>
      <c r="I438" s="312">
        <f>3/15*100</f>
        <v>20</v>
      </c>
      <c r="J438" s="312">
        <f>3/15*100</f>
        <v>20</v>
      </c>
      <c r="K438" s="312">
        <f>6/15*100</f>
        <v>40</v>
      </c>
      <c r="L438" s="22"/>
    </row>
    <row r="439" spans="1:17" ht="16.5" thickBot="1" x14ac:dyDescent="0.3">
      <c r="A439" s="1699"/>
      <c r="B439" s="151" t="s">
        <v>249</v>
      </c>
      <c r="C439" s="1337"/>
      <c r="D439" s="1337"/>
      <c r="E439" s="943" t="s">
        <v>442</v>
      </c>
      <c r="F439" s="943" t="s">
        <v>443</v>
      </c>
      <c r="G439" s="943" t="s">
        <v>444</v>
      </c>
      <c r="H439" s="943" t="s">
        <v>445</v>
      </c>
      <c r="I439" s="943" t="s">
        <v>446</v>
      </c>
      <c r="J439" s="943" t="s">
        <v>447</v>
      </c>
      <c r="K439" s="943" t="s">
        <v>448</v>
      </c>
      <c r="L439" s="944" t="s">
        <v>449</v>
      </c>
    </row>
    <row r="440" spans="1:17" x14ac:dyDescent="0.25">
      <c r="A440" s="1699"/>
      <c r="B440" s="1677" t="s">
        <v>476</v>
      </c>
      <c r="C440" s="1251" t="s">
        <v>435</v>
      </c>
      <c r="D440" s="1206"/>
      <c r="E440" s="36"/>
      <c r="F440" s="195">
        <v>1776</v>
      </c>
      <c r="G440" s="195">
        <v>1906</v>
      </c>
      <c r="H440" s="195">
        <v>2681</v>
      </c>
      <c r="I440" s="195">
        <v>2663</v>
      </c>
      <c r="J440" s="195">
        <v>2702</v>
      </c>
      <c r="K440" s="195">
        <v>3185</v>
      </c>
      <c r="L440" s="20"/>
    </row>
    <row r="441" spans="1:17" ht="15" customHeight="1" x14ac:dyDescent="0.25">
      <c r="A441" s="1699"/>
      <c r="B441" s="1678"/>
      <c r="C441" s="1123" t="s">
        <v>436</v>
      </c>
      <c r="D441" s="1124"/>
      <c r="E441" s="96"/>
      <c r="F441" s="96">
        <v>824</v>
      </c>
      <c r="G441" s="96">
        <v>811</v>
      </c>
      <c r="H441" s="96">
        <v>1087</v>
      </c>
      <c r="I441" s="96">
        <v>1067</v>
      </c>
      <c r="J441" s="96">
        <v>1098</v>
      </c>
      <c r="K441" s="96">
        <v>1296</v>
      </c>
      <c r="L441" s="21"/>
    </row>
    <row r="442" spans="1:17" x14ac:dyDescent="0.25">
      <c r="A442" s="1699"/>
      <c r="B442" s="1678"/>
      <c r="C442" s="1123" t="s">
        <v>437</v>
      </c>
      <c r="D442" s="1124"/>
      <c r="E442" s="96"/>
      <c r="F442" s="96">
        <v>952</v>
      </c>
      <c r="G442" s="96">
        <v>1095</v>
      </c>
      <c r="H442" s="96">
        <v>1594</v>
      </c>
      <c r="I442" s="96">
        <v>1596</v>
      </c>
      <c r="J442" s="96">
        <v>1604</v>
      </c>
      <c r="K442" s="96">
        <v>1889</v>
      </c>
      <c r="L442" s="21"/>
    </row>
    <row r="443" spans="1:17" ht="16.5" thickBot="1" x14ac:dyDescent="0.3">
      <c r="A443" s="1699"/>
      <c r="B443" s="1678"/>
      <c r="C443" s="1690" t="s">
        <v>270</v>
      </c>
      <c r="D443" s="1691"/>
      <c r="E443" s="360"/>
      <c r="F443" s="435">
        <f t="shared" ref="F443:H443" si="41">F442/F440*100</f>
        <v>53.603603603603602</v>
      </c>
      <c r="G443" s="435">
        <f t="shared" si="41"/>
        <v>57.450157397691505</v>
      </c>
      <c r="H443" s="435">
        <f t="shared" si="41"/>
        <v>59.455427079447965</v>
      </c>
      <c r="I443" s="435">
        <f>I442/I440*100</f>
        <v>59.932407059707096</v>
      </c>
      <c r="J443" s="435">
        <f t="shared" ref="J443:K443" si="42">J442/J440*100</f>
        <v>59.363434492968167</v>
      </c>
      <c r="K443" s="435">
        <f t="shared" si="42"/>
        <v>59.30926216640502</v>
      </c>
      <c r="L443" s="53"/>
    </row>
    <row r="444" spans="1:17" x14ac:dyDescent="0.25">
      <c r="A444" s="1699"/>
      <c r="B444" s="1678"/>
      <c r="C444" s="1159" t="s">
        <v>523</v>
      </c>
      <c r="D444" s="248" t="s">
        <v>251</v>
      </c>
      <c r="E444" s="249"/>
      <c r="F444" s="250">
        <v>137</v>
      </c>
      <c r="G444" s="250">
        <v>132</v>
      </c>
      <c r="H444" s="250">
        <v>190</v>
      </c>
      <c r="I444" s="250">
        <v>183</v>
      </c>
      <c r="J444" s="250">
        <v>175</v>
      </c>
      <c r="K444" s="250">
        <v>197</v>
      </c>
      <c r="L444" s="20"/>
    </row>
    <row r="445" spans="1:17" ht="14.85" customHeight="1" x14ac:dyDescent="0.25">
      <c r="A445" s="1699"/>
      <c r="B445" s="1678"/>
      <c r="C445" s="1160"/>
      <c r="D445" s="28" t="s">
        <v>257</v>
      </c>
      <c r="E445" s="94"/>
      <c r="F445" s="80">
        <v>58</v>
      </c>
      <c r="G445" s="80">
        <v>74</v>
      </c>
      <c r="H445" s="80">
        <v>99</v>
      </c>
      <c r="I445" s="80">
        <v>89</v>
      </c>
      <c r="J445" s="80">
        <v>87</v>
      </c>
      <c r="K445" s="80">
        <v>92</v>
      </c>
      <c r="L445" s="21"/>
    </row>
    <row r="446" spans="1:17" x14ac:dyDescent="0.25">
      <c r="A446" s="1699"/>
      <c r="B446" s="1678"/>
      <c r="C446" s="1160"/>
      <c r="D446" s="28" t="s">
        <v>263</v>
      </c>
      <c r="E446" s="94"/>
      <c r="F446" s="80">
        <v>79</v>
      </c>
      <c r="G446" s="80">
        <v>58</v>
      </c>
      <c r="H446" s="80">
        <v>91</v>
      </c>
      <c r="I446" s="80">
        <v>94</v>
      </c>
      <c r="J446" s="80">
        <v>88</v>
      </c>
      <c r="K446" s="80">
        <v>105</v>
      </c>
      <c r="L446" s="21"/>
      <c r="N446" s="64"/>
      <c r="O446" s="64"/>
      <c r="P446" s="64"/>
      <c r="Q446" s="64"/>
    </row>
    <row r="447" spans="1:17" s="64" customFormat="1" ht="16.5" thickBot="1" x14ac:dyDescent="0.3">
      <c r="A447" s="1699"/>
      <c r="B447" s="1678"/>
      <c r="C447" s="1519"/>
      <c r="D447" s="336" t="s">
        <v>270</v>
      </c>
      <c r="E447" s="128"/>
      <c r="F447" s="595">
        <f>(F446*100)/F444</f>
        <v>57.664233576642339</v>
      </c>
      <c r="G447" s="595">
        <f t="shared" ref="G447:K447" si="43">(G446*100)/G444</f>
        <v>43.939393939393938</v>
      </c>
      <c r="H447" s="595">
        <f t="shared" si="43"/>
        <v>47.89473684210526</v>
      </c>
      <c r="I447" s="595">
        <f t="shared" si="43"/>
        <v>51.366120218579233</v>
      </c>
      <c r="J447" s="595">
        <f t="shared" si="43"/>
        <v>50.285714285714285</v>
      </c>
      <c r="K447" s="595">
        <f t="shared" si="43"/>
        <v>53.299492385786799</v>
      </c>
      <c r="L447" s="352"/>
      <c r="N447" s="11"/>
      <c r="O447" s="11"/>
      <c r="P447" s="11"/>
      <c r="Q447" s="11"/>
    </row>
    <row r="448" spans="1:17" x14ac:dyDescent="0.25">
      <c r="A448" s="1699"/>
      <c r="B448" s="1678"/>
      <c r="C448" s="1159" t="s">
        <v>465</v>
      </c>
      <c r="D448" s="248" t="s">
        <v>251</v>
      </c>
      <c r="E448" s="249"/>
      <c r="F448" s="250">
        <v>156</v>
      </c>
      <c r="G448" s="250">
        <v>139</v>
      </c>
      <c r="H448" s="250">
        <v>402</v>
      </c>
      <c r="I448" s="250">
        <v>475</v>
      </c>
      <c r="J448" s="250">
        <v>666</v>
      </c>
      <c r="K448" s="250">
        <v>1030</v>
      </c>
      <c r="L448" s="20"/>
    </row>
    <row r="449" spans="1:17" ht="14.85" customHeight="1" x14ac:dyDescent="0.25">
      <c r="A449" s="1699"/>
      <c r="B449" s="1678"/>
      <c r="C449" s="1160"/>
      <c r="D449" s="28" t="s">
        <v>257</v>
      </c>
      <c r="E449" s="94"/>
      <c r="F449" s="80">
        <v>55</v>
      </c>
      <c r="G449" s="80">
        <v>56</v>
      </c>
      <c r="H449" s="80">
        <v>119</v>
      </c>
      <c r="I449" s="80">
        <v>126</v>
      </c>
      <c r="J449" s="80">
        <v>183</v>
      </c>
      <c r="K449" s="80">
        <v>317</v>
      </c>
      <c r="L449" s="21"/>
    </row>
    <row r="450" spans="1:17" x14ac:dyDescent="0.25">
      <c r="A450" s="1699"/>
      <c r="B450" s="1678"/>
      <c r="C450" s="1160"/>
      <c r="D450" s="28" t="s">
        <v>263</v>
      </c>
      <c r="E450" s="94"/>
      <c r="F450" s="80">
        <v>101</v>
      </c>
      <c r="G450" s="80">
        <v>83</v>
      </c>
      <c r="H450" s="80">
        <v>283</v>
      </c>
      <c r="I450" s="80">
        <v>349</v>
      </c>
      <c r="J450" s="80">
        <v>483</v>
      </c>
      <c r="K450" s="80">
        <v>713</v>
      </c>
      <c r="L450" s="21"/>
      <c r="N450" s="64"/>
      <c r="O450" s="64"/>
      <c r="P450" s="64"/>
      <c r="Q450" s="64"/>
    </row>
    <row r="451" spans="1:17" s="64" customFormat="1" ht="16.5" thickBot="1" x14ac:dyDescent="0.3">
      <c r="A451" s="1699"/>
      <c r="B451" s="1678"/>
      <c r="C451" s="1161"/>
      <c r="D451" s="203" t="s">
        <v>270</v>
      </c>
      <c r="E451" s="106"/>
      <c r="F451" s="251">
        <f>(F450*100)/F448</f>
        <v>64.743589743589737</v>
      </c>
      <c r="G451" s="252">
        <f t="shared" ref="G451:K451" si="44">(G450*100)/G448</f>
        <v>59.71223021582734</v>
      </c>
      <c r="H451" s="251">
        <f t="shared" si="44"/>
        <v>70.398009950248763</v>
      </c>
      <c r="I451" s="251">
        <f t="shared" si="44"/>
        <v>73.473684210526315</v>
      </c>
      <c r="J451" s="251">
        <f t="shared" si="44"/>
        <v>72.522522522522522</v>
      </c>
      <c r="K451" s="251">
        <f t="shared" si="44"/>
        <v>69.22330097087378</v>
      </c>
      <c r="L451" s="204"/>
      <c r="N451" s="11"/>
      <c r="O451" s="11"/>
      <c r="P451" s="11"/>
      <c r="Q451" s="11"/>
    </row>
    <row r="452" spans="1:17" x14ac:dyDescent="0.25">
      <c r="A452" s="1699"/>
      <c r="B452" s="1678"/>
      <c r="C452" s="1159" t="s">
        <v>524</v>
      </c>
      <c r="D452" s="248" t="s">
        <v>251</v>
      </c>
      <c r="E452" s="249"/>
      <c r="F452" s="250">
        <v>75</v>
      </c>
      <c r="G452" s="250">
        <v>84</v>
      </c>
      <c r="H452" s="250">
        <v>125</v>
      </c>
      <c r="I452" s="250">
        <v>125</v>
      </c>
      <c r="J452" s="250">
        <v>154</v>
      </c>
      <c r="K452" s="250">
        <v>177</v>
      </c>
      <c r="L452" s="20"/>
    </row>
    <row r="453" spans="1:17" ht="14.85" customHeight="1" x14ac:dyDescent="0.25">
      <c r="A453" s="1699"/>
      <c r="B453" s="1678"/>
      <c r="C453" s="1160"/>
      <c r="D453" s="28" t="s">
        <v>257</v>
      </c>
      <c r="E453" s="94"/>
      <c r="F453" s="80">
        <v>65</v>
      </c>
      <c r="G453" s="80">
        <v>71</v>
      </c>
      <c r="H453" s="80">
        <v>109</v>
      </c>
      <c r="I453" s="80">
        <v>106</v>
      </c>
      <c r="J453" s="80">
        <v>127</v>
      </c>
      <c r="K453" s="80">
        <v>144</v>
      </c>
      <c r="L453" s="21"/>
    </row>
    <row r="454" spans="1:17" x14ac:dyDescent="0.25">
      <c r="A454" s="1699"/>
      <c r="B454" s="1678"/>
      <c r="C454" s="1160"/>
      <c r="D454" s="28" t="s">
        <v>263</v>
      </c>
      <c r="E454" s="94"/>
      <c r="F454" s="80">
        <v>10</v>
      </c>
      <c r="G454" s="80">
        <v>13</v>
      </c>
      <c r="H454" s="80">
        <v>16</v>
      </c>
      <c r="I454" s="80">
        <v>19</v>
      </c>
      <c r="J454" s="80">
        <v>27</v>
      </c>
      <c r="K454" s="80">
        <v>33</v>
      </c>
      <c r="L454" s="21"/>
      <c r="N454" s="64"/>
      <c r="O454" s="64"/>
      <c r="P454" s="64"/>
      <c r="Q454" s="64"/>
    </row>
    <row r="455" spans="1:17" s="64" customFormat="1" ht="16.5" thickBot="1" x14ac:dyDescent="0.3">
      <c r="A455" s="1699"/>
      <c r="B455" s="1678"/>
      <c r="C455" s="1161"/>
      <c r="D455" s="203" t="s">
        <v>270</v>
      </c>
      <c r="E455" s="106"/>
      <c r="F455" s="253">
        <f>(F454*100)/F452</f>
        <v>13.333333333333334</v>
      </c>
      <c r="G455" s="253">
        <f t="shared" ref="G455:K455" si="45">(G454*100)/G452</f>
        <v>15.476190476190476</v>
      </c>
      <c r="H455" s="253">
        <f t="shared" si="45"/>
        <v>12.8</v>
      </c>
      <c r="I455" s="253">
        <f t="shared" si="45"/>
        <v>15.2</v>
      </c>
      <c r="J455" s="253">
        <f t="shared" si="45"/>
        <v>17.532467532467532</v>
      </c>
      <c r="K455" s="253">
        <f t="shared" si="45"/>
        <v>18.64406779661017</v>
      </c>
      <c r="L455" s="204"/>
      <c r="N455" s="11"/>
      <c r="O455" s="11"/>
      <c r="P455" s="11"/>
      <c r="Q455" s="11"/>
    </row>
    <row r="456" spans="1:17" x14ac:dyDescent="0.25">
      <c r="A456" s="1699"/>
      <c r="B456" s="1678"/>
      <c r="C456" s="1159" t="s">
        <v>556</v>
      </c>
      <c r="D456" s="248" t="s">
        <v>251</v>
      </c>
      <c r="E456" s="249"/>
      <c r="F456" s="250">
        <v>48</v>
      </c>
      <c r="G456" s="250">
        <v>41</v>
      </c>
      <c r="H456" s="250">
        <v>62</v>
      </c>
      <c r="I456" s="250">
        <v>98</v>
      </c>
      <c r="J456" s="250">
        <v>138</v>
      </c>
      <c r="K456" s="36">
        <v>161</v>
      </c>
      <c r="L456" s="20"/>
    </row>
    <row r="457" spans="1:17" ht="14.85" customHeight="1" x14ac:dyDescent="0.25">
      <c r="A457" s="1699"/>
      <c r="B457" s="1678"/>
      <c r="C457" s="1160"/>
      <c r="D457" s="28" t="s">
        <v>257</v>
      </c>
      <c r="E457" s="94"/>
      <c r="F457" s="80">
        <v>0</v>
      </c>
      <c r="G457" s="80">
        <v>0</v>
      </c>
      <c r="H457" s="80">
        <v>0</v>
      </c>
      <c r="I457" s="80">
        <v>1</v>
      </c>
      <c r="J457" s="80">
        <v>3</v>
      </c>
      <c r="K457" s="28">
        <v>9</v>
      </c>
      <c r="L457" s="21"/>
    </row>
    <row r="458" spans="1:17" x14ac:dyDescent="0.25">
      <c r="A458" s="1699"/>
      <c r="B458" s="1678"/>
      <c r="C458" s="1160"/>
      <c r="D458" s="28" t="s">
        <v>263</v>
      </c>
      <c r="E458" s="94"/>
      <c r="F458" s="80">
        <v>48</v>
      </c>
      <c r="G458" s="80">
        <v>41</v>
      </c>
      <c r="H458" s="80">
        <v>62</v>
      </c>
      <c r="I458" s="80">
        <v>97</v>
      </c>
      <c r="J458" s="80">
        <v>135</v>
      </c>
      <c r="K458" s="28">
        <v>152</v>
      </c>
      <c r="L458" s="21"/>
      <c r="N458" s="64"/>
      <c r="O458" s="64"/>
      <c r="P458" s="64"/>
      <c r="Q458" s="64"/>
    </row>
    <row r="459" spans="1:17" s="64" customFormat="1" ht="16.5" thickBot="1" x14ac:dyDescent="0.3">
      <c r="A459" s="1699"/>
      <c r="B459" s="1678"/>
      <c r="C459" s="1161"/>
      <c r="D459" s="203" t="s">
        <v>270</v>
      </c>
      <c r="E459" s="106"/>
      <c r="F459" s="251">
        <f>(F458*100)/F456</f>
        <v>100</v>
      </c>
      <c r="G459" s="251">
        <f t="shared" ref="G459:K459" si="46">(G458*100)/G456</f>
        <v>100</v>
      </c>
      <c r="H459" s="251">
        <f t="shared" si="46"/>
        <v>100</v>
      </c>
      <c r="I459" s="251">
        <f t="shared" si="46"/>
        <v>98.979591836734699</v>
      </c>
      <c r="J459" s="251">
        <f t="shared" si="46"/>
        <v>97.826086956521735</v>
      </c>
      <c r="K459" s="251">
        <f t="shared" si="46"/>
        <v>94.409937888198755</v>
      </c>
      <c r="L459" s="204"/>
      <c r="N459" s="11"/>
      <c r="O459" s="11"/>
      <c r="P459" s="11"/>
      <c r="Q459" s="11"/>
    </row>
    <row r="460" spans="1:17" x14ac:dyDescent="0.25">
      <c r="A460" s="1699"/>
      <c r="B460" s="1678"/>
      <c r="C460" s="1159" t="s">
        <v>526</v>
      </c>
      <c r="D460" s="248" t="s">
        <v>251</v>
      </c>
      <c r="E460" s="249"/>
      <c r="F460" s="344"/>
      <c r="G460" s="250"/>
      <c r="H460" s="250">
        <v>59</v>
      </c>
      <c r="I460" s="250">
        <v>58</v>
      </c>
      <c r="J460" s="250">
        <v>53</v>
      </c>
      <c r="K460" s="36">
        <v>55</v>
      </c>
      <c r="L460" s="20"/>
    </row>
    <row r="461" spans="1:17" ht="14.85" customHeight="1" x14ac:dyDescent="0.25">
      <c r="A461" s="1699"/>
      <c r="B461" s="1678"/>
      <c r="C461" s="1160"/>
      <c r="D461" s="28" t="s">
        <v>257</v>
      </c>
      <c r="E461" s="94"/>
      <c r="F461" s="181"/>
      <c r="G461" s="80"/>
      <c r="H461" s="80">
        <v>27</v>
      </c>
      <c r="I461" s="80">
        <v>24</v>
      </c>
      <c r="J461" s="80">
        <v>21</v>
      </c>
      <c r="K461" s="28">
        <v>23</v>
      </c>
      <c r="L461" s="21"/>
    </row>
    <row r="462" spans="1:17" x14ac:dyDescent="0.25">
      <c r="A462" s="1699"/>
      <c r="B462" s="1678"/>
      <c r="C462" s="1160"/>
      <c r="D462" s="28" t="s">
        <v>263</v>
      </c>
      <c r="E462" s="94"/>
      <c r="F462" s="181"/>
      <c r="G462" s="80"/>
      <c r="H462" s="80">
        <v>32</v>
      </c>
      <c r="I462" s="80">
        <v>34</v>
      </c>
      <c r="J462" s="80">
        <v>32</v>
      </c>
      <c r="K462" s="28">
        <v>32</v>
      </c>
      <c r="L462" s="21"/>
      <c r="N462" s="64"/>
      <c r="O462" s="64"/>
      <c r="P462" s="64"/>
      <c r="Q462" s="64"/>
    </row>
    <row r="463" spans="1:17" s="64" customFormat="1" ht="16.5" thickBot="1" x14ac:dyDescent="0.3">
      <c r="A463" s="1699"/>
      <c r="B463" s="1678"/>
      <c r="C463" s="1161"/>
      <c r="D463" s="203" t="s">
        <v>270</v>
      </c>
      <c r="E463" s="106"/>
      <c r="F463" s="197"/>
      <c r="G463" s="197"/>
      <c r="H463" s="252">
        <f>(H462*100)/H460</f>
        <v>54.237288135593218</v>
      </c>
      <c r="I463" s="252">
        <f t="shared" ref="I463:K463" si="47">(I462*100)/I460</f>
        <v>58.620689655172413</v>
      </c>
      <c r="J463" s="251">
        <f t="shared" si="47"/>
        <v>60.377358490566039</v>
      </c>
      <c r="K463" s="251">
        <f t="shared" si="47"/>
        <v>58.18181818181818</v>
      </c>
      <c r="L463" s="204"/>
      <c r="N463" s="11"/>
      <c r="O463" s="11"/>
      <c r="P463" s="11"/>
      <c r="Q463" s="11"/>
    </row>
    <row r="464" spans="1:17" x14ac:dyDescent="0.25">
      <c r="A464" s="1699"/>
      <c r="B464" s="1678"/>
      <c r="C464" s="1159" t="s">
        <v>482</v>
      </c>
      <c r="D464" s="248" t="s">
        <v>251</v>
      </c>
      <c r="E464" s="249"/>
      <c r="F464" s="250">
        <v>176</v>
      </c>
      <c r="G464" s="250">
        <v>175</v>
      </c>
      <c r="H464" s="250">
        <v>219</v>
      </c>
      <c r="I464" s="250">
        <v>184</v>
      </c>
      <c r="J464" s="250">
        <v>159</v>
      </c>
      <c r="K464" s="902">
        <v>149</v>
      </c>
      <c r="L464" s="945"/>
    </row>
    <row r="465" spans="1:17" ht="14.85" customHeight="1" x14ac:dyDescent="0.25">
      <c r="A465" s="1699"/>
      <c r="B465" s="1678"/>
      <c r="C465" s="1160"/>
      <c r="D465" s="28" t="s">
        <v>257</v>
      </c>
      <c r="E465" s="94"/>
      <c r="F465" s="80">
        <v>100</v>
      </c>
      <c r="G465" s="80">
        <v>81</v>
      </c>
      <c r="H465" s="80">
        <v>102</v>
      </c>
      <c r="I465" s="80">
        <v>91</v>
      </c>
      <c r="J465" s="80">
        <v>76</v>
      </c>
      <c r="K465" s="83">
        <v>69</v>
      </c>
      <c r="L465" s="601"/>
    </row>
    <row r="466" spans="1:17" x14ac:dyDescent="0.25">
      <c r="A466" s="1699"/>
      <c r="B466" s="1678"/>
      <c r="C466" s="1160"/>
      <c r="D466" s="28" t="s">
        <v>263</v>
      </c>
      <c r="E466" s="94"/>
      <c r="F466" s="80">
        <v>76</v>
      </c>
      <c r="G466" s="80">
        <v>94</v>
      </c>
      <c r="H466" s="80">
        <v>117</v>
      </c>
      <c r="I466" s="80">
        <v>93</v>
      </c>
      <c r="J466" s="80">
        <v>83</v>
      </c>
      <c r="K466" s="83">
        <v>80</v>
      </c>
      <c r="L466" s="601"/>
      <c r="N466" s="64"/>
      <c r="O466" s="64"/>
      <c r="P466" s="64"/>
      <c r="Q466" s="64"/>
    </row>
    <row r="467" spans="1:17" s="64" customFormat="1" ht="16.5" thickBot="1" x14ac:dyDescent="0.3">
      <c r="A467" s="1699"/>
      <c r="B467" s="1678"/>
      <c r="C467" s="1519"/>
      <c r="D467" s="336" t="s">
        <v>270</v>
      </c>
      <c r="E467" s="128"/>
      <c r="F467" s="595">
        <f>(F466*100)/F464</f>
        <v>43.18181818181818</v>
      </c>
      <c r="G467" s="595">
        <f t="shared" ref="G467:K467" si="48">(G466*100)/G464</f>
        <v>53.714285714285715</v>
      </c>
      <c r="H467" s="595">
        <f t="shared" si="48"/>
        <v>53.424657534246577</v>
      </c>
      <c r="I467" s="595">
        <f t="shared" si="48"/>
        <v>50.543478260869563</v>
      </c>
      <c r="J467" s="595">
        <f t="shared" si="48"/>
        <v>52.20125786163522</v>
      </c>
      <c r="K467" s="947">
        <f t="shared" si="48"/>
        <v>53.691275167785236</v>
      </c>
      <c r="L467" s="946"/>
      <c r="N467" s="11"/>
      <c r="O467" s="11"/>
      <c r="P467" s="11"/>
      <c r="Q467" s="11"/>
    </row>
    <row r="468" spans="1:17" x14ac:dyDescent="0.25">
      <c r="A468" s="1699"/>
      <c r="B468" s="1678"/>
      <c r="C468" s="1159" t="s">
        <v>552</v>
      </c>
      <c r="D468" s="248" t="s">
        <v>251</v>
      </c>
      <c r="E468" s="249"/>
      <c r="F468" s="250">
        <v>455</v>
      </c>
      <c r="G468" s="250">
        <v>539</v>
      </c>
      <c r="H468" s="250">
        <v>673</v>
      </c>
      <c r="I468" s="250">
        <v>565</v>
      </c>
      <c r="J468" s="250">
        <v>461</v>
      </c>
      <c r="K468" s="250">
        <v>490</v>
      </c>
      <c r="L468" s="20"/>
    </row>
    <row r="469" spans="1:17" ht="14.85" customHeight="1" x14ac:dyDescent="0.25">
      <c r="A469" s="1699"/>
      <c r="B469" s="1678"/>
      <c r="C469" s="1160"/>
      <c r="D469" s="28" t="s">
        <v>257</v>
      </c>
      <c r="E469" s="94"/>
      <c r="F469" s="80">
        <v>64</v>
      </c>
      <c r="G469" s="80">
        <v>52</v>
      </c>
      <c r="H469" s="80">
        <v>84</v>
      </c>
      <c r="I469" s="80">
        <v>62</v>
      </c>
      <c r="J469" s="80">
        <v>69</v>
      </c>
      <c r="K469" s="80">
        <v>103</v>
      </c>
      <c r="L469" s="21"/>
    </row>
    <row r="470" spans="1:17" x14ac:dyDescent="0.25">
      <c r="A470" s="1699"/>
      <c r="B470" s="1678"/>
      <c r="C470" s="1160"/>
      <c r="D470" s="28" t="s">
        <v>263</v>
      </c>
      <c r="E470" s="94"/>
      <c r="F470" s="80">
        <v>391</v>
      </c>
      <c r="G470" s="80">
        <v>487</v>
      </c>
      <c r="H470" s="80">
        <v>589</v>
      </c>
      <c r="I470" s="80">
        <v>503</v>
      </c>
      <c r="J470" s="80">
        <v>392</v>
      </c>
      <c r="K470" s="243">
        <v>387</v>
      </c>
      <c r="L470" s="21"/>
      <c r="N470" s="64"/>
      <c r="O470" s="64"/>
      <c r="P470" s="64"/>
      <c r="Q470" s="64"/>
    </row>
    <row r="471" spans="1:17" s="64" customFormat="1" ht="16.5" thickBot="1" x14ac:dyDescent="0.3">
      <c r="A471" s="1699"/>
      <c r="B471" s="1678"/>
      <c r="C471" s="1161"/>
      <c r="D471" s="203" t="s">
        <v>270</v>
      </c>
      <c r="E471" s="106"/>
      <c r="F471" s="251">
        <f>(F470*100)/F468</f>
        <v>85.934065934065927</v>
      </c>
      <c r="G471" s="251">
        <f t="shared" ref="G471:K471" si="49">(G470*100)/G468</f>
        <v>90.352504638218917</v>
      </c>
      <c r="H471" s="251">
        <f t="shared" si="49"/>
        <v>87.518573551263003</v>
      </c>
      <c r="I471" s="251">
        <f t="shared" si="49"/>
        <v>89.026548672566378</v>
      </c>
      <c r="J471" s="251">
        <f t="shared" si="49"/>
        <v>85.032537960954443</v>
      </c>
      <c r="K471" s="251">
        <f t="shared" si="49"/>
        <v>78.979591836734699</v>
      </c>
      <c r="L471" s="204"/>
      <c r="N471" s="11"/>
      <c r="O471" s="11"/>
      <c r="P471" s="11"/>
      <c r="Q471" s="11"/>
    </row>
    <row r="472" spans="1:17" x14ac:dyDescent="0.25">
      <c r="A472" s="1699"/>
      <c r="B472" s="1678"/>
      <c r="C472" s="1159" t="s">
        <v>480</v>
      </c>
      <c r="D472" s="248" t="s">
        <v>251</v>
      </c>
      <c r="E472" s="249"/>
      <c r="F472" s="250">
        <v>260</v>
      </c>
      <c r="G472" s="250">
        <v>336</v>
      </c>
      <c r="H472" s="250">
        <v>391</v>
      </c>
      <c r="I472" s="250">
        <v>345</v>
      </c>
      <c r="J472" s="250">
        <v>273</v>
      </c>
      <c r="K472" s="250">
        <v>311</v>
      </c>
      <c r="L472" s="20"/>
    </row>
    <row r="473" spans="1:17" ht="14.85" customHeight="1" x14ac:dyDescent="0.25">
      <c r="A473" s="1699"/>
      <c r="B473" s="1678"/>
      <c r="C473" s="1160"/>
      <c r="D473" s="28" t="s">
        <v>257</v>
      </c>
      <c r="E473" s="94"/>
      <c r="F473" s="80">
        <v>129</v>
      </c>
      <c r="G473" s="80">
        <v>141</v>
      </c>
      <c r="H473" s="80">
        <v>164</v>
      </c>
      <c r="I473" s="80">
        <v>145</v>
      </c>
      <c r="J473" s="80">
        <v>120</v>
      </c>
      <c r="K473" s="80">
        <v>131</v>
      </c>
      <c r="L473" s="21"/>
    </row>
    <row r="474" spans="1:17" x14ac:dyDescent="0.25">
      <c r="A474" s="1699"/>
      <c r="B474" s="1678"/>
      <c r="C474" s="1160"/>
      <c r="D474" s="28" t="s">
        <v>263</v>
      </c>
      <c r="E474" s="94"/>
      <c r="F474" s="80">
        <v>131</v>
      </c>
      <c r="G474" s="80">
        <v>195</v>
      </c>
      <c r="H474" s="80">
        <v>227</v>
      </c>
      <c r="I474" s="80">
        <v>200</v>
      </c>
      <c r="J474" s="80">
        <v>153</v>
      </c>
      <c r="K474" s="80">
        <v>180</v>
      </c>
      <c r="L474" s="21"/>
    </row>
    <row r="475" spans="1:17" s="64" customFormat="1" ht="16.5" thickBot="1" x14ac:dyDescent="0.3">
      <c r="A475" s="1699"/>
      <c r="B475" s="1678"/>
      <c r="C475" s="1161"/>
      <c r="D475" s="203" t="s">
        <v>270</v>
      </c>
      <c r="E475" s="106"/>
      <c r="F475" s="252">
        <f>(F474*100)/F472</f>
        <v>50.384615384615387</v>
      </c>
      <c r="G475" s="252">
        <f t="shared" ref="G475:K475" si="50">(G474*100)/G472</f>
        <v>58.035714285714285</v>
      </c>
      <c r="H475" s="252">
        <f t="shared" si="50"/>
        <v>58.056265984654729</v>
      </c>
      <c r="I475" s="252">
        <f t="shared" si="50"/>
        <v>57.971014492753625</v>
      </c>
      <c r="J475" s="252">
        <f t="shared" si="50"/>
        <v>56.043956043956044</v>
      </c>
      <c r="K475" s="252">
        <f t="shared" si="50"/>
        <v>57.877813504823152</v>
      </c>
      <c r="L475" s="204"/>
    </row>
    <row r="476" spans="1:17" x14ac:dyDescent="0.25">
      <c r="A476" s="1699"/>
      <c r="B476" s="1678"/>
      <c r="C476" s="1159" t="s">
        <v>532</v>
      </c>
      <c r="D476" s="248" t="s">
        <v>251</v>
      </c>
      <c r="E476" s="249"/>
      <c r="F476" s="250">
        <v>99</v>
      </c>
      <c r="G476" s="250">
        <v>116</v>
      </c>
      <c r="H476" s="250">
        <v>160</v>
      </c>
      <c r="I476" s="250">
        <v>229</v>
      </c>
      <c r="J476" s="250">
        <v>243</v>
      </c>
      <c r="K476" s="36">
        <v>244</v>
      </c>
      <c r="L476" s="20"/>
    </row>
    <row r="477" spans="1:17" ht="14.85" customHeight="1" x14ac:dyDescent="0.25">
      <c r="A477" s="1699"/>
      <c r="B477" s="1678"/>
      <c r="C477" s="1160"/>
      <c r="D477" s="28" t="s">
        <v>257</v>
      </c>
      <c r="E477" s="94"/>
      <c r="F477" s="80">
        <v>56</v>
      </c>
      <c r="G477" s="80">
        <v>59</v>
      </c>
      <c r="H477" s="80">
        <v>86</v>
      </c>
      <c r="I477" s="80">
        <v>121</v>
      </c>
      <c r="J477" s="80">
        <v>126</v>
      </c>
      <c r="K477" s="122">
        <v>133</v>
      </c>
      <c r="L477" s="21"/>
    </row>
    <row r="478" spans="1:17" x14ac:dyDescent="0.25">
      <c r="A478" s="1699"/>
      <c r="B478" s="1678"/>
      <c r="C478" s="1160"/>
      <c r="D478" s="28" t="s">
        <v>263</v>
      </c>
      <c r="E478" s="94"/>
      <c r="F478" s="80">
        <v>43</v>
      </c>
      <c r="G478" s="80">
        <v>57</v>
      </c>
      <c r="H478" s="80">
        <v>74</v>
      </c>
      <c r="I478" s="80">
        <v>108</v>
      </c>
      <c r="J478" s="80">
        <v>117</v>
      </c>
      <c r="K478" s="122">
        <v>111</v>
      </c>
      <c r="L478" s="21"/>
    </row>
    <row r="479" spans="1:17" s="64" customFormat="1" ht="16.5" thickBot="1" x14ac:dyDescent="0.3">
      <c r="A479" s="1699"/>
      <c r="B479" s="1678"/>
      <c r="C479" s="1161"/>
      <c r="D479" s="203" t="s">
        <v>270</v>
      </c>
      <c r="E479" s="106"/>
      <c r="F479" s="252">
        <f>(F478*100)/F476</f>
        <v>43.434343434343432</v>
      </c>
      <c r="G479" s="252">
        <f>(G478*100)/G476</f>
        <v>49.137931034482762</v>
      </c>
      <c r="H479" s="252">
        <f>(H478*100)/H476</f>
        <v>46.25</v>
      </c>
      <c r="I479" s="252">
        <f t="shared" ref="I479:K479" si="51">(I478*100)/I476</f>
        <v>47.161572052401745</v>
      </c>
      <c r="J479" s="252">
        <f t="shared" si="51"/>
        <v>48.148148148148145</v>
      </c>
      <c r="K479" s="252">
        <f t="shared" si="51"/>
        <v>45.491803278688522</v>
      </c>
      <c r="L479" s="204"/>
    </row>
    <row r="480" spans="1:17" x14ac:dyDescent="0.25">
      <c r="A480" s="1699"/>
      <c r="B480" s="1678"/>
      <c r="C480" s="1159" t="s">
        <v>539</v>
      </c>
      <c r="D480" s="248" t="s">
        <v>251</v>
      </c>
      <c r="E480" s="249"/>
      <c r="F480" s="250">
        <v>178</v>
      </c>
      <c r="G480" s="250">
        <v>180</v>
      </c>
      <c r="H480" s="250">
        <v>193</v>
      </c>
      <c r="I480" s="250">
        <v>195</v>
      </c>
      <c r="J480" s="250">
        <v>174</v>
      </c>
      <c r="K480" s="250">
        <v>179</v>
      </c>
      <c r="L480" s="20"/>
    </row>
    <row r="481" spans="1:12" ht="14.85" customHeight="1" x14ac:dyDescent="0.25">
      <c r="A481" s="1699"/>
      <c r="B481" s="1678"/>
      <c r="C481" s="1160"/>
      <c r="D481" s="28" t="s">
        <v>257</v>
      </c>
      <c r="E481" s="94"/>
      <c r="F481" s="80">
        <v>141</v>
      </c>
      <c r="G481" s="80">
        <v>145</v>
      </c>
      <c r="H481" s="80">
        <v>139</v>
      </c>
      <c r="I481" s="80">
        <v>145</v>
      </c>
      <c r="J481" s="80">
        <v>125</v>
      </c>
      <c r="K481" s="80">
        <v>121</v>
      </c>
      <c r="L481" s="21"/>
    </row>
    <row r="482" spans="1:12" x14ac:dyDescent="0.25">
      <c r="A482" s="1699"/>
      <c r="B482" s="1678"/>
      <c r="C482" s="1160"/>
      <c r="D482" s="28" t="s">
        <v>263</v>
      </c>
      <c r="E482" s="94"/>
      <c r="F482" s="80">
        <v>37</v>
      </c>
      <c r="G482" s="80">
        <v>35</v>
      </c>
      <c r="H482" s="80">
        <v>54</v>
      </c>
      <c r="I482" s="80">
        <v>50</v>
      </c>
      <c r="J482" s="80">
        <v>49</v>
      </c>
      <c r="K482" s="80">
        <v>58</v>
      </c>
      <c r="L482" s="21"/>
    </row>
    <row r="483" spans="1:12" s="64" customFormat="1" ht="16.5" thickBot="1" x14ac:dyDescent="0.3">
      <c r="A483" s="1699"/>
      <c r="B483" s="1678"/>
      <c r="C483" s="1161"/>
      <c r="D483" s="203" t="s">
        <v>270</v>
      </c>
      <c r="E483" s="106"/>
      <c r="F483" s="253">
        <f>(F482*100)/F480</f>
        <v>20.786516853932586</v>
      </c>
      <c r="G483" s="253">
        <f t="shared" ref="G483:K483" si="52">(G482*100)/G480</f>
        <v>19.444444444444443</v>
      </c>
      <c r="H483" s="253">
        <f t="shared" si="52"/>
        <v>27.979274611398964</v>
      </c>
      <c r="I483" s="253">
        <f t="shared" si="52"/>
        <v>25.641025641025642</v>
      </c>
      <c r="J483" s="253">
        <f t="shared" si="52"/>
        <v>28.160919540229884</v>
      </c>
      <c r="K483" s="253">
        <f t="shared" si="52"/>
        <v>32.402234636871505</v>
      </c>
      <c r="L483" s="204"/>
    </row>
    <row r="484" spans="1:12" x14ac:dyDescent="0.25">
      <c r="A484" s="1699"/>
      <c r="B484" s="1678"/>
      <c r="C484" s="1159" t="s">
        <v>468</v>
      </c>
      <c r="D484" s="248" t="s">
        <v>251</v>
      </c>
      <c r="E484" s="249"/>
      <c r="F484" s="250">
        <v>52</v>
      </c>
      <c r="G484" s="250">
        <v>44</v>
      </c>
      <c r="H484" s="250">
        <v>60</v>
      </c>
      <c r="I484" s="250">
        <v>49</v>
      </c>
      <c r="J484" s="250">
        <v>47</v>
      </c>
      <c r="K484" s="36">
        <v>44</v>
      </c>
      <c r="L484" s="20"/>
    </row>
    <row r="485" spans="1:12" ht="14.85" customHeight="1" x14ac:dyDescent="0.25">
      <c r="A485" s="1699"/>
      <c r="B485" s="1678"/>
      <c r="C485" s="1160"/>
      <c r="D485" s="28" t="s">
        <v>257</v>
      </c>
      <c r="E485" s="94"/>
      <c r="F485" s="80">
        <v>20</v>
      </c>
      <c r="G485" s="80">
        <v>16</v>
      </c>
      <c r="H485" s="80">
        <v>24</v>
      </c>
      <c r="I485" s="80">
        <v>18</v>
      </c>
      <c r="J485" s="80">
        <v>16</v>
      </c>
      <c r="K485" s="28">
        <v>15</v>
      </c>
      <c r="L485" s="21"/>
    </row>
    <row r="486" spans="1:12" x14ac:dyDescent="0.25">
      <c r="A486" s="1699"/>
      <c r="B486" s="1678"/>
      <c r="C486" s="1160"/>
      <c r="D486" s="28" t="s">
        <v>263</v>
      </c>
      <c r="E486" s="94"/>
      <c r="F486" s="80">
        <v>32</v>
      </c>
      <c r="G486" s="80">
        <v>28</v>
      </c>
      <c r="H486" s="80">
        <v>36</v>
      </c>
      <c r="I486" s="80">
        <v>31</v>
      </c>
      <c r="J486" s="80">
        <v>31</v>
      </c>
      <c r="K486" s="28">
        <v>29</v>
      </c>
      <c r="L486" s="21"/>
    </row>
    <row r="487" spans="1:12" s="64" customFormat="1" ht="16.5" thickBot="1" x14ac:dyDescent="0.3">
      <c r="A487" s="1699"/>
      <c r="B487" s="1678"/>
      <c r="C487" s="1161"/>
      <c r="D487" s="203" t="s">
        <v>270</v>
      </c>
      <c r="E487" s="106"/>
      <c r="F487" s="251">
        <f t="shared" ref="F487:K487" si="53">(F486*100)/F484</f>
        <v>61.53846153846154</v>
      </c>
      <c r="G487" s="251">
        <f t="shared" si="53"/>
        <v>63.636363636363633</v>
      </c>
      <c r="H487" s="251">
        <f t="shared" si="53"/>
        <v>60</v>
      </c>
      <c r="I487" s="251">
        <f t="shared" si="53"/>
        <v>63.265306122448976</v>
      </c>
      <c r="J487" s="251">
        <f t="shared" si="53"/>
        <v>65.957446808510639</v>
      </c>
      <c r="K487" s="251">
        <f t="shared" si="53"/>
        <v>65.909090909090907</v>
      </c>
      <c r="L487" s="204"/>
    </row>
    <row r="488" spans="1:12" x14ac:dyDescent="0.25">
      <c r="A488" s="1699"/>
      <c r="B488" s="1678"/>
      <c r="C488" s="1159" t="s">
        <v>559</v>
      </c>
      <c r="D488" s="248" t="s">
        <v>251</v>
      </c>
      <c r="E488" s="249"/>
      <c r="F488" s="250">
        <v>50</v>
      </c>
      <c r="G488" s="250">
        <v>54</v>
      </c>
      <c r="H488" s="250">
        <v>60</v>
      </c>
      <c r="I488" s="250">
        <v>48</v>
      </c>
      <c r="J488" s="250">
        <v>51</v>
      </c>
      <c r="K488" s="36">
        <v>46</v>
      </c>
      <c r="L488" s="20"/>
    </row>
    <row r="489" spans="1:12" ht="14.85" customHeight="1" x14ac:dyDescent="0.25">
      <c r="A489" s="1699"/>
      <c r="B489" s="1678"/>
      <c r="C489" s="1160"/>
      <c r="D489" s="28" t="s">
        <v>257</v>
      </c>
      <c r="E489" s="94"/>
      <c r="F489" s="80">
        <v>50</v>
      </c>
      <c r="G489" s="80">
        <v>52</v>
      </c>
      <c r="H489" s="80">
        <v>60</v>
      </c>
      <c r="I489" s="80">
        <v>48</v>
      </c>
      <c r="J489" s="80">
        <v>51</v>
      </c>
      <c r="K489" s="28">
        <v>46</v>
      </c>
      <c r="L489" s="21"/>
    </row>
    <row r="490" spans="1:12" x14ac:dyDescent="0.25">
      <c r="A490" s="1699"/>
      <c r="B490" s="1678"/>
      <c r="C490" s="1160"/>
      <c r="D490" s="28" t="s">
        <v>263</v>
      </c>
      <c r="E490" s="94"/>
      <c r="F490" s="80">
        <v>0</v>
      </c>
      <c r="G490" s="80">
        <v>2</v>
      </c>
      <c r="H490" s="80">
        <v>0</v>
      </c>
      <c r="I490" s="80">
        <v>0</v>
      </c>
      <c r="J490" s="80">
        <v>0</v>
      </c>
      <c r="K490" s="28">
        <v>0</v>
      </c>
      <c r="L490" s="21"/>
    </row>
    <row r="491" spans="1:12" s="64" customFormat="1" ht="16.5" thickBot="1" x14ac:dyDescent="0.3">
      <c r="A491" s="1699"/>
      <c r="B491" s="1678"/>
      <c r="C491" s="1161"/>
      <c r="D491" s="203" t="s">
        <v>270</v>
      </c>
      <c r="E491" s="106"/>
      <c r="F491" s="253">
        <f>(F490*100)/F488</f>
        <v>0</v>
      </c>
      <c r="G491" s="253">
        <f t="shared" ref="G491:K491" si="54">(G490*100)/G488</f>
        <v>3.7037037037037037</v>
      </c>
      <c r="H491" s="253">
        <f t="shared" si="54"/>
        <v>0</v>
      </c>
      <c r="I491" s="253">
        <f t="shared" si="54"/>
        <v>0</v>
      </c>
      <c r="J491" s="253">
        <f t="shared" si="54"/>
        <v>0</v>
      </c>
      <c r="K491" s="253">
        <f t="shared" si="54"/>
        <v>0</v>
      </c>
      <c r="L491" s="204"/>
    </row>
    <row r="492" spans="1:12" x14ac:dyDescent="0.25">
      <c r="A492" s="1699"/>
      <c r="B492" s="1678"/>
      <c r="C492" s="1159" t="s">
        <v>522</v>
      </c>
      <c r="D492" s="248" t="s">
        <v>251</v>
      </c>
      <c r="E492" s="249"/>
      <c r="F492" s="250">
        <v>90</v>
      </c>
      <c r="G492" s="250">
        <v>66</v>
      </c>
      <c r="H492" s="250">
        <v>72</v>
      </c>
      <c r="I492" s="250">
        <v>72</v>
      </c>
      <c r="J492" s="250">
        <v>77</v>
      </c>
      <c r="K492" s="36">
        <v>89</v>
      </c>
      <c r="L492" s="20"/>
    </row>
    <row r="493" spans="1:12" ht="14.85" customHeight="1" x14ac:dyDescent="0.25">
      <c r="A493" s="1699"/>
      <c r="B493" s="1678"/>
      <c r="C493" s="1160"/>
      <c r="D493" s="28" t="s">
        <v>257</v>
      </c>
      <c r="E493" s="94"/>
      <c r="F493" s="80">
        <v>86</v>
      </c>
      <c r="G493" s="80">
        <v>64</v>
      </c>
      <c r="H493" s="80">
        <v>69</v>
      </c>
      <c r="I493" s="80">
        <v>70</v>
      </c>
      <c r="J493" s="80">
        <v>71</v>
      </c>
      <c r="K493" s="28">
        <v>82</v>
      </c>
      <c r="L493" s="21"/>
    </row>
    <row r="494" spans="1:12" x14ac:dyDescent="0.25">
      <c r="A494" s="1699"/>
      <c r="B494" s="1678"/>
      <c r="C494" s="1160"/>
      <c r="D494" s="28" t="s">
        <v>263</v>
      </c>
      <c r="E494" s="94"/>
      <c r="F494" s="80">
        <v>4</v>
      </c>
      <c r="G494" s="80">
        <v>2</v>
      </c>
      <c r="H494" s="80">
        <v>3</v>
      </c>
      <c r="I494" s="80">
        <v>2</v>
      </c>
      <c r="J494" s="80">
        <v>6</v>
      </c>
      <c r="K494" s="28">
        <v>7</v>
      </c>
      <c r="L494" s="21"/>
    </row>
    <row r="495" spans="1:12" s="64" customFormat="1" ht="16.5" thickBot="1" x14ac:dyDescent="0.3">
      <c r="A495" s="1699"/>
      <c r="B495" s="1678"/>
      <c r="C495" s="1161"/>
      <c r="D495" s="203" t="s">
        <v>270</v>
      </c>
      <c r="E495" s="106"/>
      <c r="F495" s="253">
        <f>(F494*100)/F492</f>
        <v>4.4444444444444446</v>
      </c>
      <c r="G495" s="253">
        <f t="shared" ref="G495:K495" si="55">(G494*100)/G492</f>
        <v>3.0303030303030303</v>
      </c>
      <c r="H495" s="253">
        <f t="shared" si="55"/>
        <v>4.166666666666667</v>
      </c>
      <c r="I495" s="253">
        <f t="shared" si="55"/>
        <v>2.7777777777777777</v>
      </c>
      <c r="J495" s="253">
        <f t="shared" si="55"/>
        <v>7.7922077922077921</v>
      </c>
      <c r="K495" s="253">
        <f t="shared" si="55"/>
        <v>7.8651685393258424</v>
      </c>
      <c r="L495" s="204"/>
    </row>
    <row r="496" spans="1:12" x14ac:dyDescent="0.25">
      <c r="A496" s="1699"/>
      <c r="B496" s="1678"/>
      <c r="C496" s="1159" t="s">
        <v>561</v>
      </c>
      <c r="D496" s="248" t="s">
        <v>251</v>
      </c>
      <c r="E496" s="249"/>
      <c r="F496" s="250"/>
      <c r="G496" s="250"/>
      <c r="H496" s="250">
        <v>15</v>
      </c>
      <c r="I496" s="250">
        <v>27</v>
      </c>
      <c r="J496" s="250">
        <v>16</v>
      </c>
      <c r="K496" s="809">
        <v>1</v>
      </c>
      <c r="L496" s="20"/>
    </row>
    <row r="497" spans="1:12" ht="14.85" customHeight="1" x14ac:dyDescent="0.25">
      <c r="A497" s="1699"/>
      <c r="B497" s="1678"/>
      <c r="C497" s="1160"/>
      <c r="D497" s="28" t="s">
        <v>257</v>
      </c>
      <c r="E497" s="94"/>
      <c r="F497" s="80"/>
      <c r="G497" s="80"/>
      <c r="H497" s="80">
        <v>5</v>
      </c>
      <c r="I497" s="80">
        <v>13</v>
      </c>
      <c r="J497" s="80">
        <v>10</v>
      </c>
      <c r="K497" s="280">
        <v>1</v>
      </c>
      <c r="L497" s="21"/>
    </row>
    <row r="498" spans="1:12" x14ac:dyDescent="0.25">
      <c r="A498" s="1699"/>
      <c r="B498" s="1678"/>
      <c r="C498" s="1160"/>
      <c r="D498" s="28" t="s">
        <v>263</v>
      </c>
      <c r="E498" s="94"/>
      <c r="F498" s="80"/>
      <c r="G498" s="80"/>
      <c r="H498" s="80">
        <v>10</v>
      </c>
      <c r="I498" s="80">
        <v>14</v>
      </c>
      <c r="J498" s="80">
        <v>6</v>
      </c>
      <c r="K498" s="280">
        <v>0</v>
      </c>
      <c r="L498" s="21"/>
    </row>
    <row r="499" spans="1:12" s="64" customFormat="1" ht="16.5" thickBot="1" x14ac:dyDescent="0.3">
      <c r="A499" s="1699"/>
      <c r="B499" s="1678"/>
      <c r="C499" s="1161"/>
      <c r="D499" s="203" t="s">
        <v>270</v>
      </c>
      <c r="E499" s="106"/>
      <c r="F499" s="197"/>
      <c r="G499" s="197"/>
      <c r="H499" s="251">
        <f>(H498*100)/H496</f>
        <v>66.666666666666671</v>
      </c>
      <c r="I499" s="252">
        <f t="shared" ref="I499:K499" si="56">(I498*100)/I496</f>
        <v>51.851851851851855</v>
      </c>
      <c r="J499" s="253">
        <f t="shared" si="56"/>
        <v>37.5</v>
      </c>
      <c r="K499" s="253">
        <f t="shared" si="56"/>
        <v>0</v>
      </c>
      <c r="L499" s="204"/>
    </row>
    <row r="500" spans="1:12" x14ac:dyDescent="0.25">
      <c r="A500" s="1699"/>
      <c r="B500" s="1678"/>
      <c r="C500" s="1159" t="s">
        <v>562</v>
      </c>
      <c r="D500" s="248" t="s">
        <v>251</v>
      </c>
      <c r="E500" s="249"/>
      <c r="F500" s="225"/>
      <c r="G500" s="225"/>
      <c r="H500" s="225"/>
      <c r="I500" s="225">
        <v>10</v>
      </c>
      <c r="J500" s="225">
        <v>15</v>
      </c>
      <c r="K500" s="36">
        <v>12</v>
      </c>
      <c r="L500" s="20"/>
    </row>
    <row r="501" spans="1:12" ht="14.85" customHeight="1" x14ac:dyDescent="0.25">
      <c r="A501" s="1699"/>
      <c r="B501" s="1678"/>
      <c r="C501" s="1160"/>
      <c r="D501" s="28" t="s">
        <v>257</v>
      </c>
      <c r="E501" s="94"/>
      <c r="F501" s="96"/>
      <c r="G501" s="96"/>
      <c r="H501" s="96"/>
      <c r="I501" s="96">
        <v>8</v>
      </c>
      <c r="J501" s="96">
        <v>3</v>
      </c>
      <c r="K501" s="28">
        <v>10</v>
      </c>
      <c r="L501" s="21"/>
    </row>
    <row r="502" spans="1:12" x14ac:dyDescent="0.25">
      <c r="A502" s="1699"/>
      <c r="B502" s="1678"/>
      <c r="C502" s="1160"/>
      <c r="D502" s="28" t="s">
        <v>263</v>
      </c>
      <c r="E502" s="94"/>
      <c r="F502" s="96"/>
      <c r="G502" s="96"/>
      <c r="H502" s="96"/>
      <c r="I502" s="96">
        <v>2</v>
      </c>
      <c r="J502" s="96">
        <v>2</v>
      </c>
      <c r="K502" s="28">
        <v>2</v>
      </c>
      <c r="L502" s="21"/>
    </row>
    <row r="503" spans="1:12" s="64" customFormat="1" ht="16.5" thickBot="1" x14ac:dyDescent="0.3">
      <c r="A503" s="1699"/>
      <c r="B503" s="1678"/>
      <c r="C503" s="1161"/>
      <c r="D503" s="203" t="s">
        <v>270</v>
      </c>
      <c r="E503" s="106"/>
      <c r="F503" s="197"/>
      <c r="G503" s="197"/>
      <c r="H503" s="197"/>
      <c r="I503" s="258">
        <f t="shared" ref="I503" si="57">(I502*100)/I500</f>
        <v>20</v>
      </c>
      <c r="J503" s="258">
        <f t="shared" ref="J503:K503" si="58">(J502*100)/J500</f>
        <v>13.333333333333334</v>
      </c>
      <c r="K503" s="258">
        <f t="shared" si="58"/>
        <v>16.666666666666668</v>
      </c>
      <c r="L503" s="204"/>
    </row>
    <row r="504" spans="1:12" x14ac:dyDescent="0.25">
      <c r="A504" s="1699"/>
      <c r="B504" s="1678"/>
      <c r="C504" s="1166" t="s">
        <v>472</v>
      </c>
      <c r="D504" s="308" t="s">
        <v>473</v>
      </c>
      <c r="E504" s="249"/>
      <c r="F504" s="261">
        <f>4/12*100</f>
        <v>33.333333333333329</v>
      </c>
      <c r="G504" s="261">
        <f>4/12*100</f>
        <v>33.333333333333329</v>
      </c>
      <c r="H504" s="261">
        <f>4/14*100</f>
        <v>28.571428571428569</v>
      </c>
      <c r="I504" s="261">
        <f>5/15*100</f>
        <v>33.333333333333329</v>
      </c>
      <c r="J504" s="261">
        <f>6/15*100</f>
        <v>40</v>
      </c>
      <c r="K504" s="261">
        <f>6/15*100</f>
        <v>40</v>
      </c>
      <c r="L504" s="20"/>
    </row>
    <row r="505" spans="1:12" x14ac:dyDescent="0.25">
      <c r="A505" s="1699"/>
      <c r="B505" s="1678"/>
      <c r="C505" s="1167"/>
      <c r="D505" s="232" t="s">
        <v>474</v>
      </c>
      <c r="E505" s="94"/>
      <c r="F505" s="234">
        <f>4/12*100</f>
        <v>33.333333333333329</v>
      </c>
      <c r="G505" s="234">
        <f>3/12*100</f>
        <v>25</v>
      </c>
      <c r="H505" s="234">
        <f>5/14*100</f>
        <v>35.714285714285715</v>
      </c>
      <c r="I505" s="234">
        <f>4/15*100</f>
        <v>26.666666666666668</v>
      </c>
      <c r="J505" s="234">
        <f>5/15*100</f>
        <v>33.333333333333329</v>
      </c>
      <c r="K505" s="234">
        <f>5/15*100</f>
        <v>33.333333333333329</v>
      </c>
      <c r="L505" s="21"/>
    </row>
    <row r="506" spans="1:12" ht="16.5" thickBot="1" x14ac:dyDescent="0.3">
      <c r="A506" s="1699"/>
      <c r="B506" s="1679"/>
      <c r="C506" s="1255"/>
      <c r="D506" s="311" t="s">
        <v>475</v>
      </c>
      <c r="E506" s="104"/>
      <c r="F506" s="312">
        <f>4/12*100</f>
        <v>33.333333333333329</v>
      </c>
      <c r="G506" s="312">
        <f>5/12*100</f>
        <v>41.666666666666671</v>
      </c>
      <c r="H506" s="312">
        <f>5/14*100</f>
        <v>35.714285714285715</v>
      </c>
      <c r="I506" s="312">
        <f>6/15*100</f>
        <v>40</v>
      </c>
      <c r="J506" s="312">
        <f>4/15*100</f>
        <v>26.666666666666668</v>
      </c>
      <c r="K506" s="312">
        <f>4/15*100</f>
        <v>26.666666666666668</v>
      </c>
      <c r="L506" s="22"/>
    </row>
    <row r="507" spans="1:12" x14ac:dyDescent="0.25">
      <c r="A507" s="1699"/>
      <c r="B507" s="948" t="s">
        <v>249</v>
      </c>
      <c r="C507" s="1619"/>
      <c r="D507" s="1620"/>
      <c r="E507" s="622" t="s">
        <v>442</v>
      </c>
      <c r="F507" s="622" t="s">
        <v>443</v>
      </c>
      <c r="G507" s="622" t="s">
        <v>444</v>
      </c>
      <c r="H507" s="622" t="s">
        <v>445</v>
      </c>
      <c r="I507" s="622" t="s">
        <v>446</v>
      </c>
      <c r="J507" s="622" t="s">
        <v>447</v>
      </c>
      <c r="K507" s="622" t="s">
        <v>448</v>
      </c>
      <c r="L507" s="473" t="s">
        <v>449</v>
      </c>
    </row>
    <row r="508" spans="1:12" s="64" customFormat="1" x14ac:dyDescent="0.25">
      <c r="A508" s="1699"/>
      <c r="B508" s="1677" t="s">
        <v>219</v>
      </c>
      <c r="C508" s="1121" t="s">
        <v>459</v>
      </c>
      <c r="D508" s="1122"/>
      <c r="E508" s="202"/>
      <c r="F508" s="194"/>
      <c r="G508" s="194"/>
      <c r="H508" s="447">
        <v>10</v>
      </c>
      <c r="I508" s="447">
        <v>643</v>
      </c>
      <c r="J508" s="447">
        <v>608</v>
      </c>
      <c r="K508" s="447">
        <v>533</v>
      </c>
      <c r="L508" s="323"/>
    </row>
    <row r="509" spans="1:12" x14ac:dyDescent="0.25">
      <c r="A509" s="1699"/>
      <c r="B509" s="1678"/>
      <c r="C509" s="1123" t="s">
        <v>436</v>
      </c>
      <c r="D509" s="1124"/>
      <c r="E509" s="28"/>
      <c r="F509" s="187"/>
      <c r="G509" s="187"/>
      <c r="H509" s="358">
        <v>5</v>
      </c>
      <c r="I509" s="358">
        <v>387</v>
      </c>
      <c r="J509" s="358">
        <v>356</v>
      </c>
      <c r="K509" s="358">
        <v>334</v>
      </c>
      <c r="L509" s="21"/>
    </row>
    <row r="510" spans="1:12" x14ac:dyDescent="0.25">
      <c r="A510" s="1699"/>
      <c r="B510" s="1678"/>
      <c r="C510" s="1123" t="s">
        <v>437</v>
      </c>
      <c r="D510" s="1124"/>
      <c r="E510" s="96"/>
      <c r="F510" s="96"/>
      <c r="G510" s="96"/>
      <c r="H510" s="358">
        <v>5</v>
      </c>
      <c r="I510" s="358">
        <v>256</v>
      </c>
      <c r="J510" s="358">
        <v>252</v>
      </c>
      <c r="K510" s="358">
        <v>199</v>
      </c>
      <c r="L510" s="21"/>
    </row>
    <row r="511" spans="1:12" x14ac:dyDescent="0.25">
      <c r="A511" s="1699"/>
      <c r="B511" s="1678"/>
      <c r="C511" s="1111" t="s">
        <v>353</v>
      </c>
      <c r="D511" s="1112"/>
      <c r="E511" s="157"/>
      <c r="F511" s="157"/>
      <c r="G511" s="157"/>
      <c r="H511" s="157">
        <f>H510-H509</f>
        <v>0</v>
      </c>
      <c r="I511" s="157">
        <f>I510-I509</f>
        <v>-131</v>
      </c>
      <c r="J511" s="157">
        <f>J510-J509</f>
        <v>-104</v>
      </c>
      <c r="K511" s="157">
        <f>K510-K509</f>
        <v>-135</v>
      </c>
      <c r="L511" s="21"/>
    </row>
    <row r="512" spans="1:12" ht="16.5" thickBot="1" x14ac:dyDescent="0.3">
      <c r="A512" s="1699"/>
      <c r="B512" s="1678"/>
      <c r="C512" s="1353" t="s">
        <v>270</v>
      </c>
      <c r="D512" s="1178"/>
      <c r="E512" s="360"/>
      <c r="F512" s="360"/>
      <c r="G512" s="360"/>
      <c r="H512" s="435">
        <f>H510/H508*100</f>
        <v>50</v>
      </c>
      <c r="I512" s="423">
        <f>I510/I508*100</f>
        <v>39.813374805598755</v>
      </c>
      <c r="J512" s="423">
        <f>J510/J508*100</f>
        <v>41.44736842105263</v>
      </c>
      <c r="K512" s="423">
        <f>K510/K508*100</f>
        <v>37.335834896810503</v>
      </c>
      <c r="L512" s="53"/>
    </row>
    <row r="513" spans="1:12" x14ac:dyDescent="0.25">
      <c r="A513" s="1699"/>
      <c r="B513" s="1678"/>
      <c r="C513" s="1406" t="s">
        <v>484</v>
      </c>
      <c r="D513" s="1405"/>
      <c r="E513" s="225"/>
      <c r="F513" s="225"/>
      <c r="G513" s="225"/>
      <c r="H513" s="261">
        <v>0</v>
      </c>
      <c r="I513" s="261">
        <f>7/14*100</f>
        <v>50</v>
      </c>
      <c r="J513" s="261">
        <f>8/14*100</f>
        <v>57.142857142857139</v>
      </c>
      <c r="K513" s="315">
        <v>55.555555555555557</v>
      </c>
      <c r="L513" s="20"/>
    </row>
    <row r="514" spans="1:12" x14ac:dyDescent="0.25">
      <c r="A514" s="1699"/>
      <c r="B514" s="1678"/>
      <c r="C514" s="1111" t="s">
        <v>485</v>
      </c>
      <c r="D514" s="1112"/>
      <c r="E514" s="96"/>
      <c r="F514" s="96"/>
      <c r="G514" s="96"/>
      <c r="H514" s="235">
        <v>0</v>
      </c>
      <c r="I514" s="235">
        <f>1/14*100</f>
        <v>7.1428571428571423</v>
      </c>
      <c r="J514" s="235">
        <f>1/14*100</f>
        <v>7.1428571428571423</v>
      </c>
      <c r="K514" s="237">
        <v>11.111111111111111</v>
      </c>
      <c r="L514" s="21"/>
    </row>
    <row r="515" spans="1:12" ht="16.5" thickBot="1" x14ac:dyDescent="0.3">
      <c r="A515" s="1699"/>
      <c r="B515" s="1679"/>
      <c r="C515" s="1359" t="s">
        <v>486</v>
      </c>
      <c r="D515" s="1225"/>
      <c r="E515" s="190"/>
      <c r="F515" s="190"/>
      <c r="G515" s="190"/>
      <c r="H515" s="904">
        <v>100</v>
      </c>
      <c r="I515" s="904">
        <f>6/14*100</f>
        <v>42.857142857142854</v>
      </c>
      <c r="J515" s="904">
        <f>5/14*100</f>
        <v>35.714285714285715</v>
      </c>
      <c r="K515" s="256">
        <v>33.333333333333329</v>
      </c>
      <c r="L515" s="22"/>
    </row>
    <row r="516" spans="1:12" ht="16.5" thickBot="1" x14ac:dyDescent="0.3">
      <c r="A516" s="739" t="s">
        <v>248</v>
      </c>
      <c r="B516" s="338" t="s">
        <v>249</v>
      </c>
      <c r="C516" s="1681"/>
      <c r="D516" s="1681"/>
      <c r="E516" s="112">
        <v>2005</v>
      </c>
      <c r="F516" s="112">
        <v>2010</v>
      </c>
      <c r="G516" s="112">
        <v>2015</v>
      </c>
      <c r="H516" s="112">
        <v>2020</v>
      </c>
      <c r="I516" s="112">
        <v>2021</v>
      </c>
      <c r="J516" s="112">
        <v>2022</v>
      </c>
      <c r="K516" s="112">
        <v>2023</v>
      </c>
      <c r="L516" s="112">
        <v>2024</v>
      </c>
    </row>
    <row r="517" spans="1:12" ht="15.6" customHeight="1" x14ac:dyDescent="0.25">
      <c r="A517" s="1704" t="s">
        <v>487</v>
      </c>
      <c r="B517" s="1692" t="s">
        <v>227</v>
      </c>
      <c r="C517" s="1206" t="s">
        <v>435</v>
      </c>
      <c r="D517" s="1206"/>
      <c r="E517" s="36"/>
      <c r="F517" s="36"/>
      <c r="G517" s="36"/>
      <c r="H517" s="36"/>
      <c r="I517" s="36"/>
      <c r="J517" s="36"/>
      <c r="K517" s="195">
        <v>1023</v>
      </c>
      <c r="L517" s="325">
        <v>1071</v>
      </c>
    </row>
    <row r="518" spans="1:12" ht="15" customHeight="1" x14ac:dyDescent="0.25">
      <c r="A518" s="1704"/>
      <c r="B518" s="1693"/>
      <c r="C518" s="1124" t="s">
        <v>533</v>
      </c>
      <c r="D518" s="1124"/>
      <c r="E518" s="28"/>
      <c r="F518" s="28"/>
      <c r="G518" s="28"/>
      <c r="H518" s="28"/>
      <c r="I518" s="28"/>
      <c r="J518" s="28"/>
      <c r="K518" s="28">
        <v>360</v>
      </c>
      <c r="L518" s="21">
        <v>376</v>
      </c>
    </row>
    <row r="519" spans="1:12" x14ac:dyDescent="0.25">
      <c r="A519" s="1704"/>
      <c r="B519" s="1693"/>
      <c r="C519" s="1124" t="s">
        <v>534</v>
      </c>
      <c r="D519" s="1124"/>
      <c r="E519" s="28"/>
      <c r="F519" s="28"/>
      <c r="G519" s="28"/>
      <c r="H519" s="28"/>
      <c r="I519" s="28"/>
      <c r="J519" s="28"/>
      <c r="K519" s="28">
        <v>662</v>
      </c>
      <c r="L519" s="21">
        <v>695</v>
      </c>
    </row>
    <row r="520" spans="1:12" x14ac:dyDescent="0.25">
      <c r="A520" s="1704"/>
      <c r="B520" s="1693"/>
      <c r="C520" s="1128" t="s">
        <v>353</v>
      </c>
      <c r="D520" s="1128"/>
      <c r="E520" s="28"/>
      <c r="F520" s="28"/>
      <c r="G520" s="28"/>
      <c r="H520" s="28"/>
      <c r="I520" s="28"/>
      <c r="J520" s="28"/>
      <c r="K520" s="262">
        <f t="shared" ref="K520" si="59">K519-K518</f>
        <v>302</v>
      </c>
      <c r="L520" s="21">
        <v>319</v>
      </c>
    </row>
    <row r="521" spans="1:12" ht="16.5" thickBot="1" x14ac:dyDescent="0.3">
      <c r="A521" s="1704"/>
      <c r="B521" s="1694"/>
      <c r="C521" s="1126" t="s">
        <v>270</v>
      </c>
      <c r="D521" s="1126"/>
      <c r="E521" s="197"/>
      <c r="F521" s="197"/>
      <c r="G521" s="197"/>
      <c r="H521" s="197"/>
      <c r="I521" s="197"/>
      <c r="J521" s="197"/>
      <c r="K521" s="161">
        <f t="shared" ref="K521" si="60">K519/K517*100</f>
        <v>64.71163245356793</v>
      </c>
      <c r="L521" s="162">
        <v>64.892623716153125</v>
      </c>
    </row>
    <row r="522" spans="1:12" x14ac:dyDescent="0.25">
      <c r="A522" s="1704"/>
      <c r="B522" s="1572" t="s">
        <v>488</v>
      </c>
      <c r="C522" s="1665" t="s">
        <v>489</v>
      </c>
      <c r="D522" s="1405"/>
      <c r="E522" s="40"/>
      <c r="F522" s="40">
        <v>117</v>
      </c>
      <c r="G522" s="40">
        <v>117</v>
      </c>
      <c r="H522" s="40">
        <v>183</v>
      </c>
      <c r="I522" s="40"/>
      <c r="J522" s="40"/>
      <c r="K522" s="40">
        <v>207</v>
      </c>
      <c r="L522" s="1072">
        <v>34</v>
      </c>
    </row>
    <row r="523" spans="1:12" x14ac:dyDescent="0.25">
      <c r="A523" s="1704"/>
      <c r="B523" s="1573"/>
      <c r="C523" s="1190" t="s">
        <v>490</v>
      </c>
      <c r="D523" s="1112"/>
      <c r="E523" s="44"/>
      <c r="F523" s="44">
        <v>4</v>
      </c>
      <c r="G523" s="44">
        <v>4</v>
      </c>
      <c r="H523" s="44">
        <v>4</v>
      </c>
      <c r="I523" s="44"/>
      <c r="J523" s="44"/>
      <c r="K523" s="44">
        <v>3</v>
      </c>
      <c r="L523" s="1072">
        <v>1</v>
      </c>
    </row>
    <row r="524" spans="1:12" ht="16.5" thickBot="1" x14ac:dyDescent="0.3">
      <c r="A524" s="1704"/>
      <c r="B524" s="1574"/>
      <c r="C524" s="1224" t="s">
        <v>491</v>
      </c>
      <c r="D524" s="1225"/>
      <c r="E524" s="203"/>
      <c r="F524" s="161">
        <f>F523/F522*100</f>
        <v>3.4188034188034191</v>
      </c>
      <c r="G524" s="161">
        <f t="shared" ref="G524:H524" si="61">G523/G522*100</f>
        <v>3.4188034188034191</v>
      </c>
      <c r="H524" s="161">
        <f t="shared" si="61"/>
        <v>2.1857923497267762</v>
      </c>
      <c r="I524" s="203"/>
      <c r="J524" s="203"/>
      <c r="K524" s="161">
        <f>K523/K522*100</f>
        <v>1.4492753623188406</v>
      </c>
      <c r="L524" s="859">
        <v>2.9411764705882351</v>
      </c>
    </row>
    <row r="525" spans="1:12" ht="16.5" thickBot="1" x14ac:dyDescent="0.3">
      <c r="A525" s="338" t="s">
        <v>248</v>
      </c>
      <c r="B525" s="773" t="s">
        <v>249</v>
      </c>
      <c r="C525" s="1681"/>
      <c r="D525" s="1681"/>
      <c r="E525" s="774">
        <v>2005</v>
      </c>
      <c r="F525" s="774">
        <v>2010</v>
      </c>
      <c r="G525" s="774">
        <v>2015</v>
      </c>
      <c r="H525" s="774">
        <v>2020</v>
      </c>
      <c r="I525" s="774">
        <v>2021</v>
      </c>
      <c r="J525" s="774">
        <v>2022</v>
      </c>
      <c r="K525" s="112">
        <v>2023</v>
      </c>
      <c r="L525" s="112">
        <v>2024</v>
      </c>
    </row>
    <row r="526" spans="1:12" x14ac:dyDescent="0.25">
      <c r="A526" s="1705" t="s">
        <v>492</v>
      </c>
      <c r="B526" s="1258" t="s">
        <v>493</v>
      </c>
      <c r="C526" s="1251" t="s">
        <v>459</v>
      </c>
      <c r="D526" s="1206"/>
      <c r="E526" s="36"/>
      <c r="F526" s="195">
        <v>1438</v>
      </c>
      <c r="G526" s="195">
        <v>1465</v>
      </c>
      <c r="H526" s="195">
        <v>1786</v>
      </c>
      <c r="I526" s="195">
        <v>2141</v>
      </c>
      <c r="J526" s="195">
        <v>2566</v>
      </c>
      <c r="K526" s="195">
        <v>2749</v>
      </c>
      <c r="L526" s="195">
        <v>2508</v>
      </c>
    </row>
    <row r="527" spans="1:12" ht="15" customHeight="1" x14ac:dyDescent="0.25">
      <c r="A527" s="1706"/>
      <c r="B527" s="1259"/>
      <c r="C527" s="1320" t="s">
        <v>436</v>
      </c>
      <c r="D527" s="28" t="s">
        <v>494</v>
      </c>
      <c r="E527" s="28"/>
      <c r="F527" s="96">
        <v>634</v>
      </c>
      <c r="G527" s="96">
        <v>627</v>
      </c>
      <c r="H527" s="96">
        <v>877</v>
      </c>
      <c r="I527" s="96">
        <v>1014</v>
      </c>
      <c r="J527" s="96">
        <v>1252</v>
      </c>
      <c r="K527" s="96">
        <v>1343</v>
      </c>
      <c r="L527" s="96">
        <v>1231</v>
      </c>
    </row>
    <row r="528" spans="1:12" x14ac:dyDescent="0.25">
      <c r="A528" s="1706"/>
      <c r="B528" s="1259"/>
      <c r="C528" s="1320"/>
      <c r="D528" s="28" t="s">
        <v>495</v>
      </c>
      <c r="E528" s="28"/>
      <c r="F528" s="96">
        <v>125</v>
      </c>
      <c r="G528" s="96">
        <v>88</v>
      </c>
      <c r="H528" s="96">
        <v>113</v>
      </c>
      <c r="I528" s="96">
        <v>127</v>
      </c>
      <c r="J528" s="96">
        <v>154</v>
      </c>
      <c r="K528" s="96">
        <v>166</v>
      </c>
      <c r="L528" s="21">
        <v>149</v>
      </c>
    </row>
    <row r="529" spans="1:12" x14ac:dyDescent="0.25">
      <c r="A529" s="1706"/>
      <c r="B529" s="1259"/>
      <c r="C529" s="1320" t="s">
        <v>437</v>
      </c>
      <c r="D529" s="28" t="s">
        <v>496</v>
      </c>
      <c r="E529" s="28"/>
      <c r="F529" s="96">
        <v>226</v>
      </c>
      <c r="G529" s="96">
        <v>282</v>
      </c>
      <c r="H529" s="96">
        <v>355</v>
      </c>
      <c r="I529" s="96">
        <v>477</v>
      </c>
      <c r="J529" s="96">
        <v>566</v>
      </c>
      <c r="K529" s="96">
        <v>569</v>
      </c>
      <c r="L529" s="21">
        <v>584</v>
      </c>
    </row>
    <row r="530" spans="1:12" ht="16.5" thickBot="1" x14ac:dyDescent="0.3">
      <c r="A530" s="1706"/>
      <c r="B530" s="1259"/>
      <c r="C530" s="1321"/>
      <c r="D530" s="33" t="s">
        <v>497</v>
      </c>
      <c r="E530" s="33"/>
      <c r="F530" s="190">
        <v>182</v>
      </c>
      <c r="G530" s="190">
        <v>161</v>
      </c>
      <c r="H530" s="190">
        <v>142</v>
      </c>
      <c r="I530" s="190">
        <v>184</v>
      </c>
      <c r="J530" s="190">
        <v>250</v>
      </c>
      <c r="K530" s="190">
        <v>255</v>
      </c>
      <c r="L530" s="22">
        <v>210</v>
      </c>
    </row>
    <row r="531" spans="1:12" x14ac:dyDescent="0.25">
      <c r="A531" s="1706"/>
      <c r="B531" s="1259"/>
      <c r="C531" s="1441" t="s">
        <v>353</v>
      </c>
      <c r="D531" s="40" t="s">
        <v>498</v>
      </c>
      <c r="E531" s="36"/>
      <c r="F531" s="81">
        <f t="shared" ref="F531:J531" si="62">+F529-F527</f>
        <v>-408</v>
      </c>
      <c r="G531" s="81">
        <f t="shared" si="62"/>
        <v>-345</v>
      </c>
      <c r="H531" s="81">
        <f t="shared" si="62"/>
        <v>-522</v>
      </c>
      <c r="I531" s="81">
        <f t="shared" si="62"/>
        <v>-537</v>
      </c>
      <c r="J531" s="81">
        <f t="shared" si="62"/>
        <v>-686</v>
      </c>
      <c r="K531" s="81">
        <f>+K529-K527</f>
        <v>-774</v>
      </c>
      <c r="L531" s="81">
        <f>+L529-L527</f>
        <v>-647</v>
      </c>
    </row>
    <row r="532" spans="1:12" x14ac:dyDescent="0.25">
      <c r="A532" s="1706"/>
      <c r="B532" s="1259"/>
      <c r="C532" s="1560"/>
      <c r="D532" s="44" t="s">
        <v>499</v>
      </c>
      <c r="E532" s="28"/>
      <c r="F532" s="79">
        <f t="shared" ref="F532:L532" si="63">F530-F528</f>
        <v>57</v>
      </c>
      <c r="G532" s="79">
        <f t="shared" si="63"/>
        <v>73</v>
      </c>
      <c r="H532" s="79">
        <f t="shared" si="63"/>
        <v>29</v>
      </c>
      <c r="I532" s="79">
        <f t="shared" si="63"/>
        <v>57</v>
      </c>
      <c r="J532" s="79">
        <f t="shared" si="63"/>
        <v>96</v>
      </c>
      <c r="K532" s="79">
        <f t="shared" si="63"/>
        <v>89</v>
      </c>
      <c r="L532" s="79">
        <f t="shared" si="63"/>
        <v>61</v>
      </c>
    </row>
    <row r="533" spans="1:12" x14ac:dyDescent="0.25">
      <c r="A533" s="1706"/>
      <c r="B533" s="1259"/>
      <c r="C533" s="1560" t="s">
        <v>270</v>
      </c>
      <c r="D533" s="44" t="s">
        <v>500</v>
      </c>
      <c r="E533" s="28"/>
      <c r="F533" s="263">
        <f t="shared" ref="F533:L533" si="64">+F529/(F529+F527)*100</f>
        <v>26.279069767441861</v>
      </c>
      <c r="G533" s="263">
        <f t="shared" si="64"/>
        <v>31.023102310231021</v>
      </c>
      <c r="H533" s="263">
        <f t="shared" si="64"/>
        <v>28.814935064935064</v>
      </c>
      <c r="I533" s="263">
        <f t="shared" si="64"/>
        <v>31.991951710261567</v>
      </c>
      <c r="J533" s="263">
        <f t="shared" si="64"/>
        <v>31.133113311331133</v>
      </c>
      <c r="K533" s="263">
        <f t="shared" si="64"/>
        <v>29.759414225941423</v>
      </c>
      <c r="L533" s="263">
        <f t="shared" si="64"/>
        <v>32.176308539944905</v>
      </c>
    </row>
    <row r="534" spans="1:12" ht="16.5" customHeight="1" thickBot="1" x14ac:dyDescent="0.3">
      <c r="A534" s="1707"/>
      <c r="B534" s="1260"/>
      <c r="C534" s="1421"/>
      <c r="D534" s="203" t="s">
        <v>501</v>
      </c>
      <c r="E534" s="33"/>
      <c r="F534" s="230">
        <f>+F530/(F530+F528)*100</f>
        <v>59.283387622149839</v>
      </c>
      <c r="G534" s="230">
        <f t="shared" ref="G534:L534" si="65">+G530/(G530+G528)*100</f>
        <v>64.658634538152612</v>
      </c>
      <c r="H534" s="230">
        <f t="shared" si="65"/>
        <v>55.686274509803923</v>
      </c>
      <c r="I534" s="230">
        <f t="shared" si="65"/>
        <v>59.163987138263664</v>
      </c>
      <c r="J534" s="230">
        <f t="shared" si="65"/>
        <v>61.881188118811878</v>
      </c>
      <c r="K534" s="230">
        <f t="shared" si="65"/>
        <v>60.570071258907362</v>
      </c>
      <c r="L534" s="230">
        <f t="shared" si="65"/>
        <v>58.495821727019504</v>
      </c>
    </row>
  </sheetData>
  <mergeCells count="244">
    <mergeCell ref="A362:A515"/>
    <mergeCell ref="A351:A360"/>
    <mergeCell ref="C371:D371"/>
    <mergeCell ref="A517:A524"/>
    <mergeCell ref="A526:A534"/>
    <mergeCell ref="C396:C399"/>
    <mergeCell ref="C400:C403"/>
    <mergeCell ref="C362:C364"/>
    <mergeCell ref="C404:C407"/>
    <mergeCell ref="C533:C534"/>
    <mergeCell ref="B526:B534"/>
    <mergeCell ref="C428:C431"/>
    <mergeCell ref="C408:C411"/>
    <mergeCell ref="C432:C435"/>
    <mergeCell ref="C439:D439"/>
    <mergeCell ref="C440:D440"/>
    <mergeCell ref="C514:D514"/>
    <mergeCell ref="C515:D515"/>
    <mergeCell ref="C444:C447"/>
    <mergeCell ref="C508:D508"/>
    <mergeCell ref="C520:D520"/>
    <mergeCell ref="C527:C528"/>
    <mergeCell ref="C529:C530"/>
    <mergeCell ref="C441:D441"/>
    <mergeCell ref="C507:D507"/>
    <mergeCell ref="C496:C499"/>
    <mergeCell ref="C513:D513"/>
    <mergeCell ref="C523:D523"/>
    <mergeCell ref="C500:C503"/>
    <mergeCell ref="C464:C467"/>
    <mergeCell ref="C442:D442"/>
    <mergeCell ref="A342:A349"/>
    <mergeCell ref="C375:D375"/>
    <mergeCell ref="C348:D348"/>
    <mergeCell ref="C342:D342"/>
    <mergeCell ref="C343:D343"/>
    <mergeCell ref="C436:C438"/>
    <mergeCell ref="C361:D361"/>
    <mergeCell ref="C359:D359"/>
    <mergeCell ref="C360:D360"/>
    <mergeCell ref="C373:D373"/>
    <mergeCell ref="C370:D370"/>
    <mergeCell ref="C365:C367"/>
    <mergeCell ref="C376:C379"/>
    <mergeCell ref="C372:D372"/>
    <mergeCell ref="C416:C419"/>
    <mergeCell ref="C420:C423"/>
    <mergeCell ref="C412:C415"/>
    <mergeCell ref="C526:D526"/>
    <mergeCell ref="C516:D516"/>
    <mergeCell ref="C443:D443"/>
    <mergeCell ref="B517:B521"/>
    <mergeCell ref="C517:D517"/>
    <mergeCell ref="C518:D518"/>
    <mergeCell ref="C519:D519"/>
    <mergeCell ref="C521:D521"/>
    <mergeCell ref="B522:B524"/>
    <mergeCell ref="C522:D522"/>
    <mergeCell ref="C524:D524"/>
    <mergeCell ref="C525:D525"/>
    <mergeCell ref="C509:D509"/>
    <mergeCell ref="C510:D510"/>
    <mergeCell ref="C512:D512"/>
    <mergeCell ref="C452:C455"/>
    <mergeCell ref="C492:C495"/>
    <mergeCell ref="C511:D511"/>
    <mergeCell ref="C468:C471"/>
    <mergeCell ref="C472:C475"/>
    <mergeCell ref="C476:C479"/>
    <mergeCell ref="C480:C483"/>
    <mergeCell ref="C504:C506"/>
    <mergeCell ref="C448:C451"/>
    <mergeCell ref="C388:C391"/>
    <mergeCell ref="C456:C459"/>
    <mergeCell ref="C460:C463"/>
    <mergeCell ref="C484:C487"/>
    <mergeCell ref="C488:C491"/>
    <mergeCell ref="B336:B340"/>
    <mergeCell ref="C336:D336"/>
    <mergeCell ref="C337:D337"/>
    <mergeCell ref="C338:D338"/>
    <mergeCell ref="C339:D339"/>
    <mergeCell ref="C340:D340"/>
    <mergeCell ref="C368:D368"/>
    <mergeCell ref="C369:D369"/>
    <mergeCell ref="B440:B506"/>
    <mergeCell ref="B372:B438"/>
    <mergeCell ref="C350:D350"/>
    <mergeCell ref="C358:D358"/>
    <mergeCell ref="B346:B349"/>
    <mergeCell ref="C345:D345"/>
    <mergeCell ref="C346:D346"/>
    <mergeCell ref="C347:D347"/>
    <mergeCell ref="B351:B360"/>
    <mergeCell ref="C357:D357"/>
    <mergeCell ref="C351:C353"/>
    <mergeCell ref="B362:B370"/>
    <mergeCell ref="C392:C395"/>
    <mergeCell ref="C424:C427"/>
    <mergeCell ref="C374:D374"/>
    <mergeCell ref="C241:C244"/>
    <mergeCell ref="A317:A340"/>
    <mergeCell ref="C531:C532"/>
    <mergeCell ref="C380:C383"/>
    <mergeCell ref="C325:D325"/>
    <mergeCell ref="C257:C260"/>
    <mergeCell ref="C320:D320"/>
    <mergeCell ref="C321:D321"/>
    <mergeCell ref="C331:C335"/>
    <mergeCell ref="C277:C280"/>
    <mergeCell ref="C281:C284"/>
    <mergeCell ref="C285:C288"/>
    <mergeCell ref="C289:C292"/>
    <mergeCell ref="C293:C296"/>
    <mergeCell ref="C324:D324"/>
    <mergeCell ref="C297:C300"/>
    <mergeCell ref="C301:C304"/>
    <mergeCell ref="C305:C308"/>
    <mergeCell ref="C384:C387"/>
    <mergeCell ref="C341:D341"/>
    <mergeCell ref="C344:D344"/>
    <mergeCell ref="C354:C356"/>
    <mergeCell ref="B508:B515"/>
    <mergeCell ref="C213:C216"/>
    <mergeCell ref="C316:D316"/>
    <mergeCell ref="B342:B345"/>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349:D349"/>
    <mergeCell ref="B326:B335"/>
    <mergeCell ref="B322:B325"/>
    <mergeCell ref="C322:D322"/>
    <mergeCell ref="C315:D315"/>
    <mergeCell ref="B62:B315"/>
    <mergeCell ref="C245:C248"/>
    <mergeCell ref="C113:C116"/>
    <mergeCell ref="C117:C120"/>
    <mergeCell ref="C121:C124"/>
    <mergeCell ref="C125:C128"/>
    <mergeCell ref="C137:C140"/>
    <mergeCell ref="B317:B321"/>
    <mergeCell ref="C317:D317"/>
    <mergeCell ref="C318:D318"/>
    <mergeCell ref="C319:D319"/>
    <mergeCell ref="C173:C176"/>
    <mergeCell ref="C177:C180"/>
    <mergeCell ref="C181:C184"/>
    <mergeCell ref="C221:C224"/>
    <mergeCell ref="C309:C312"/>
    <mergeCell ref="C313:D313"/>
    <mergeCell ref="C314:D314"/>
    <mergeCell ref="C265:C268"/>
    <mergeCell ref="C169:C172"/>
    <mergeCell ref="C233:C236"/>
    <mergeCell ref="C326:C330"/>
    <mergeCell ref="C323:D323"/>
    <mergeCell ref="C269:C272"/>
    <mergeCell ref="C273:C276"/>
    <mergeCell ref="C105:C108"/>
    <mergeCell ref="C109:C112"/>
    <mergeCell ref="C253:C256"/>
    <mergeCell ref="C225:C228"/>
    <mergeCell ref="C229:C232"/>
    <mergeCell ref="C153:C156"/>
    <mergeCell ref="C157:C160"/>
    <mergeCell ref="C129:C132"/>
    <mergeCell ref="C249:C252"/>
    <mergeCell ref="C201:C204"/>
    <mergeCell ref="C205:C208"/>
    <mergeCell ref="C209:C212"/>
    <mergeCell ref="C165:C168"/>
    <mergeCell ref="C133:C136"/>
    <mergeCell ref="C237:C240"/>
    <mergeCell ref="C261:C264"/>
    <mergeCell ref="C161:C164"/>
    <mergeCell ref="C217:C220"/>
    <mergeCell ref="C185:C188"/>
    <mergeCell ref="C189:C192"/>
    <mergeCell ref="C33:D33"/>
    <mergeCell ref="C34:D34"/>
    <mergeCell ref="C35:D35"/>
    <mergeCell ref="C44:D44"/>
    <mergeCell ref="C60:D60"/>
    <mergeCell ref="C93:C96"/>
    <mergeCell ref="C97:C100"/>
    <mergeCell ref="C46:D46"/>
    <mergeCell ref="C62:C64"/>
    <mergeCell ref="C65:C68"/>
    <mergeCell ref="C73:C76"/>
    <mergeCell ref="C39:D39"/>
    <mergeCell ref="C40:D40"/>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36:D36"/>
    <mergeCell ref="C37:D37"/>
    <mergeCell ref="C42:D42"/>
    <mergeCell ref="C43:D43"/>
    <mergeCell ref="B31:B35"/>
    <mergeCell ref="B41:B45"/>
    <mergeCell ref="C41:D41"/>
    <mergeCell ref="C45:D45"/>
    <mergeCell ref="C193:C196"/>
    <mergeCell ref="C197:C200"/>
    <mergeCell ref="C141:C144"/>
    <mergeCell ref="C145:C148"/>
    <mergeCell ref="C149:C152"/>
    <mergeCell ref="C101:C104"/>
    <mergeCell ref="C59:D59"/>
    <mergeCell ref="C38:D38"/>
    <mergeCell ref="B36:B40"/>
    <mergeCell ref="C77:C80"/>
    <mergeCell ref="C81:C84"/>
    <mergeCell ref="C85:C88"/>
    <mergeCell ref="C89:C92"/>
    <mergeCell ref="C69:C72"/>
    <mergeCell ref="C61:D61"/>
  </mergeCells>
  <conditionalFormatting sqref="E349:F349">
    <cfRule type="cellIs" dxfId="879" priority="90" operator="lessThan">
      <formula>0</formula>
    </cfRule>
    <cfRule type="cellIs" dxfId="878" priority="91" operator="greaterThan">
      <formula>0</formula>
    </cfRule>
  </conditionalFormatting>
  <conditionalFormatting sqref="E39:L39">
    <cfRule type="cellIs" dxfId="877" priority="309" operator="greaterThan">
      <formula>1</formula>
    </cfRule>
    <cfRule type="cellIs" dxfId="876" priority="310" operator="greaterThan">
      <formula>1</formula>
    </cfRule>
    <cfRule type="cellIs" dxfId="875" priority="311" operator="lessThan">
      <formula>1</formula>
    </cfRule>
    <cfRule type="cellIs" dxfId="874" priority="312" operator="greaterThan">
      <formula>1</formula>
    </cfRule>
  </conditionalFormatting>
  <conditionalFormatting sqref="E40:L40">
    <cfRule type="cellIs" dxfId="873" priority="308" operator="greaterThan">
      <formula>50</formula>
    </cfRule>
    <cfRule type="cellIs" dxfId="872" priority="314" operator="greaterThan">
      <formula>50</formula>
    </cfRule>
    <cfRule type="cellIs" dxfId="871" priority="313" operator="lessThan">
      <formula>50</formula>
    </cfRule>
  </conditionalFormatting>
  <conditionalFormatting sqref="E44:L44">
    <cfRule type="cellIs" dxfId="870" priority="306" operator="lessThan">
      <formula>1</formula>
    </cfRule>
    <cfRule type="cellIs" dxfId="869" priority="305" operator="greaterThan">
      <formula>1</formula>
    </cfRule>
    <cfRule type="cellIs" dxfId="868" priority="304" operator="greaterThan">
      <formula>1</formula>
    </cfRule>
    <cfRule type="cellIs" dxfId="867" priority="307" operator="greaterThan">
      <formula>1</formula>
    </cfRule>
  </conditionalFormatting>
  <conditionalFormatting sqref="E45:L45">
    <cfRule type="cellIs" dxfId="866" priority="303" operator="greaterThan">
      <formula>50</formula>
    </cfRule>
    <cfRule type="cellIs" dxfId="865" priority="301" operator="greaterThan">
      <formula>50</formula>
    </cfRule>
    <cfRule type="cellIs" dxfId="864" priority="302" operator="lessThan">
      <formula>50</formula>
    </cfRule>
  </conditionalFormatting>
  <conditionalFormatting sqref="E50:L50">
    <cfRule type="cellIs" dxfId="863" priority="159" operator="lessThan">
      <formula>1</formula>
    </cfRule>
    <cfRule type="cellIs" dxfId="862" priority="160" operator="greaterThan">
      <formula>1</formula>
    </cfRule>
    <cfRule type="cellIs" dxfId="861" priority="161" operator="greaterThan">
      <formula>1</formula>
    </cfRule>
    <cfRule type="cellIs" dxfId="860" priority="162" operator="lessThan">
      <formula>1</formula>
    </cfRule>
    <cfRule type="cellIs" dxfId="859" priority="163" operator="greaterThan">
      <formula>1</formula>
    </cfRule>
  </conditionalFormatting>
  <conditionalFormatting sqref="E51:L51">
    <cfRule type="cellIs" dxfId="858" priority="172" operator="greaterThan">
      <formula>50</formula>
    </cfRule>
    <cfRule type="cellIs" dxfId="857" priority="171" operator="lessThan">
      <formula>50</formula>
    </cfRule>
    <cfRule type="cellIs" dxfId="856" priority="170" operator="greaterThan">
      <formula>50</formula>
    </cfRule>
  </conditionalFormatting>
  <conditionalFormatting sqref="F360 J360:K360">
    <cfRule type="cellIs" dxfId="855" priority="27" operator="greaterThan">
      <formula>0</formula>
    </cfRule>
    <cfRule type="cellIs" dxfId="854" priority="26" operator="lessThan">
      <formula>0</formula>
    </cfRule>
  </conditionalFormatting>
  <conditionalFormatting sqref="F370:K370">
    <cfRule type="cellIs" dxfId="853" priority="86" operator="lessThan">
      <formula>0</formula>
    </cfRule>
  </conditionalFormatting>
  <conditionalFormatting sqref="F320:L321">
    <cfRule type="cellIs" dxfId="852" priority="190" operator="lessThan">
      <formula>1</formula>
    </cfRule>
  </conditionalFormatting>
  <conditionalFormatting sqref="F531:L531">
    <cfRule type="cellIs" dxfId="851" priority="13" operator="lessThan">
      <formula>0</formula>
    </cfRule>
  </conditionalFormatting>
  <conditionalFormatting sqref="F532:L534">
    <cfRule type="cellIs" dxfId="850" priority="11" operator="greaterThan">
      <formula>0</formula>
    </cfRule>
  </conditionalFormatting>
  <conditionalFormatting sqref="F534:L534">
    <cfRule type="cellIs" dxfId="849" priority="15" operator="greaterThan">
      <formula>0</formula>
    </cfRule>
    <cfRule type="cellIs" dxfId="848" priority="16" operator="lessThan">
      <formula>0</formula>
    </cfRule>
  </conditionalFormatting>
  <conditionalFormatting sqref="G325:L325">
    <cfRule type="cellIs" dxfId="847" priority="197" operator="lessThan">
      <formula>1</formula>
    </cfRule>
    <cfRule type="cellIs" dxfId="846" priority="196" operator="greaterThan">
      <formula>0</formula>
    </cfRule>
  </conditionalFormatting>
  <conditionalFormatting sqref="H511:J511">
    <cfRule type="cellIs" dxfId="845" priority="4" operator="greaterThan">
      <formula>0</formula>
    </cfRule>
  </conditionalFormatting>
  <conditionalFormatting sqref="H59:K59">
    <cfRule type="cellIs" dxfId="844" priority="166" operator="greaterThan">
      <formula>0</formula>
    </cfRule>
  </conditionalFormatting>
  <conditionalFormatting sqref="H60:K60">
    <cfRule type="cellIs" dxfId="843" priority="167" operator="lessThan">
      <formula>50</formula>
    </cfRule>
    <cfRule type="cellIs" dxfId="842" priority="165" operator="greaterThan">
      <formula>50</formula>
    </cfRule>
    <cfRule type="cellIs" dxfId="841" priority="164" operator="lessThan">
      <formula>50</formula>
    </cfRule>
    <cfRule type="cellIs" dxfId="840" priority="168" operator="greaterThan">
      <formula>50</formula>
    </cfRule>
  </conditionalFormatting>
  <conditionalFormatting sqref="H339:K339">
    <cfRule type="cellIs" dxfId="839" priority="205" operator="greaterThan">
      <formula>0</formula>
    </cfRule>
    <cfRule type="cellIs" dxfId="838" priority="206" operator="lessThan">
      <formula>0</formula>
    </cfRule>
    <cfRule type="cellIs" dxfId="837" priority="207" operator="greaterThan">
      <formula>0</formula>
    </cfRule>
    <cfRule type="cellIs" dxfId="836" priority="199" operator="lessThan">
      <formula>0</formula>
    </cfRule>
  </conditionalFormatting>
  <conditionalFormatting sqref="H511:K511">
    <cfRule type="cellIs" dxfId="835" priority="3" operator="lessThan">
      <formula>0</formula>
    </cfRule>
  </conditionalFormatting>
  <conditionalFormatting sqref="H55:L55">
    <cfRule type="cellIs" dxfId="834" priority="169" operator="greaterThan">
      <formula>0</formula>
    </cfRule>
  </conditionalFormatting>
  <conditionalFormatting sqref="I512:K512">
    <cfRule type="cellIs" dxfId="833" priority="2" operator="greaterThan">
      <formula>50</formula>
    </cfRule>
    <cfRule type="cellIs" dxfId="832" priority="1" operator="lessThan">
      <formula>50</formula>
    </cfRule>
  </conditionalFormatting>
  <conditionalFormatting sqref="K521">
    <cfRule type="cellIs" dxfId="831" priority="10" operator="greaterThan">
      <formula>50</formula>
    </cfRule>
    <cfRule type="cellIs" dxfId="830" priority="9" operator="lessThan">
      <formula>50</formula>
    </cfRule>
    <cfRule type="cellIs" dxfId="829" priority="8" operator="lessThan">
      <formula>50</formula>
    </cfRule>
  </conditionalFormatting>
  <hyperlinks>
    <hyperlink ref="M1" location="INDICADORES!A1" display="INDICADORES" xr:uid="{2EDAADD3-082C-41AC-8583-09518CBAE969}"/>
    <hyperlink ref="O1" location="DISTRITOS!A1" display="DISTRITOS" xr:uid="{D6C0BD74-CCD8-4920-9951-01A976F135E5}"/>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AE556-D922-4176-9A48-153E32D1C513}">
  <sheetPr codeName="Hoja12">
    <tabColor theme="8" tint="-0.249977111117893"/>
  </sheetPr>
  <dimension ref="A1:P558"/>
  <sheetViews>
    <sheetView showGridLines="0" topLeftCell="C1" zoomScale="60" zoomScaleNormal="60" workbookViewId="0">
      <pane ySplit="2" topLeftCell="A535" activePane="bottomLeft" state="frozen"/>
      <selection activeCell="F334" sqref="F334"/>
      <selection pane="bottomLeft" activeCell="L545" sqref="L545"/>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4.5703125" style="11" customWidth="1"/>
    <col min="14" max="14" width="6.140625" style="11" customWidth="1"/>
    <col min="15" max="15" width="21.42578125" style="11" customWidth="1"/>
    <col min="16" max="16384" width="11.42578125" style="11"/>
  </cols>
  <sheetData>
    <row r="1" spans="1:15" ht="30" customHeight="1" thickTop="1" thickBot="1" x14ac:dyDescent="0.3">
      <c r="A1" s="1020" t="s">
        <v>563</v>
      </c>
      <c r="B1" s="1020"/>
      <c r="C1" s="1020"/>
      <c r="D1" s="1020"/>
      <c r="E1" s="1020"/>
      <c r="F1" s="1020"/>
      <c r="G1" s="1020"/>
      <c r="H1" s="1020"/>
      <c r="I1" s="1020"/>
      <c r="J1" s="1020"/>
      <c r="K1" s="1020"/>
      <c r="M1" s="479" t="s">
        <v>246</v>
      </c>
      <c r="N1" s="480"/>
      <c r="O1" s="481" t="s">
        <v>247</v>
      </c>
    </row>
    <row r="2" spans="1:15" ht="18" customHeight="1" thickTop="1" thickBot="1" x14ac:dyDescent="0.3">
      <c r="A2" s="362" t="s">
        <v>248</v>
      </c>
      <c r="B2" s="785" t="s">
        <v>249</v>
      </c>
      <c r="C2" s="1542"/>
      <c r="D2" s="1542"/>
      <c r="E2" s="625">
        <v>2005</v>
      </c>
      <c r="F2" s="625">
        <v>2010</v>
      </c>
      <c r="G2" s="625">
        <v>2015</v>
      </c>
      <c r="H2" s="625">
        <v>2020</v>
      </c>
      <c r="I2" s="625">
        <v>2021</v>
      </c>
      <c r="J2" s="625">
        <v>2022</v>
      </c>
      <c r="K2" s="625">
        <v>2023</v>
      </c>
      <c r="L2" s="284">
        <v>2024</v>
      </c>
    </row>
    <row r="3" spans="1:15" s="64" customFormat="1" ht="15.95" customHeight="1" x14ac:dyDescent="0.25">
      <c r="A3" s="1669" t="s">
        <v>26</v>
      </c>
      <c r="B3" s="1716" t="s">
        <v>250</v>
      </c>
      <c r="C3" s="1537" t="s">
        <v>251</v>
      </c>
      <c r="D3" s="1211"/>
      <c r="E3" s="81">
        <v>118815</v>
      </c>
      <c r="F3" s="81">
        <v>118931</v>
      </c>
      <c r="G3" s="81">
        <v>115901</v>
      </c>
      <c r="H3" s="81">
        <v>121683</v>
      </c>
      <c r="I3" s="81">
        <v>120834</v>
      </c>
      <c r="J3" s="81">
        <v>120360</v>
      </c>
      <c r="K3" s="81">
        <v>121757</v>
      </c>
      <c r="L3" s="82">
        <v>125223</v>
      </c>
      <c r="M3" s="11"/>
    </row>
    <row r="4" spans="1:15" x14ac:dyDescent="0.25">
      <c r="A4" s="1670"/>
      <c r="B4" s="1717"/>
      <c r="C4" s="1304" t="s">
        <v>257</v>
      </c>
      <c r="D4" s="1213"/>
      <c r="E4" s="80">
        <v>54595</v>
      </c>
      <c r="F4" s="80">
        <v>54303</v>
      </c>
      <c r="G4" s="80">
        <v>53134</v>
      </c>
      <c r="H4" s="80">
        <v>55975</v>
      </c>
      <c r="I4" s="80">
        <v>55588</v>
      </c>
      <c r="J4" s="80">
        <v>55501</v>
      </c>
      <c r="K4" s="80">
        <v>56357</v>
      </c>
      <c r="L4" s="83">
        <v>58121</v>
      </c>
    </row>
    <row r="5" spans="1:15" x14ac:dyDescent="0.25">
      <c r="A5" s="1670"/>
      <c r="B5" s="1717"/>
      <c r="C5" s="1304" t="s">
        <v>263</v>
      </c>
      <c r="D5" s="1213"/>
      <c r="E5" s="80">
        <v>64220</v>
      </c>
      <c r="F5" s="80">
        <v>64628</v>
      </c>
      <c r="G5" s="80">
        <v>62767</v>
      </c>
      <c r="H5" s="80">
        <v>65708</v>
      </c>
      <c r="I5" s="80">
        <v>65246</v>
      </c>
      <c r="J5" s="80">
        <v>64859</v>
      </c>
      <c r="K5" s="80">
        <v>65400</v>
      </c>
      <c r="L5" s="83">
        <v>67102</v>
      </c>
    </row>
    <row r="6" spans="1:15" x14ac:dyDescent="0.25">
      <c r="A6" s="1670"/>
      <c r="B6" s="1718"/>
      <c r="C6" s="1425" t="s">
        <v>269</v>
      </c>
      <c r="D6" s="1215"/>
      <c r="E6" s="363">
        <f>+E5-E4</f>
        <v>9625</v>
      </c>
      <c r="F6" s="363">
        <f t="shared" ref="F6:L6" si="0">+F5-F4</f>
        <v>10325</v>
      </c>
      <c r="G6" s="363">
        <f t="shared" si="0"/>
        <v>9633</v>
      </c>
      <c r="H6" s="363">
        <f t="shared" si="0"/>
        <v>9733</v>
      </c>
      <c r="I6" s="363">
        <f t="shared" si="0"/>
        <v>9658</v>
      </c>
      <c r="J6" s="363">
        <f t="shared" si="0"/>
        <v>9358</v>
      </c>
      <c r="K6" s="363">
        <f t="shared" si="0"/>
        <v>9043</v>
      </c>
      <c r="L6" s="365">
        <f t="shared" si="0"/>
        <v>8981</v>
      </c>
    </row>
    <row r="7" spans="1:15" ht="16.5" thickBot="1" x14ac:dyDescent="0.3">
      <c r="A7" s="1670"/>
      <c r="B7" s="1719"/>
      <c r="C7" s="1720" t="s">
        <v>270</v>
      </c>
      <c r="D7" s="1721"/>
      <c r="E7" s="783">
        <f>E5/E3*100</f>
        <v>54.050414509952446</v>
      </c>
      <c r="F7" s="783">
        <f t="shared" ref="F7:L7" si="1">F5/F3*100</f>
        <v>54.34075220085596</v>
      </c>
      <c r="G7" s="783">
        <f t="shared" si="1"/>
        <v>54.155701848991811</v>
      </c>
      <c r="H7" s="783">
        <f t="shared" si="1"/>
        <v>53.999326117863632</v>
      </c>
      <c r="I7" s="783">
        <f t="shared" si="1"/>
        <v>53.996391744045546</v>
      </c>
      <c r="J7" s="783">
        <f t="shared" si="1"/>
        <v>53.887504154204059</v>
      </c>
      <c r="K7" s="784">
        <f t="shared" si="1"/>
        <v>53.713544190477755</v>
      </c>
      <c r="L7" s="784">
        <f t="shared" si="1"/>
        <v>53.586002571412607</v>
      </c>
    </row>
    <row r="8" spans="1:15" x14ac:dyDescent="0.25">
      <c r="A8" s="1670"/>
      <c r="B8" s="1716" t="s">
        <v>271</v>
      </c>
      <c r="C8" s="1300" t="s">
        <v>257</v>
      </c>
      <c r="D8" s="168" t="s">
        <v>272</v>
      </c>
      <c r="E8" s="81">
        <v>54571</v>
      </c>
      <c r="F8" s="81">
        <v>54303</v>
      </c>
      <c r="G8" s="81">
        <v>53134</v>
      </c>
      <c r="H8" s="81">
        <v>55975</v>
      </c>
      <c r="I8" s="81">
        <v>55588</v>
      </c>
      <c r="J8" s="81">
        <v>55501</v>
      </c>
      <c r="K8" s="81">
        <v>56357</v>
      </c>
      <c r="L8" s="82">
        <v>58121</v>
      </c>
    </row>
    <row r="9" spans="1:15" x14ac:dyDescent="0.25">
      <c r="A9" s="1670"/>
      <c r="B9" s="1717"/>
      <c r="C9" s="1301"/>
      <c r="D9" s="164" t="s">
        <v>275</v>
      </c>
      <c r="E9" s="80">
        <v>8590</v>
      </c>
      <c r="F9" s="80">
        <v>9076</v>
      </c>
      <c r="G9" s="80">
        <v>8964</v>
      </c>
      <c r="H9" s="80">
        <v>8900</v>
      </c>
      <c r="I9" s="80">
        <v>8705</v>
      </c>
      <c r="J9" s="80">
        <v>8569</v>
      </c>
      <c r="K9" s="80">
        <v>8600</v>
      </c>
      <c r="L9" s="83">
        <v>8104</v>
      </c>
    </row>
    <row r="10" spans="1:15" x14ac:dyDescent="0.25">
      <c r="A10" s="1670"/>
      <c r="B10" s="1717"/>
      <c r="C10" s="1301"/>
      <c r="D10" s="164" t="s">
        <v>282</v>
      </c>
      <c r="E10" s="80">
        <v>37912</v>
      </c>
      <c r="F10" s="80">
        <v>36544</v>
      </c>
      <c r="G10" s="80">
        <v>34626</v>
      </c>
      <c r="H10" s="80">
        <v>36647</v>
      </c>
      <c r="I10" s="80">
        <v>36483</v>
      </c>
      <c r="J10" s="80">
        <v>36404</v>
      </c>
      <c r="K10" s="80">
        <v>37043</v>
      </c>
      <c r="L10" s="83">
        <v>38929</v>
      </c>
    </row>
    <row r="11" spans="1:15" x14ac:dyDescent="0.25">
      <c r="A11" s="1670"/>
      <c r="B11" s="1717"/>
      <c r="C11" s="1301"/>
      <c r="D11" s="164" t="s">
        <v>288</v>
      </c>
      <c r="E11" s="80">
        <v>8066</v>
      </c>
      <c r="F11" s="80">
        <v>8681</v>
      </c>
      <c r="G11" s="80">
        <v>9544</v>
      </c>
      <c r="H11" s="80">
        <v>10428</v>
      </c>
      <c r="I11" s="80">
        <v>10400</v>
      </c>
      <c r="J11" s="80">
        <v>10528</v>
      </c>
      <c r="K11" s="80">
        <v>10714</v>
      </c>
      <c r="L11" s="83">
        <v>11088</v>
      </c>
    </row>
    <row r="12" spans="1:15" x14ac:dyDescent="0.25">
      <c r="A12" s="1670"/>
      <c r="B12" s="1717"/>
      <c r="C12" s="1301"/>
      <c r="D12" s="164" t="s">
        <v>295</v>
      </c>
      <c r="E12" s="80">
        <v>1917</v>
      </c>
      <c r="F12" s="80">
        <v>2351</v>
      </c>
      <c r="G12" s="80">
        <v>2843</v>
      </c>
      <c r="H12" s="80">
        <v>2994</v>
      </c>
      <c r="I12" s="80">
        <v>2965</v>
      </c>
      <c r="J12" s="80">
        <v>2983</v>
      </c>
      <c r="K12" s="80">
        <v>3039</v>
      </c>
      <c r="L12" s="83">
        <v>3180</v>
      </c>
    </row>
    <row r="13" spans="1:15" ht="16.5" thickBot="1" x14ac:dyDescent="0.3">
      <c r="A13" s="1670"/>
      <c r="B13" s="1717"/>
      <c r="C13" s="1302"/>
      <c r="D13" s="169" t="s">
        <v>296</v>
      </c>
      <c r="E13" s="381">
        <v>3</v>
      </c>
      <c r="F13" s="381">
        <v>2</v>
      </c>
      <c r="G13" s="381">
        <v>0</v>
      </c>
      <c r="H13" s="381">
        <v>0</v>
      </c>
      <c r="I13" s="381">
        <v>0</v>
      </c>
      <c r="J13" s="381">
        <v>0</v>
      </c>
      <c r="K13" s="381">
        <v>0</v>
      </c>
      <c r="L13" s="268">
        <v>0</v>
      </c>
    </row>
    <row r="14" spans="1:15" x14ac:dyDescent="0.25">
      <c r="A14" s="1670"/>
      <c r="B14" s="1717"/>
      <c r="C14" s="1300" t="s">
        <v>263</v>
      </c>
      <c r="D14" s="168" t="s">
        <v>272</v>
      </c>
      <c r="E14" s="81">
        <v>64176</v>
      </c>
      <c r="F14" s="81">
        <v>64628</v>
      </c>
      <c r="G14" s="81">
        <v>62767</v>
      </c>
      <c r="H14" s="81">
        <v>65708</v>
      </c>
      <c r="I14" s="81">
        <v>65246</v>
      </c>
      <c r="J14" s="81">
        <v>64859</v>
      </c>
      <c r="K14" s="81">
        <v>65400</v>
      </c>
      <c r="L14" s="82">
        <v>67102</v>
      </c>
    </row>
    <row r="15" spans="1:15" x14ac:dyDescent="0.25">
      <c r="A15" s="1670"/>
      <c r="B15" s="1717"/>
      <c r="C15" s="1301"/>
      <c r="D15" s="164" t="s">
        <v>275</v>
      </c>
      <c r="E15" s="80">
        <v>8608</v>
      </c>
      <c r="F15" s="80">
        <v>8844</v>
      </c>
      <c r="G15" s="80">
        <v>8473</v>
      </c>
      <c r="H15" s="80">
        <v>8524</v>
      </c>
      <c r="I15" s="80">
        <v>8331</v>
      </c>
      <c r="J15" s="80">
        <v>8218</v>
      </c>
      <c r="K15" s="80">
        <v>8197</v>
      </c>
      <c r="L15" s="83">
        <v>7648</v>
      </c>
    </row>
    <row r="16" spans="1:15" x14ac:dyDescent="0.25">
      <c r="A16" s="1670"/>
      <c r="B16" s="1717"/>
      <c r="C16" s="1301"/>
      <c r="D16" s="164" t="s">
        <v>282</v>
      </c>
      <c r="E16" s="80">
        <v>42281</v>
      </c>
      <c r="F16" s="80">
        <v>41789</v>
      </c>
      <c r="G16" s="80">
        <v>39227</v>
      </c>
      <c r="H16" s="80">
        <v>41069</v>
      </c>
      <c r="I16" s="80">
        <v>40877</v>
      </c>
      <c r="J16" s="80">
        <v>40484</v>
      </c>
      <c r="K16" s="80">
        <v>40841</v>
      </c>
      <c r="L16" s="83">
        <v>42775</v>
      </c>
    </row>
    <row r="17" spans="1:13" x14ac:dyDescent="0.25">
      <c r="A17" s="1670"/>
      <c r="B17" s="1717"/>
      <c r="C17" s="1301"/>
      <c r="D17" s="164" t="s">
        <v>288</v>
      </c>
      <c r="E17" s="80">
        <v>13283</v>
      </c>
      <c r="F17" s="80">
        <v>13991</v>
      </c>
      <c r="G17" s="80">
        <v>15067</v>
      </c>
      <c r="H17" s="80">
        <v>16115</v>
      </c>
      <c r="I17" s="80">
        <v>16038</v>
      </c>
      <c r="J17" s="80">
        <v>16157</v>
      </c>
      <c r="K17" s="80">
        <v>16362</v>
      </c>
      <c r="L17" s="83">
        <v>16679</v>
      </c>
    </row>
    <row r="18" spans="1:13" x14ac:dyDescent="0.25">
      <c r="A18" s="1670"/>
      <c r="B18" s="1717"/>
      <c r="C18" s="1301"/>
      <c r="D18" s="164" t="s">
        <v>295</v>
      </c>
      <c r="E18" s="80">
        <v>4425</v>
      </c>
      <c r="F18" s="80">
        <v>5045</v>
      </c>
      <c r="G18" s="80">
        <v>5748</v>
      </c>
      <c r="H18" s="80">
        <v>6114</v>
      </c>
      <c r="I18" s="80">
        <v>6024</v>
      </c>
      <c r="J18" s="80">
        <v>6060</v>
      </c>
      <c r="K18" s="80">
        <v>6106</v>
      </c>
      <c r="L18" s="83">
        <v>6251</v>
      </c>
    </row>
    <row r="19" spans="1:13" ht="16.5" thickBot="1" x14ac:dyDescent="0.3">
      <c r="A19" s="1670"/>
      <c r="B19" s="1717"/>
      <c r="C19" s="1302"/>
      <c r="D19" s="169" t="s">
        <v>296</v>
      </c>
      <c r="E19" s="381">
        <v>4</v>
      </c>
      <c r="F19" s="381">
        <v>4</v>
      </c>
      <c r="G19" s="381">
        <v>0</v>
      </c>
      <c r="H19" s="381">
        <v>0</v>
      </c>
      <c r="I19" s="381">
        <v>0</v>
      </c>
      <c r="J19" s="381">
        <v>0</v>
      </c>
      <c r="K19" s="381">
        <v>0</v>
      </c>
      <c r="L19" s="756">
        <v>0</v>
      </c>
    </row>
    <row r="20" spans="1:13" x14ac:dyDescent="0.25">
      <c r="A20" s="1670"/>
      <c r="B20" s="1717"/>
      <c r="C20" s="1306" t="s">
        <v>269</v>
      </c>
      <c r="D20" s="535" t="s">
        <v>272</v>
      </c>
      <c r="E20" s="375">
        <f>E14-E8</f>
        <v>9605</v>
      </c>
      <c r="F20" s="375">
        <f t="shared" ref="F20:L20" si="2">F14-F8</f>
        <v>10325</v>
      </c>
      <c r="G20" s="375">
        <f t="shared" si="2"/>
        <v>9633</v>
      </c>
      <c r="H20" s="375">
        <f t="shared" si="2"/>
        <v>9733</v>
      </c>
      <c r="I20" s="375">
        <f t="shared" si="2"/>
        <v>9658</v>
      </c>
      <c r="J20" s="375">
        <f t="shared" si="2"/>
        <v>9358</v>
      </c>
      <c r="K20" s="375">
        <f t="shared" si="2"/>
        <v>9043</v>
      </c>
      <c r="L20" s="376">
        <f t="shared" si="2"/>
        <v>8981</v>
      </c>
    </row>
    <row r="21" spans="1:13" x14ac:dyDescent="0.25">
      <c r="A21" s="1670"/>
      <c r="B21" s="1717"/>
      <c r="C21" s="1307"/>
      <c r="D21" s="527" t="s">
        <v>275</v>
      </c>
      <c r="E21" s="363">
        <f t="shared" ref="E21:L24" si="3">E15-E9</f>
        <v>18</v>
      </c>
      <c r="F21" s="157">
        <f t="shared" si="3"/>
        <v>-232</v>
      </c>
      <c r="G21" s="157">
        <f t="shared" si="3"/>
        <v>-491</v>
      </c>
      <c r="H21" s="157">
        <f t="shared" si="3"/>
        <v>-376</v>
      </c>
      <c r="I21" s="157">
        <f t="shared" si="3"/>
        <v>-374</v>
      </c>
      <c r="J21" s="157">
        <f t="shared" si="3"/>
        <v>-351</v>
      </c>
      <c r="K21" s="157">
        <f t="shared" si="3"/>
        <v>-403</v>
      </c>
      <c r="L21" s="160">
        <f t="shared" si="3"/>
        <v>-456</v>
      </c>
    </row>
    <row r="22" spans="1:13" x14ac:dyDescent="0.25">
      <c r="A22" s="1670"/>
      <c r="B22" s="1717"/>
      <c r="C22" s="1307"/>
      <c r="D22" s="527" t="s">
        <v>282</v>
      </c>
      <c r="E22" s="363">
        <f t="shared" si="3"/>
        <v>4369</v>
      </c>
      <c r="F22" s="363">
        <f t="shared" si="3"/>
        <v>5245</v>
      </c>
      <c r="G22" s="363">
        <f t="shared" si="3"/>
        <v>4601</v>
      </c>
      <c r="H22" s="363">
        <f t="shared" si="3"/>
        <v>4422</v>
      </c>
      <c r="I22" s="363">
        <f t="shared" si="3"/>
        <v>4394</v>
      </c>
      <c r="J22" s="363">
        <f t="shared" si="3"/>
        <v>4080</v>
      </c>
      <c r="K22" s="363">
        <f t="shared" si="3"/>
        <v>3798</v>
      </c>
      <c r="L22" s="365">
        <f t="shared" si="3"/>
        <v>3846</v>
      </c>
    </row>
    <row r="23" spans="1:13" x14ac:dyDescent="0.25">
      <c r="A23" s="1670"/>
      <c r="B23" s="1717"/>
      <c r="C23" s="1307"/>
      <c r="D23" s="527" t="s">
        <v>288</v>
      </c>
      <c r="E23" s="363">
        <f t="shared" si="3"/>
        <v>5217</v>
      </c>
      <c r="F23" s="363">
        <f t="shared" si="3"/>
        <v>5310</v>
      </c>
      <c r="G23" s="363">
        <f t="shared" si="3"/>
        <v>5523</v>
      </c>
      <c r="H23" s="363">
        <f t="shared" si="3"/>
        <v>5687</v>
      </c>
      <c r="I23" s="363">
        <f t="shared" si="3"/>
        <v>5638</v>
      </c>
      <c r="J23" s="363">
        <f t="shared" si="3"/>
        <v>5629</v>
      </c>
      <c r="K23" s="363">
        <f t="shared" si="3"/>
        <v>5648</v>
      </c>
      <c r="L23" s="365">
        <f t="shared" si="3"/>
        <v>5591</v>
      </c>
    </row>
    <row r="24" spans="1:13" ht="16.5" thickBot="1" x14ac:dyDescent="0.3">
      <c r="A24" s="1670"/>
      <c r="B24" s="1717"/>
      <c r="C24" s="1308"/>
      <c r="D24" s="538" t="s">
        <v>295</v>
      </c>
      <c r="E24" s="382">
        <f t="shared" si="3"/>
        <v>2508</v>
      </c>
      <c r="F24" s="382">
        <f t="shared" si="3"/>
        <v>2694</v>
      </c>
      <c r="G24" s="382">
        <f t="shared" si="3"/>
        <v>2905</v>
      </c>
      <c r="H24" s="382">
        <f t="shared" si="3"/>
        <v>3120</v>
      </c>
      <c r="I24" s="382">
        <f t="shared" si="3"/>
        <v>3059</v>
      </c>
      <c r="J24" s="382">
        <f t="shared" si="3"/>
        <v>3077</v>
      </c>
      <c r="K24" s="382">
        <f t="shared" si="3"/>
        <v>3067</v>
      </c>
      <c r="L24" s="383">
        <f t="shared" si="3"/>
        <v>3071</v>
      </c>
    </row>
    <row r="25" spans="1:13" ht="15" customHeight="1" x14ac:dyDescent="0.25">
      <c r="A25" s="1670"/>
      <c r="B25" s="1717"/>
      <c r="C25" s="1265" t="s">
        <v>270</v>
      </c>
      <c r="D25" s="535" t="s">
        <v>272</v>
      </c>
      <c r="E25" s="384">
        <f>E14/E3*100</f>
        <v>54.013382148718591</v>
      </c>
      <c r="F25" s="384">
        <f t="shared" ref="F25:L25" si="4">F14/F3*100</f>
        <v>54.34075220085596</v>
      </c>
      <c r="G25" s="384">
        <f t="shared" si="4"/>
        <v>54.155701848991811</v>
      </c>
      <c r="H25" s="384">
        <f t="shared" si="4"/>
        <v>53.999326117863632</v>
      </c>
      <c r="I25" s="384">
        <f t="shared" si="4"/>
        <v>53.996391744045546</v>
      </c>
      <c r="J25" s="384">
        <f t="shared" si="4"/>
        <v>53.887504154204059</v>
      </c>
      <c r="K25" s="384">
        <f t="shared" si="4"/>
        <v>53.713544190477755</v>
      </c>
      <c r="L25" s="385">
        <f t="shared" si="4"/>
        <v>53.586002571412607</v>
      </c>
    </row>
    <row r="26" spans="1:13" x14ac:dyDescent="0.25">
      <c r="A26" s="1670"/>
      <c r="B26" s="1717"/>
      <c r="C26" s="1360"/>
      <c r="D26" s="527" t="s">
        <v>275</v>
      </c>
      <c r="E26" s="364">
        <f>(E15/(E15+E9))*100</f>
        <v>50.052331666472853</v>
      </c>
      <c r="F26" s="158">
        <f t="shared" ref="F26:L27" si="5">(F15/(F15+F9))*100</f>
        <v>49.352678571428569</v>
      </c>
      <c r="G26" s="158">
        <f t="shared" si="5"/>
        <v>48.592074324711817</v>
      </c>
      <c r="H26" s="158">
        <f t="shared" si="5"/>
        <v>48.921028466483016</v>
      </c>
      <c r="I26" s="158">
        <f t="shared" si="5"/>
        <v>48.90232448931674</v>
      </c>
      <c r="J26" s="158">
        <f t="shared" si="5"/>
        <v>48.954548162268424</v>
      </c>
      <c r="K26" s="158">
        <f t="shared" si="5"/>
        <v>48.800381020420311</v>
      </c>
      <c r="L26" s="330">
        <f t="shared" si="5"/>
        <v>48.55256475368207</v>
      </c>
    </row>
    <row r="27" spans="1:13" x14ac:dyDescent="0.25">
      <c r="A27" s="1670"/>
      <c r="B27" s="1717"/>
      <c r="C27" s="1360"/>
      <c r="D27" s="527" t="s">
        <v>282</v>
      </c>
      <c r="E27" s="364">
        <f>(E16/(E16+E10))*100</f>
        <v>52.724053221602887</v>
      </c>
      <c r="F27" s="364">
        <f t="shared" si="5"/>
        <v>53.347886586751436</v>
      </c>
      <c r="G27" s="364">
        <f t="shared" si="5"/>
        <v>53.114971632838206</v>
      </c>
      <c r="H27" s="364">
        <f t="shared" si="5"/>
        <v>52.844974007926297</v>
      </c>
      <c r="I27" s="364">
        <f t="shared" si="5"/>
        <v>52.839968976215104</v>
      </c>
      <c r="J27" s="364">
        <f t="shared" si="5"/>
        <v>52.653209863697846</v>
      </c>
      <c r="K27" s="364">
        <f t="shared" si="5"/>
        <v>52.438241487340143</v>
      </c>
      <c r="L27" s="386">
        <f t="shared" si="5"/>
        <v>52.353617937922259</v>
      </c>
    </row>
    <row r="28" spans="1:13" x14ac:dyDescent="0.25">
      <c r="A28" s="1670"/>
      <c r="B28" s="1717"/>
      <c r="C28" s="1360"/>
      <c r="D28" s="527" t="s">
        <v>288</v>
      </c>
      <c r="E28" s="364">
        <f t="shared" ref="E28:L29" si="6">(E17/(E17+E11))*100</f>
        <v>62.218370883882145</v>
      </c>
      <c r="F28" s="364">
        <f t="shared" si="6"/>
        <v>61.710479887085391</v>
      </c>
      <c r="G28" s="364">
        <f t="shared" si="6"/>
        <v>61.220592418024452</v>
      </c>
      <c r="H28" s="364">
        <f t="shared" si="6"/>
        <v>60.712805636137588</v>
      </c>
      <c r="I28" s="364">
        <f t="shared" si="6"/>
        <v>60.662682502458587</v>
      </c>
      <c r="J28" s="364">
        <f t="shared" si="6"/>
        <v>60.547123852351504</v>
      </c>
      <c r="K28" s="364">
        <f t="shared" si="6"/>
        <v>60.429901019352926</v>
      </c>
      <c r="L28" s="386">
        <f t="shared" si="6"/>
        <v>60.067706270032772</v>
      </c>
    </row>
    <row r="29" spans="1:13" ht="16.5" thickBot="1" x14ac:dyDescent="0.3">
      <c r="A29" s="1670"/>
      <c r="B29" s="1722"/>
      <c r="C29" s="1419"/>
      <c r="D29" s="545" t="s">
        <v>295</v>
      </c>
      <c r="E29" s="378">
        <f t="shared" si="6"/>
        <v>69.772942289498587</v>
      </c>
      <c r="F29" s="378">
        <f t="shared" si="6"/>
        <v>68.212547322877228</v>
      </c>
      <c r="G29" s="378">
        <f t="shared" si="6"/>
        <v>66.907228494936561</v>
      </c>
      <c r="H29" s="378">
        <f t="shared" si="6"/>
        <v>67.12779973649539</v>
      </c>
      <c r="I29" s="378">
        <f t="shared" si="6"/>
        <v>67.015240849927693</v>
      </c>
      <c r="J29" s="378">
        <f t="shared" si="6"/>
        <v>67.013159349773304</v>
      </c>
      <c r="K29" s="378">
        <f t="shared" si="6"/>
        <v>66.768726079825029</v>
      </c>
      <c r="L29" s="379">
        <f t="shared" si="6"/>
        <v>66.281412363482133</v>
      </c>
    </row>
    <row r="30" spans="1:13" ht="17.25" thickTop="1" thickBot="1" x14ac:dyDescent="0.3">
      <c r="A30" s="1670"/>
      <c r="B30" s="738" t="s">
        <v>249</v>
      </c>
      <c r="C30" s="1422"/>
      <c r="D30" s="1422"/>
      <c r="E30" s="616">
        <v>2005</v>
      </c>
      <c r="F30" s="616">
        <v>2010</v>
      </c>
      <c r="G30" s="616">
        <v>2015</v>
      </c>
      <c r="H30" s="616">
        <v>2020</v>
      </c>
      <c r="I30" s="616">
        <v>2021</v>
      </c>
      <c r="J30" s="616">
        <v>2022</v>
      </c>
      <c r="K30" s="616">
        <v>2023</v>
      </c>
      <c r="L30" s="616">
        <v>2024</v>
      </c>
      <c r="M30" s="482"/>
    </row>
    <row r="31" spans="1:13" x14ac:dyDescent="0.25">
      <c r="A31" s="1670"/>
      <c r="B31" s="1712" t="s">
        <v>320</v>
      </c>
      <c r="C31" s="1211" t="s">
        <v>272</v>
      </c>
      <c r="D31" s="1541"/>
      <c r="E31" s="81">
        <v>14581</v>
      </c>
      <c r="F31" s="81">
        <v>15702</v>
      </c>
      <c r="G31" s="81">
        <v>11499</v>
      </c>
      <c r="H31" s="81">
        <v>13710</v>
      </c>
      <c r="I31" s="81">
        <v>14000</v>
      </c>
      <c r="J31" s="81">
        <v>13629</v>
      </c>
      <c r="K31" s="81">
        <v>14593</v>
      </c>
      <c r="L31" s="82">
        <f>L32+L33</f>
        <v>16701</v>
      </c>
    </row>
    <row r="32" spans="1:13" x14ac:dyDescent="0.25">
      <c r="A32" s="1670"/>
      <c r="B32" s="1713"/>
      <c r="C32" s="1124" t="s">
        <v>257</v>
      </c>
      <c r="D32" s="1124"/>
      <c r="E32" s="80">
        <v>6380</v>
      </c>
      <c r="F32" s="80">
        <v>6568</v>
      </c>
      <c r="G32" s="80">
        <v>4768</v>
      </c>
      <c r="H32" s="80">
        <v>5839</v>
      </c>
      <c r="I32" s="80">
        <v>6006</v>
      </c>
      <c r="J32" s="80">
        <v>5841</v>
      </c>
      <c r="K32" s="80">
        <v>6403</v>
      </c>
      <c r="L32" s="83">
        <v>7416</v>
      </c>
    </row>
    <row r="33" spans="1:12" x14ac:dyDescent="0.25">
      <c r="A33" s="1670"/>
      <c r="B33" s="1713"/>
      <c r="C33" s="1124" t="s">
        <v>263</v>
      </c>
      <c r="D33" s="1124"/>
      <c r="E33" s="80">
        <v>8201</v>
      </c>
      <c r="F33" s="80">
        <v>9134</v>
      </c>
      <c r="G33" s="80">
        <v>6731</v>
      </c>
      <c r="H33" s="80">
        <v>7871</v>
      </c>
      <c r="I33" s="80">
        <v>7994</v>
      </c>
      <c r="J33" s="80">
        <v>7788</v>
      </c>
      <c r="K33" s="80">
        <v>8190</v>
      </c>
      <c r="L33" s="83">
        <v>9285</v>
      </c>
    </row>
    <row r="34" spans="1:12" x14ac:dyDescent="0.25">
      <c r="A34" s="1670"/>
      <c r="B34" s="1713"/>
      <c r="C34" s="1112" t="s">
        <v>269</v>
      </c>
      <c r="D34" s="1112"/>
      <c r="E34" s="363">
        <f>+E33-E32</f>
        <v>1821</v>
      </c>
      <c r="F34" s="363">
        <f t="shared" ref="F34:L34" si="7">+F33-F32</f>
        <v>2566</v>
      </c>
      <c r="G34" s="363">
        <f t="shared" si="7"/>
        <v>1963</v>
      </c>
      <c r="H34" s="363">
        <f t="shared" si="7"/>
        <v>2032</v>
      </c>
      <c r="I34" s="363">
        <f t="shared" si="7"/>
        <v>1988</v>
      </c>
      <c r="J34" s="363">
        <f t="shared" si="7"/>
        <v>1947</v>
      </c>
      <c r="K34" s="363">
        <f t="shared" si="7"/>
        <v>1787</v>
      </c>
      <c r="L34" s="365">
        <f t="shared" si="7"/>
        <v>1869</v>
      </c>
    </row>
    <row r="35" spans="1:12" ht="16.5" thickBot="1" x14ac:dyDescent="0.3">
      <c r="A35" s="1670"/>
      <c r="B35" s="1714"/>
      <c r="C35" s="1126" t="s">
        <v>270</v>
      </c>
      <c r="D35" s="1126"/>
      <c r="E35" s="366">
        <f>E33/E31*100</f>
        <v>56.244427679857345</v>
      </c>
      <c r="F35" s="366">
        <f t="shared" ref="F35:L35" si="8">F33/F31*100</f>
        <v>58.170933639026877</v>
      </c>
      <c r="G35" s="366">
        <f t="shared" si="8"/>
        <v>58.535524828245933</v>
      </c>
      <c r="H35" s="366">
        <f t="shared" si="8"/>
        <v>57.410649161196204</v>
      </c>
      <c r="I35" s="366">
        <f t="shared" si="8"/>
        <v>57.099999999999994</v>
      </c>
      <c r="J35" s="366">
        <f t="shared" si="8"/>
        <v>57.142857142857139</v>
      </c>
      <c r="K35" s="366">
        <f t="shared" si="8"/>
        <v>56.122798602069487</v>
      </c>
      <c r="L35" s="367">
        <f t="shared" si="8"/>
        <v>55.595473324950603</v>
      </c>
    </row>
    <row r="36" spans="1:12" ht="15" customHeight="1" x14ac:dyDescent="0.25">
      <c r="A36" s="1670"/>
      <c r="B36" s="1712" t="s">
        <v>342</v>
      </c>
      <c r="C36" s="1147" t="s">
        <v>343</v>
      </c>
      <c r="D36" s="1147"/>
      <c r="E36" s="195">
        <f>E37+E38</f>
        <v>4423</v>
      </c>
      <c r="F36" s="195">
        <f t="shared" ref="F36:L36" si="9">F37+F38</f>
        <v>4968</v>
      </c>
      <c r="G36" s="195">
        <f t="shared" si="9"/>
        <v>5642</v>
      </c>
      <c r="H36" s="195">
        <f t="shared" si="9"/>
        <v>6003</v>
      </c>
      <c r="I36" s="195">
        <f t="shared" si="9"/>
        <v>6259</v>
      </c>
      <c r="J36" s="195">
        <f t="shared" si="9"/>
        <v>6376</v>
      </c>
      <c r="K36" s="195">
        <f t="shared" si="9"/>
        <v>6496</v>
      </c>
      <c r="L36" s="196">
        <f t="shared" si="9"/>
        <v>6748</v>
      </c>
    </row>
    <row r="37" spans="1:12" x14ac:dyDescent="0.25">
      <c r="A37" s="1670"/>
      <c r="B37" s="1713"/>
      <c r="C37" s="1124" t="s">
        <v>344</v>
      </c>
      <c r="D37" s="1124"/>
      <c r="E37" s="181">
        <v>793</v>
      </c>
      <c r="F37" s="80">
        <v>1010</v>
      </c>
      <c r="G37" s="80">
        <v>1264</v>
      </c>
      <c r="H37" s="80">
        <v>1436</v>
      </c>
      <c r="I37" s="80">
        <v>1506</v>
      </c>
      <c r="J37" s="80">
        <v>1558</v>
      </c>
      <c r="K37" s="80">
        <v>1580</v>
      </c>
      <c r="L37" s="83">
        <v>1703</v>
      </c>
    </row>
    <row r="38" spans="1:12" x14ac:dyDescent="0.25">
      <c r="A38" s="1670"/>
      <c r="B38" s="1713"/>
      <c r="C38" s="1124" t="s">
        <v>345</v>
      </c>
      <c r="D38" s="1124"/>
      <c r="E38" s="80">
        <v>3630</v>
      </c>
      <c r="F38" s="80">
        <v>3958</v>
      </c>
      <c r="G38" s="80">
        <v>4378</v>
      </c>
      <c r="H38" s="80">
        <v>4567</v>
      </c>
      <c r="I38" s="80">
        <v>4753</v>
      </c>
      <c r="J38" s="80">
        <v>4818</v>
      </c>
      <c r="K38" s="80">
        <v>4916</v>
      </c>
      <c r="L38" s="83">
        <v>5045</v>
      </c>
    </row>
    <row r="39" spans="1:12" x14ac:dyDescent="0.25">
      <c r="A39" s="1670"/>
      <c r="B39" s="1713"/>
      <c r="C39" s="1112" t="s">
        <v>269</v>
      </c>
      <c r="D39" s="1112"/>
      <c r="E39" s="157">
        <f>E38-E37</f>
        <v>2837</v>
      </c>
      <c r="F39" s="157">
        <f t="shared" ref="F39:L39" si="10">F38-F37</f>
        <v>2948</v>
      </c>
      <c r="G39" s="157">
        <f t="shared" si="10"/>
        <v>3114</v>
      </c>
      <c r="H39" s="157">
        <f t="shared" si="10"/>
        <v>3131</v>
      </c>
      <c r="I39" s="157">
        <f t="shared" si="10"/>
        <v>3247</v>
      </c>
      <c r="J39" s="157">
        <f t="shared" si="10"/>
        <v>3260</v>
      </c>
      <c r="K39" s="157">
        <f t="shared" si="10"/>
        <v>3336</v>
      </c>
      <c r="L39" s="160">
        <f t="shared" si="10"/>
        <v>3342</v>
      </c>
    </row>
    <row r="40" spans="1:12" ht="16.5" thickBot="1" x14ac:dyDescent="0.3">
      <c r="A40" s="1670"/>
      <c r="B40" s="1714"/>
      <c r="C40" s="1126" t="s">
        <v>346</v>
      </c>
      <c r="D40" s="1126"/>
      <c r="E40" s="161">
        <f t="shared" ref="E40:L40" si="11">E38/E36*100</f>
        <v>82.07099253900067</v>
      </c>
      <c r="F40" s="161">
        <f t="shared" si="11"/>
        <v>79.669887278582934</v>
      </c>
      <c r="G40" s="161">
        <f t="shared" si="11"/>
        <v>77.596596951435657</v>
      </c>
      <c r="H40" s="161">
        <f t="shared" si="11"/>
        <v>76.078627352990168</v>
      </c>
      <c r="I40" s="161">
        <f t="shared" si="11"/>
        <v>75.938648346381214</v>
      </c>
      <c r="J40" s="161">
        <f t="shared" si="11"/>
        <v>75.564617314930999</v>
      </c>
      <c r="K40" s="161">
        <f t="shared" si="11"/>
        <v>75.677339901477836</v>
      </c>
      <c r="L40" s="162">
        <f t="shared" si="11"/>
        <v>74.762892708950801</v>
      </c>
    </row>
    <row r="41" spans="1:12" ht="15" customHeight="1" x14ac:dyDescent="0.25">
      <c r="A41" s="1670"/>
      <c r="B41" s="1712" t="s">
        <v>347</v>
      </c>
      <c r="C41" s="1206" t="s">
        <v>348</v>
      </c>
      <c r="D41" s="1206"/>
      <c r="E41" s="195">
        <f>E42+E43</f>
        <v>906</v>
      </c>
      <c r="F41" s="195">
        <f t="shared" ref="F41:L41" si="12">F42+F43</f>
        <v>1080</v>
      </c>
      <c r="G41" s="195">
        <f t="shared" si="12"/>
        <v>1232</v>
      </c>
      <c r="H41" s="195">
        <f t="shared" si="12"/>
        <v>1193</v>
      </c>
      <c r="I41" s="195">
        <f t="shared" si="12"/>
        <v>1186</v>
      </c>
      <c r="J41" s="195">
        <f t="shared" si="12"/>
        <v>1178</v>
      </c>
      <c r="K41" s="195">
        <f t="shared" si="12"/>
        <v>1187</v>
      </c>
      <c r="L41" s="196">
        <f t="shared" si="12"/>
        <v>1175</v>
      </c>
    </row>
    <row r="42" spans="1:12" x14ac:dyDescent="0.25">
      <c r="A42" s="1670"/>
      <c r="B42" s="1713"/>
      <c r="C42" s="1124" t="s">
        <v>349</v>
      </c>
      <c r="D42" s="1124"/>
      <c r="E42" s="181">
        <v>206</v>
      </c>
      <c r="F42" s="181">
        <v>232</v>
      </c>
      <c r="G42" s="181">
        <v>231</v>
      </c>
      <c r="H42" s="181">
        <v>234</v>
      </c>
      <c r="I42" s="181">
        <v>225</v>
      </c>
      <c r="J42" s="181">
        <v>224</v>
      </c>
      <c r="K42" s="181">
        <v>235</v>
      </c>
      <c r="L42" s="199">
        <v>233</v>
      </c>
    </row>
    <row r="43" spans="1:12" x14ac:dyDescent="0.25">
      <c r="A43" s="1670"/>
      <c r="B43" s="1713"/>
      <c r="C43" s="1124" t="s">
        <v>350</v>
      </c>
      <c r="D43" s="1124"/>
      <c r="E43" s="181">
        <v>700</v>
      </c>
      <c r="F43" s="181">
        <v>848</v>
      </c>
      <c r="G43" s="80">
        <v>1001</v>
      </c>
      <c r="H43" s="181">
        <v>959</v>
      </c>
      <c r="I43" s="181">
        <v>961</v>
      </c>
      <c r="J43" s="181">
        <v>954</v>
      </c>
      <c r="K43" s="181">
        <v>952</v>
      </c>
      <c r="L43" s="199">
        <v>942</v>
      </c>
    </row>
    <row r="44" spans="1:12" x14ac:dyDescent="0.25">
      <c r="A44" s="1670"/>
      <c r="B44" s="1713"/>
      <c r="C44" s="1112" t="s">
        <v>269</v>
      </c>
      <c r="D44" s="1112"/>
      <c r="E44" s="157">
        <f>E43-E42</f>
        <v>494</v>
      </c>
      <c r="F44" s="157">
        <f t="shared" ref="F44:L44" si="13">F43-F42</f>
        <v>616</v>
      </c>
      <c r="G44" s="157">
        <f t="shared" si="13"/>
        <v>770</v>
      </c>
      <c r="H44" s="157">
        <f t="shared" si="13"/>
        <v>725</v>
      </c>
      <c r="I44" s="157">
        <f t="shared" si="13"/>
        <v>736</v>
      </c>
      <c r="J44" s="157">
        <f t="shared" si="13"/>
        <v>730</v>
      </c>
      <c r="K44" s="157">
        <f t="shared" si="13"/>
        <v>717</v>
      </c>
      <c r="L44" s="160">
        <f t="shared" si="13"/>
        <v>709</v>
      </c>
    </row>
    <row r="45" spans="1:12" ht="16.5" thickBot="1" x14ac:dyDescent="0.3">
      <c r="A45" s="1670"/>
      <c r="B45" s="1715"/>
      <c r="C45" s="1178" t="s">
        <v>351</v>
      </c>
      <c r="D45" s="1178"/>
      <c r="E45" s="165">
        <f t="shared" ref="E45:L45" si="14">E43/E41*100</f>
        <v>77.262693156732894</v>
      </c>
      <c r="F45" s="165">
        <f t="shared" si="14"/>
        <v>78.518518518518519</v>
      </c>
      <c r="G45" s="165">
        <f t="shared" si="14"/>
        <v>81.25</v>
      </c>
      <c r="H45" s="165">
        <f t="shared" si="14"/>
        <v>80.385582564962277</v>
      </c>
      <c r="I45" s="165">
        <f t="shared" si="14"/>
        <v>81.028667790893763</v>
      </c>
      <c r="J45" s="165">
        <f t="shared" si="14"/>
        <v>80.984719864176569</v>
      </c>
      <c r="K45" s="165">
        <f t="shared" si="14"/>
        <v>80.202190395956194</v>
      </c>
      <c r="L45" s="166">
        <f t="shared" si="14"/>
        <v>80.170212765957444</v>
      </c>
    </row>
    <row r="46" spans="1:12" ht="16.5" thickBot="1" x14ac:dyDescent="0.3">
      <c r="A46" s="151" t="s">
        <v>248</v>
      </c>
      <c r="B46" s="723" t="s">
        <v>249</v>
      </c>
      <c r="C46" s="1280"/>
      <c r="D46" s="1280"/>
      <c r="E46" s="724">
        <v>2005</v>
      </c>
      <c r="F46" s="724">
        <v>2010</v>
      </c>
      <c r="G46" s="724">
        <v>2015</v>
      </c>
      <c r="H46" s="724">
        <v>2020</v>
      </c>
      <c r="I46" s="724">
        <v>2021</v>
      </c>
      <c r="J46" s="724">
        <v>2022</v>
      </c>
      <c r="K46" s="724">
        <v>2023</v>
      </c>
      <c r="L46" s="729">
        <v>2024</v>
      </c>
    </row>
    <row r="47" spans="1:12" x14ac:dyDescent="0.25">
      <c r="A47" s="1545" t="s">
        <v>38</v>
      </c>
      <c r="B47" s="1709" t="s">
        <v>352</v>
      </c>
      <c r="C47" s="1147" t="s">
        <v>251</v>
      </c>
      <c r="D47" s="1147"/>
      <c r="E47" s="195">
        <v>3218</v>
      </c>
      <c r="F47" s="195">
        <v>5681</v>
      </c>
      <c r="G47" s="195">
        <v>5142</v>
      </c>
      <c r="H47" s="195">
        <v>4965</v>
      </c>
      <c r="I47" s="195">
        <v>5004</v>
      </c>
      <c r="J47" s="195">
        <v>3430</v>
      </c>
      <c r="K47" s="195">
        <v>3456</v>
      </c>
      <c r="L47" s="82">
        <v>3337</v>
      </c>
    </row>
    <row r="48" spans="1:12" x14ac:dyDescent="0.25">
      <c r="A48" s="1546"/>
      <c r="B48" s="1710"/>
      <c r="C48" s="1124" t="s">
        <v>257</v>
      </c>
      <c r="D48" s="1124"/>
      <c r="E48" s="96">
        <v>1361</v>
      </c>
      <c r="F48" s="96">
        <v>2751</v>
      </c>
      <c r="G48" s="96">
        <v>2352</v>
      </c>
      <c r="H48" s="96">
        <v>2181</v>
      </c>
      <c r="I48" s="96">
        <v>2210</v>
      </c>
      <c r="J48" s="96">
        <v>1473</v>
      </c>
      <c r="K48" s="96">
        <v>1521</v>
      </c>
      <c r="L48" s="83">
        <v>1452</v>
      </c>
    </row>
    <row r="49" spans="1:12" x14ac:dyDescent="0.25">
      <c r="A49" s="1546"/>
      <c r="B49" s="1710"/>
      <c r="C49" s="1124" t="s">
        <v>263</v>
      </c>
      <c r="D49" s="1124"/>
      <c r="E49" s="96">
        <v>1857</v>
      </c>
      <c r="F49" s="96">
        <v>2930</v>
      </c>
      <c r="G49" s="96">
        <v>2790</v>
      </c>
      <c r="H49" s="96">
        <v>2784</v>
      </c>
      <c r="I49" s="96">
        <v>2794</v>
      </c>
      <c r="J49" s="96">
        <v>1957</v>
      </c>
      <c r="K49" s="96">
        <v>1935</v>
      </c>
      <c r="L49" s="83">
        <v>1885</v>
      </c>
    </row>
    <row r="50" spans="1:12" x14ac:dyDescent="0.25">
      <c r="A50" s="1546"/>
      <c r="B50" s="1710"/>
      <c r="C50" s="1112" t="s">
        <v>353</v>
      </c>
      <c r="D50" s="1112"/>
      <c r="E50" s="157">
        <f t="shared" ref="E50:L50" si="15">+E49-E48</f>
        <v>496</v>
      </c>
      <c r="F50" s="157">
        <f t="shared" si="15"/>
        <v>179</v>
      </c>
      <c r="G50" s="157">
        <f t="shared" si="15"/>
        <v>438</v>
      </c>
      <c r="H50" s="157">
        <f t="shared" si="15"/>
        <v>603</v>
      </c>
      <c r="I50" s="157">
        <f t="shared" si="15"/>
        <v>584</v>
      </c>
      <c r="J50" s="157">
        <f t="shared" si="15"/>
        <v>484</v>
      </c>
      <c r="K50" s="157">
        <f t="shared" si="15"/>
        <v>414</v>
      </c>
      <c r="L50" s="160">
        <f t="shared" si="15"/>
        <v>433</v>
      </c>
    </row>
    <row r="51" spans="1:12" ht="16.5" thickBot="1" x14ac:dyDescent="0.3">
      <c r="A51" s="1546"/>
      <c r="B51" s="1711"/>
      <c r="C51" s="1126" t="s">
        <v>270</v>
      </c>
      <c r="D51" s="1126"/>
      <c r="E51" s="161">
        <f>E49/E47*100</f>
        <v>57.706650093225612</v>
      </c>
      <c r="F51" s="161">
        <f t="shared" ref="F51:L51" si="16">F49/F47*100</f>
        <v>51.575426861468053</v>
      </c>
      <c r="G51" s="161">
        <f t="shared" si="16"/>
        <v>54.25904317386231</v>
      </c>
      <c r="H51" s="161">
        <f t="shared" si="16"/>
        <v>56.072507552870086</v>
      </c>
      <c r="I51" s="161">
        <f t="shared" si="16"/>
        <v>55.835331734612318</v>
      </c>
      <c r="J51" s="161">
        <f t="shared" si="16"/>
        <v>57.055393586005835</v>
      </c>
      <c r="K51" s="161">
        <f t="shared" si="16"/>
        <v>55.989583333333336</v>
      </c>
      <c r="L51" s="162">
        <f t="shared" si="16"/>
        <v>56.487863350314647</v>
      </c>
    </row>
    <row r="52" spans="1:12" x14ac:dyDescent="0.25">
      <c r="A52" s="1546"/>
      <c r="B52" s="1709" t="s">
        <v>146</v>
      </c>
      <c r="C52" s="1147" t="s">
        <v>251</v>
      </c>
      <c r="D52" s="1147"/>
      <c r="E52" s="40"/>
      <c r="F52" s="40"/>
      <c r="G52" s="40"/>
      <c r="H52" s="40">
        <v>6.72</v>
      </c>
      <c r="I52" s="40">
        <v>5.45</v>
      </c>
      <c r="J52" s="40">
        <v>4.37</v>
      </c>
      <c r="K52" s="40">
        <v>4.26</v>
      </c>
      <c r="L52" s="38">
        <v>4.07</v>
      </c>
    </row>
    <row r="53" spans="1:12" x14ac:dyDescent="0.25">
      <c r="A53" s="1546"/>
      <c r="B53" s="1710"/>
      <c r="C53" s="1124" t="s">
        <v>257</v>
      </c>
      <c r="D53" s="1124"/>
      <c r="E53" s="28"/>
      <c r="F53" s="28"/>
      <c r="G53" s="28"/>
      <c r="H53" s="28">
        <v>6.28</v>
      </c>
      <c r="I53" s="28">
        <v>5.05</v>
      </c>
      <c r="J53" s="28">
        <v>4.05</v>
      </c>
      <c r="K53" s="28">
        <v>3.96</v>
      </c>
      <c r="L53" s="39">
        <v>3.69</v>
      </c>
    </row>
    <row r="54" spans="1:12" x14ac:dyDescent="0.25">
      <c r="A54" s="1546"/>
      <c r="B54" s="1710"/>
      <c r="C54" s="1223" t="s">
        <v>263</v>
      </c>
      <c r="D54" s="1223"/>
      <c r="E54" s="28"/>
      <c r="F54" s="28"/>
      <c r="G54" s="28"/>
      <c r="H54" s="28">
        <v>7.12</v>
      </c>
      <c r="I54" s="28">
        <v>5.81</v>
      </c>
      <c r="J54" s="28">
        <v>4.6500000000000004</v>
      </c>
      <c r="K54" s="28">
        <v>4.54</v>
      </c>
      <c r="L54" s="39">
        <v>4.41</v>
      </c>
    </row>
    <row r="55" spans="1:12" ht="16.5" thickBot="1" x14ac:dyDescent="0.3">
      <c r="A55" s="1546"/>
      <c r="B55" s="1711"/>
      <c r="C55" s="1225" t="s">
        <v>354</v>
      </c>
      <c r="D55" s="1225"/>
      <c r="E55" s="203"/>
      <c r="F55" s="203"/>
      <c r="G55" s="203"/>
      <c r="H55" s="34">
        <f>+H54-H53</f>
        <v>0.83999999999999986</v>
      </c>
      <c r="I55" s="34">
        <f>+I54-I53</f>
        <v>0.75999999999999979</v>
      </c>
      <c r="J55" s="34">
        <f>+J54-J53</f>
        <v>0.60000000000000053</v>
      </c>
      <c r="K55" s="34">
        <f>+K54-K53</f>
        <v>0.58000000000000007</v>
      </c>
      <c r="L55" s="35">
        <f>+L54-L53</f>
        <v>0.7200000000000002</v>
      </c>
    </row>
    <row r="56" spans="1:12" x14ac:dyDescent="0.25">
      <c r="A56" s="1546"/>
      <c r="B56" s="1709" t="s">
        <v>151</v>
      </c>
      <c r="C56" s="1317" t="s">
        <v>251</v>
      </c>
      <c r="D56" s="1317"/>
      <c r="E56" s="36"/>
      <c r="F56" s="36"/>
      <c r="G56" s="36"/>
      <c r="H56" s="195">
        <v>241</v>
      </c>
      <c r="I56" s="195">
        <v>212</v>
      </c>
      <c r="J56" s="195">
        <v>221</v>
      </c>
      <c r="K56" s="225">
        <v>231</v>
      </c>
      <c r="L56" s="20"/>
    </row>
    <row r="57" spans="1:12" x14ac:dyDescent="0.25">
      <c r="A57" s="1546"/>
      <c r="B57" s="1710"/>
      <c r="C57" s="1230" t="s">
        <v>257</v>
      </c>
      <c r="D57" s="1230"/>
      <c r="E57" s="28"/>
      <c r="F57" s="28"/>
      <c r="G57" s="28"/>
      <c r="H57" s="96">
        <v>89</v>
      </c>
      <c r="I57" s="96">
        <v>83</v>
      </c>
      <c r="J57" s="96">
        <v>86</v>
      </c>
      <c r="K57" s="96">
        <v>99</v>
      </c>
      <c r="L57" s="21"/>
    </row>
    <row r="58" spans="1:12" x14ac:dyDescent="0.25">
      <c r="A58" s="1546"/>
      <c r="B58" s="1710"/>
      <c r="C58" s="1124" t="s">
        <v>263</v>
      </c>
      <c r="D58" s="1124"/>
      <c r="E58" s="28"/>
      <c r="F58" s="28"/>
      <c r="G58" s="28"/>
      <c r="H58" s="96">
        <v>152</v>
      </c>
      <c r="I58" s="96">
        <v>129</v>
      </c>
      <c r="J58" s="96">
        <v>135</v>
      </c>
      <c r="K58" s="96">
        <v>132</v>
      </c>
      <c r="L58" s="21"/>
    </row>
    <row r="59" spans="1:12" x14ac:dyDescent="0.25">
      <c r="A59" s="1546"/>
      <c r="B59" s="1710"/>
      <c r="C59" s="1112" t="s">
        <v>353</v>
      </c>
      <c r="D59" s="1112"/>
      <c r="E59" s="28"/>
      <c r="F59" s="28"/>
      <c r="G59" s="28"/>
      <c r="H59" s="44">
        <f>+H58-H57</f>
        <v>63</v>
      </c>
      <c r="I59" s="44">
        <f>+I58-I57</f>
        <v>46</v>
      </c>
      <c r="J59" s="44">
        <f>+J58-J57</f>
        <v>49</v>
      </c>
      <c r="K59" s="44">
        <f>+K58-K57</f>
        <v>33</v>
      </c>
      <c r="L59" s="21"/>
    </row>
    <row r="60" spans="1:12" x14ac:dyDescent="0.25">
      <c r="A60" s="1546"/>
      <c r="B60" s="1723"/>
      <c r="C60" s="1178" t="s">
        <v>270</v>
      </c>
      <c r="D60" s="1178"/>
      <c r="E60" s="110"/>
      <c r="F60" s="110"/>
      <c r="G60" s="110"/>
      <c r="H60" s="165">
        <f>H58/H56*100</f>
        <v>63.070539419087133</v>
      </c>
      <c r="I60" s="165">
        <f>I58/I56*100</f>
        <v>60.84905660377359</v>
      </c>
      <c r="J60" s="165">
        <f>J58/J56*100</f>
        <v>61.085972850678736</v>
      </c>
      <c r="K60" s="165">
        <f>K58/K56*100</f>
        <v>57.142857142857139</v>
      </c>
      <c r="L60" s="53"/>
    </row>
    <row r="61" spans="1:12" ht="16.5" thickBot="1" x14ac:dyDescent="0.3">
      <c r="A61" s="1546"/>
      <c r="B61" s="738" t="s">
        <v>249</v>
      </c>
      <c r="C61" s="1422"/>
      <c r="D61" s="1422"/>
      <c r="E61" s="616"/>
      <c r="F61" s="616">
        <v>2011</v>
      </c>
      <c r="G61" s="616"/>
      <c r="H61" s="616"/>
      <c r="I61" s="616">
        <v>2021</v>
      </c>
      <c r="J61" s="616"/>
      <c r="K61" s="616"/>
      <c r="L61" s="616"/>
    </row>
    <row r="62" spans="1:12" x14ac:dyDescent="0.25">
      <c r="A62" s="1546"/>
      <c r="B62" s="1709" t="s">
        <v>156</v>
      </c>
      <c r="C62" s="1689" t="s">
        <v>355</v>
      </c>
      <c r="D62" s="207" t="s">
        <v>251</v>
      </c>
      <c r="E62" s="612"/>
      <c r="F62" s="81">
        <v>50405</v>
      </c>
      <c r="G62" s="103"/>
      <c r="H62" s="103"/>
      <c r="I62" s="81">
        <v>50784</v>
      </c>
      <c r="J62" s="36"/>
      <c r="K62" s="36"/>
      <c r="L62" s="20"/>
    </row>
    <row r="63" spans="1:12" ht="15" customHeight="1" x14ac:dyDescent="0.25">
      <c r="A63" s="1546"/>
      <c r="B63" s="1710"/>
      <c r="C63" s="1676"/>
      <c r="D63" s="28" t="s">
        <v>257</v>
      </c>
      <c r="E63" s="94"/>
      <c r="F63" s="80">
        <v>24660</v>
      </c>
      <c r="G63" s="95"/>
      <c r="H63" s="95"/>
      <c r="I63" s="80">
        <v>24924</v>
      </c>
      <c r="J63" s="28"/>
      <c r="K63" s="28"/>
      <c r="L63" s="21"/>
    </row>
    <row r="64" spans="1:12" x14ac:dyDescent="0.25">
      <c r="A64" s="1546"/>
      <c r="B64" s="1710"/>
      <c r="C64" s="1676"/>
      <c r="D64" s="28" t="s">
        <v>263</v>
      </c>
      <c r="E64" s="94"/>
      <c r="F64" s="80">
        <v>25750</v>
      </c>
      <c r="G64" s="95"/>
      <c r="H64" s="95"/>
      <c r="I64" s="80">
        <v>25860</v>
      </c>
      <c r="J64" s="28"/>
      <c r="K64" s="28"/>
      <c r="L64" s="21"/>
    </row>
    <row r="65" spans="1:12" hidden="1" x14ac:dyDescent="0.25">
      <c r="A65" s="1546"/>
      <c r="B65" s="1710"/>
      <c r="C65" s="1403" t="s">
        <v>356</v>
      </c>
      <c r="D65" s="144" t="s">
        <v>251</v>
      </c>
      <c r="E65" s="94"/>
      <c r="F65" s="80">
        <v>255</v>
      </c>
      <c r="G65" s="95"/>
      <c r="H65" s="95"/>
      <c r="I65" s="96"/>
      <c r="J65" s="28"/>
      <c r="K65" s="28"/>
      <c r="L65" s="21"/>
    </row>
    <row r="66" spans="1:12" hidden="1" x14ac:dyDescent="0.25">
      <c r="A66" s="1546"/>
      <c r="B66" s="1710"/>
      <c r="C66" s="1403"/>
      <c r="D66" s="28" t="s">
        <v>257</v>
      </c>
      <c r="E66" s="94"/>
      <c r="F66" s="80">
        <v>245</v>
      </c>
      <c r="G66" s="95"/>
      <c r="H66" s="95"/>
      <c r="I66" s="96"/>
      <c r="J66" s="28"/>
      <c r="K66" s="28"/>
      <c r="L66" s="21"/>
    </row>
    <row r="67" spans="1:12" hidden="1" x14ac:dyDescent="0.25">
      <c r="A67" s="1546"/>
      <c r="B67" s="1710"/>
      <c r="C67" s="1403"/>
      <c r="D67" s="28" t="s">
        <v>263</v>
      </c>
      <c r="E67" s="94"/>
      <c r="F67" s="80">
        <v>10</v>
      </c>
      <c r="G67" s="95"/>
      <c r="H67" s="95"/>
      <c r="I67" s="96"/>
      <c r="J67" s="28"/>
      <c r="K67" s="28"/>
      <c r="L67" s="21"/>
    </row>
    <row r="68" spans="1:12" hidden="1" x14ac:dyDescent="0.25">
      <c r="A68" s="1546"/>
      <c r="B68" s="1710"/>
      <c r="C68" s="1403"/>
      <c r="D68" s="28" t="s">
        <v>357</v>
      </c>
      <c r="E68" s="94"/>
      <c r="F68" s="97">
        <f>F67/F65*100</f>
        <v>3.9215686274509802</v>
      </c>
      <c r="G68" s="94"/>
      <c r="H68" s="94"/>
      <c r="I68" s="28"/>
      <c r="J68" s="28"/>
      <c r="K68" s="28"/>
      <c r="L68" s="21"/>
    </row>
    <row r="69" spans="1:12" ht="14.85" hidden="1" customHeight="1" x14ac:dyDescent="0.25">
      <c r="A69" s="1546"/>
      <c r="B69" s="1710"/>
      <c r="C69" s="1403" t="s">
        <v>358</v>
      </c>
      <c r="D69" s="144" t="s">
        <v>251</v>
      </c>
      <c r="E69" s="94"/>
      <c r="F69" s="80">
        <v>1565</v>
      </c>
      <c r="G69" s="80"/>
      <c r="H69" s="80"/>
      <c r="I69" s="80">
        <v>495</v>
      </c>
      <c r="J69" s="28"/>
      <c r="K69" s="28"/>
      <c r="L69" s="21"/>
    </row>
    <row r="70" spans="1:12" hidden="1" x14ac:dyDescent="0.25">
      <c r="A70" s="1546"/>
      <c r="B70" s="1710"/>
      <c r="C70" s="1403"/>
      <c r="D70" s="28" t="s">
        <v>257</v>
      </c>
      <c r="E70" s="94"/>
      <c r="F70" s="80">
        <v>1150</v>
      </c>
      <c r="G70" s="80"/>
      <c r="H70" s="80"/>
      <c r="I70" s="80">
        <v>381</v>
      </c>
      <c r="J70" s="28"/>
      <c r="K70" s="28"/>
      <c r="L70" s="21"/>
    </row>
    <row r="71" spans="1:12" hidden="1" x14ac:dyDescent="0.25">
      <c r="A71" s="1546"/>
      <c r="B71" s="1710"/>
      <c r="C71" s="1403"/>
      <c r="D71" s="28" t="s">
        <v>263</v>
      </c>
      <c r="E71" s="94"/>
      <c r="F71" s="80">
        <v>415</v>
      </c>
      <c r="G71" s="80"/>
      <c r="H71" s="80"/>
      <c r="I71" s="80">
        <v>114</v>
      </c>
      <c r="J71" s="28"/>
      <c r="K71" s="28"/>
      <c r="L71" s="21"/>
    </row>
    <row r="72" spans="1:12" hidden="1" x14ac:dyDescent="0.25">
      <c r="A72" s="1546"/>
      <c r="B72" s="1710"/>
      <c r="C72" s="1403"/>
      <c r="D72" s="28" t="s">
        <v>357</v>
      </c>
      <c r="E72" s="94"/>
      <c r="F72" s="97">
        <f>F71/F69*100</f>
        <v>26.517571884984026</v>
      </c>
      <c r="G72" s="94"/>
      <c r="H72" s="94"/>
      <c r="I72" s="97">
        <f>I71/I69*100</f>
        <v>23.030303030303031</v>
      </c>
      <c r="J72" s="28"/>
      <c r="K72" s="28"/>
      <c r="L72" s="21"/>
    </row>
    <row r="73" spans="1:12" hidden="1" x14ac:dyDescent="0.25">
      <c r="A73" s="1546"/>
      <c r="B73" s="1710"/>
      <c r="C73" s="1403" t="s">
        <v>359</v>
      </c>
      <c r="D73" s="144" t="s">
        <v>251</v>
      </c>
      <c r="E73" s="94"/>
      <c r="F73" s="80">
        <v>1840</v>
      </c>
      <c r="G73" s="80"/>
      <c r="H73" s="80"/>
      <c r="I73" s="80">
        <v>2151</v>
      </c>
      <c r="J73" s="28"/>
      <c r="K73" s="28"/>
      <c r="L73" s="21"/>
    </row>
    <row r="74" spans="1:12" hidden="1" x14ac:dyDescent="0.25">
      <c r="A74" s="1546"/>
      <c r="B74" s="1710"/>
      <c r="C74" s="1403"/>
      <c r="D74" s="28" t="s">
        <v>257</v>
      </c>
      <c r="E74" s="94"/>
      <c r="F74" s="80">
        <v>1120</v>
      </c>
      <c r="G74" s="80"/>
      <c r="H74" s="80"/>
      <c r="I74" s="80">
        <v>1296</v>
      </c>
      <c r="J74" s="28"/>
      <c r="K74" s="28"/>
      <c r="L74" s="21"/>
    </row>
    <row r="75" spans="1:12" hidden="1" x14ac:dyDescent="0.25">
      <c r="A75" s="1546"/>
      <c r="B75" s="1710"/>
      <c r="C75" s="1403"/>
      <c r="D75" s="28" t="s">
        <v>263</v>
      </c>
      <c r="E75" s="94"/>
      <c r="F75" s="80">
        <v>725</v>
      </c>
      <c r="G75" s="80"/>
      <c r="H75" s="80"/>
      <c r="I75" s="80">
        <v>855</v>
      </c>
      <c r="J75" s="28"/>
      <c r="K75" s="28"/>
      <c r="L75" s="21"/>
    </row>
    <row r="76" spans="1:12" hidden="1" x14ac:dyDescent="0.25">
      <c r="A76" s="1546"/>
      <c r="B76" s="1710"/>
      <c r="C76" s="1403"/>
      <c r="D76" s="28" t="s">
        <v>357</v>
      </c>
      <c r="E76" s="94"/>
      <c r="F76" s="97">
        <f>F75/F73*100</f>
        <v>39.402173913043477</v>
      </c>
      <c r="G76" s="94"/>
      <c r="H76" s="94"/>
      <c r="I76" s="97">
        <f>I75/I73*100</f>
        <v>39.748953974895393</v>
      </c>
      <c r="J76" s="28"/>
      <c r="K76" s="28"/>
      <c r="L76" s="21"/>
    </row>
    <row r="77" spans="1:12" hidden="1" x14ac:dyDescent="0.25">
      <c r="A77" s="1546"/>
      <c r="B77" s="1710"/>
      <c r="C77" s="1403" t="s">
        <v>360</v>
      </c>
      <c r="D77" s="144" t="s">
        <v>251</v>
      </c>
      <c r="E77" s="94"/>
      <c r="F77" s="80">
        <v>1930</v>
      </c>
      <c r="G77" s="80"/>
      <c r="H77" s="80"/>
      <c r="I77" s="80">
        <v>708</v>
      </c>
      <c r="J77" s="28"/>
      <c r="K77" s="28"/>
      <c r="L77" s="21"/>
    </row>
    <row r="78" spans="1:12" hidden="1" x14ac:dyDescent="0.25">
      <c r="A78" s="1546"/>
      <c r="B78" s="1710"/>
      <c r="C78" s="1403"/>
      <c r="D78" s="28" t="s">
        <v>257</v>
      </c>
      <c r="E78" s="94"/>
      <c r="F78" s="80">
        <v>1330</v>
      </c>
      <c r="G78" s="80"/>
      <c r="H78" s="80"/>
      <c r="I78" s="80">
        <v>486</v>
      </c>
      <c r="J78" s="28"/>
      <c r="K78" s="28"/>
      <c r="L78" s="21"/>
    </row>
    <row r="79" spans="1:12" hidden="1" x14ac:dyDescent="0.25">
      <c r="A79" s="1546"/>
      <c r="B79" s="1710"/>
      <c r="C79" s="1403"/>
      <c r="D79" s="28" t="s">
        <v>263</v>
      </c>
      <c r="E79" s="94"/>
      <c r="F79" s="80">
        <v>600</v>
      </c>
      <c r="G79" s="80"/>
      <c r="H79" s="80"/>
      <c r="I79" s="80">
        <v>222</v>
      </c>
      <c r="J79" s="28"/>
      <c r="K79" s="28"/>
      <c r="L79" s="21"/>
    </row>
    <row r="80" spans="1:12" hidden="1" x14ac:dyDescent="0.25">
      <c r="A80" s="1546"/>
      <c r="B80" s="1710"/>
      <c r="C80" s="1403"/>
      <c r="D80" s="28" t="s">
        <v>357</v>
      </c>
      <c r="E80" s="94"/>
      <c r="F80" s="97">
        <f>F79/F77*100</f>
        <v>31.088082901554404</v>
      </c>
      <c r="G80" s="94"/>
      <c r="H80" s="94"/>
      <c r="I80" s="97">
        <f>I79/I77*100</f>
        <v>31.35593220338983</v>
      </c>
      <c r="J80" s="28"/>
      <c r="K80" s="28"/>
      <c r="L80" s="21"/>
    </row>
    <row r="81" spans="1:12" hidden="1" x14ac:dyDescent="0.25">
      <c r="A81" s="1546"/>
      <c r="B81" s="1710"/>
      <c r="C81" s="1403" t="s">
        <v>361</v>
      </c>
      <c r="D81" s="144" t="s">
        <v>251</v>
      </c>
      <c r="E81" s="94"/>
      <c r="F81" s="80">
        <v>410</v>
      </c>
      <c r="G81" s="80"/>
      <c r="H81" s="80"/>
      <c r="I81" s="80">
        <v>414</v>
      </c>
      <c r="J81" s="28"/>
      <c r="K81" s="28"/>
      <c r="L81" s="21"/>
    </row>
    <row r="82" spans="1:12" hidden="1" x14ac:dyDescent="0.25">
      <c r="A82" s="1546"/>
      <c r="B82" s="1710"/>
      <c r="C82" s="1403"/>
      <c r="D82" s="28" t="s">
        <v>257</v>
      </c>
      <c r="E82" s="94"/>
      <c r="F82" s="80">
        <v>315</v>
      </c>
      <c r="G82" s="80"/>
      <c r="H82" s="80"/>
      <c r="I82" s="80">
        <v>252</v>
      </c>
      <c r="J82" s="28"/>
      <c r="K82" s="28"/>
      <c r="L82" s="21"/>
    </row>
    <row r="83" spans="1:12" hidden="1" x14ac:dyDescent="0.25">
      <c r="A83" s="1546"/>
      <c r="B83" s="1710"/>
      <c r="C83" s="1403"/>
      <c r="D83" s="28" t="s">
        <v>263</v>
      </c>
      <c r="E83" s="94"/>
      <c r="F83" s="80">
        <v>95</v>
      </c>
      <c r="G83" s="80"/>
      <c r="H83" s="80"/>
      <c r="I83" s="80">
        <v>162</v>
      </c>
      <c r="J83" s="28"/>
      <c r="K83" s="28"/>
      <c r="L83" s="21"/>
    </row>
    <row r="84" spans="1:12" hidden="1" x14ac:dyDescent="0.25">
      <c r="A84" s="1546"/>
      <c r="B84" s="1710"/>
      <c r="C84" s="1403"/>
      <c r="D84" s="28" t="s">
        <v>357</v>
      </c>
      <c r="E84" s="94"/>
      <c r="F84" s="97">
        <f>(F83/F81)*100</f>
        <v>23.170731707317074</v>
      </c>
      <c r="G84" s="94"/>
      <c r="H84" s="94"/>
      <c r="I84" s="97">
        <f>I83/I81*100</f>
        <v>39.130434782608695</v>
      </c>
      <c r="J84" s="28"/>
      <c r="K84" s="28"/>
      <c r="L84" s="21"/>
    </row>
    <row r="85" spans="1:12" hidden="1" x14ac:dyDescent="0.25">
      <c r="A85" s="1546"/>
      <c r="B85" s="1710"/>
      <c r="C85" s="1403" t="s">
        <v>362</v>
      </c>
      <c r="D85" s="144" t="s">
        <v>251</v>
      </c>
      <c r="E85" s="94"/>
      <c r="F85" s="80">
        <v>185</v>
      </c>
      <c r="G85" s="80"/>
      <c r="H85" s="80"/>
      <c r="I85" s="80">
        <v>576</v>
      </c>
      <c r="J85" s="28"/>
      <c r="K85" s="28"/>
      <c r="L85" s="21"/>
    </row>
    <row r="86" spans="1:12" ht="15" hidden="1" customHeight="1" x14ac:dyDescent="0.25">
      <c r="A86" s="1546"/>
      <c r="B86" s="1710"/>
      <c r="C86" s="1403"/>
      <c r="D86" s="28" t="s">
        <v>257</v>
      </c>
      <c r="E86" s="94"/>
      <c r="F86" s="80">
        <v>115</v>
      </c>
      <c r="G86" s="80"/>
      <c r="H86" s="80"/>
      <c r="I86" s="80">
        <v>348</v>
      </c>
      <c r="J86" s="28"/>
      <c r="K86" s="28"/>
      <c r="L86" s="21"/>
    </row>
    <row r="87" spans="1:12" hidden="1" x14ac:dyDescent="0.25">
      <c r="A87" s="1546"/>
      <c r="B87" s="1710"/>
      <c r="C87" s="1403"/>
      <c r="D87" s="28" t="s">
        <v>263</v>
      </c>
      <c r="E87" s="94"/>
      <c r="F87" s="80">
        <v>70</v>
      </c>
      <c r="G87" s="80"/>
      <c r="H87" s="80"/>
      <c r="I87" s="80">
        <v>228</v>
      </c>
      <c r="J87" s="28"/>
      <c r="K87" s="28"/>
      <c r="L87" s="21"/>
    </row>
    <row r="88" spans="1:12" hidden="1" x14ac:dyDescent="0.25">
      <c r="A88" s="1546"/>
      <c r="B88" s="1710"/>
      <c r="C88" s="1403"/>
      <c r="D88" s="28" t="s">
        <v>357</v>
      </c>
      <c r="E88" s="94"/>
      <c r="F88" s="97">
        <f>(F87/F85)*100</f>
        <v>37.837837837837839</v>
      </c>
      <c r="G88" s="94"/>
      <c r="H88" s="94"/>
      <c r="I88" s="97">
        <f>I87/I85*100</f>
        <v>39.583333333333329</v>
      </c>
      <c r="J88" s="28"/>
      <c r="K88" s="28"/>
      <c r="L88" s="21"/>
    </row>
    <row r="89" spans="1:12" hidden="1" x14ac:dyDescent="0.25">
      <c r="A89" s="1546"/>
      <c r="B89" s="1710"/>
      <c r="C89" s="1403" t="s">
        <v>363</v>
      </c>
      <c r="D89" s="144" t="s">
        <v>251</v>
      </c>
      <c r="E89" s="94"/>
      <c r="F89" s="80">
        <v>3175</v>
      </c>
      <c r="G89" s="80"/>
      <c r="H89" s="80"/>
      <c r="I89" s="80">
        <v>3210</v>
      </c>
      <c r="J89" s="28"/>
      <c r="K89" s="28"/>
      <c r="L89" s="21"/>
    </row>
    <row r="90" spans="1:12" hidden="1" x14ac:dyDescent="0.25">
      <c r="A90" s="1546"/>
      <c r="B90" s="1710"/>
      <c r="C90" s="1403"/>
      <c r="D90" s="28" t="s">
        <v>257</v>
      </c>
      <c r="E90" s="94"/>
      <c r="F90" s="80">
        <v>1095</v>
      </c>
      <c r="G90" s="80"/>
      <c r="H90" s="80"/>
      <c r="I90" s="80">
        <v>948</v>
      </c>
      <c r="J90" s="28"/>
      <c r="K90" s="28"/>
      <c r="L90" s="21"/>
    </row>
    <row r="91" spans="1:12" hidden="1" x14ac:dyDescent="0.25">
      <c r="A91" s="1546"/>
      <c r="B91" s="1710"/>
      <c r="C91" s="1403"/>
      <c r="D91" s="28" t="s">
        <v>263</v>
      </c>
      <c r="E91" s="94"/>
      <c r="F91" s="80">
        <v>2075</v>
      </c>
      <c r="G91" s="80"/>
      <c r="H91" s="80"/>
      <c r="I91" s="80">
        <v>2259</v>
      </c>
      <c r="J91" s="28"/>
      <c r="K91" s="28"/>
      <c r="L91" s="21"/>
    </row>
    <row r="92" spans="1:12" hidden="1" x14ac:dyDescent="0.25">
      <c r="A92" s="1546"/>
      <c r="B92" s="1710"/>
      <c r="C92" s="1403"/>
      <c r="D92" s="28" t="s">
        <v>357</v>
      </c>
      <c r="E92" s="94"/>
      <c r="F92" s="99">
        <f>(F91/F89)*100</f>
        <v>65.354330708661408</v>
      </c>
      <c r="G92" s="94"/>
      <c r="H92" s="94"/>
      <c r="I92" s="99">
        <f>I91/I89*100</f>
        <v>70.373831775700936</v>
      </c>
      <c r="J92" s="28"/>
      <c r="K92" s="28"/>
      <c r="L92" s="21"/>
    </row>
    <row r="93" spans="1:12" hidden="1" x14ac:dyDescent="0.25">
      <c r="A93" s="1546"/>
      <c r="B93" s="1710"/>
      <c r="C93" s="1403" t="s">
        <v>364</v>
      </c>
      <c r="D93" s="144" t="s">
        <v>251</v>
      </c>
      <c r="E93" s="94"/>
      <c r="F93" s="80">
        <v>3545</v>
      </c>
      <c r="G93" s="80"/>
      <c r="H93" s="80"/>
      <c r="I93" s="80">
        <v>3651</v>
      </c>
      <c r="J93" s="28"/>
      <c r="K93" s="28"/>
      <c r="L93" s="21"/>
    </row>
    <row r="94" spans="1:12" ht="14.85" hidden="1" customHeight="1" x14ac:dyDescent="0.25">
      <c r="A94" s="1546"/>
      <c r="B94" s="1710"/>
      <c r="C94" s="1403"/>
      <c r="D94" s="28" t="s">
        <v>257</v>
      </c>
      <c r="E94" s="94"/>
      <c r="F94" s="80">
        <v>1300</v>
      </c>
      <c r="G94" s="80"/>
      <c r="H94" s="80"/>
      <c r="I94" s="80">
        <v>1434</v>
      </c>
      <c r="J94" s="28"/>
      <c r="K94" s="28"/>
      <c r="L94" s="21"/>
    </row>
    <row r="95" spans="1:12" hidden="1" x14ac:dyDescent="0.25">
      <c r="A95" s="1546"/>
      <c r="B95" s="1710"/>
      <c r="C95" s="1403"/>
      <c r="D95" s="28" t="s">
        <v>263</v>
      </c>
      <c r="E95" s="94"/>
      <c r="F95" s="80">
        <v>2240</v>
      </c>
      <c r="G95" s="80"/>
      <c r="H95" s="80"/>
      <c r="I95" s="80">
        <v>2220</v>
      </c>
      <c r="J95" s="28"/>
      <c r="K95" s="28"/>
      <c r="L95" s="21"/>
    </row>
    <row r="96" spans="1:12" hidden="1" x14ac:dyDescent="0.25">
      <c r="A96" s="1546"/>
      <c r="B96" s="1710"/>
      <c r="C96" s="1403"/>
      <c r="D96" s="28" t="s">
        <v>357</v>
      </c>
      <c r="E96" s="94"/>
      <c r="F96" s="99">
        <f>(F95/F93)*100</f>
        <v>63.187588152327223</v>
      </c>
      <c r="G96" s="94"/>
      <c r="H96" s="94"/>
      <c r="I96" s="99">
        <f>I95/I93*100</f>
        <v>60.805258833196383</v>
      </c>
      <c r="J96" s="28"/>
      <c r="K96" s="28"/>
      <c r="L96" s="21"/>
    </row>
    <row r="97" spans="1:12" hidden="1" x14ac:dyDescent="0.25">
      <c r="A97" s="1546"/>
      <c r="B97" s="1710"/>
      <c r="C97" s="1403" t="s">
        <v>365</v>
      </c>
      <c r="D97" s="144" t="s">
        <v>251</v>
      </c>
      <c r="E97" s="94"/>
      <c r="F97" s="80">
        <v>375</v>
      </c>
      <c r="G97" s="80"/>
      <c r="H97" s="80"/>
      <c r="I97" s="80">
        <v>816</v>
      </c>
      <c r="J97" s="28"/>
      <c r="K97" s="28"/>
      <c r="L97" s="21"/>
    </row>
    <row r="98" spans="1:12" hidden="1" x14ac:dyDescent="0.25">
      <c r="A98" s="1546"/>
      <c r="B98" s="1710"/>
      <c r="C98" s="1403"/>
      <c r="D98" s="28" t="s">
        <v>257</v>
      </c>
      <c r="E98" s="94"/>
      <c r="F98" s="80">
        <v>135</v>
      </c>
      <c r="G98" s="80"/>
      <c r="H98" s="80"/>
      <c r="I98" s="80">
        <v>303</v>
      </c>
      <c r="J98" s="28"/>
      <c r="K98" s="28"/>
      <c r="L98" s="21"/>
    </row>
    <row r="99" spans="1:12" hidden="1" x14ac:dyDescent="0.25">
      <c r="A99" s="1546"/>
      <c r="B99" s="1710"/>
      <c r="C99" s="1403"/>
      <c r="D99" s="28" t="s">
        <v>263</v>
      </c>
      <c r="E99" s="94"/>
      <c r="F99" s="80">
        <v>240</v>
      </c>
      <c r="G99" s="80"/>
      <c r="H99" s="80"/>
      <c r="I99" s="80">
        <v>513</v>
      </c>
      <c r="J99" s="28"/>
      <c r="K99" s="28"/>
      <c r="L99" s="21"/>
    </row>
    <row r="100" spans="1:12" hidden="1" x14ac:dyDescent="0.25">
      <c r="A100" s="1546"/>
      <c r="B100" s="1710"/>
      <c r="C100" s="1403"/>
      <c r="D100" s="28" t="s">
        <v>357</v>
      </c>
      <c r="E100" s="94"/>
      <c r="F100" s="99">
        <f>F99/F97*100</f>
        <v>64</v>
      </c>
      <c r="G100" s="94"/>
      <c r="H100" s="94"/>
      <c r="I100" s="99">
        <f>I99/I97*100</f>
        <v>62.867647058823529</v>
      </c>
      <c r="J100" s="28"/>
      <c r="K100" s="28"/>
      <c r="L100" s="21"/>
    </row>
    <row r="101" spans="1:12" hidden="1" x14ac:dyDescent="0.25">
      <c r="A101" s="1546"/>
      <c r="B101" s="1710"/>
      <c r="C101" s="1403" t="s">
        <v>366</v>
      </c>
      <c r="D101" s="144" t="s">
        <v>251</v>
      </c>
      <c r="E101" s="94"/>
      <c r="F101" s="80">
        <v>4315</v>
      </c>
      <c r="G101" s="80"/>
      <c r="H101" s="80"/>
      <c r="I101" s="80">
        <v>3072</v>
      </c>
      <c r="J101" s="28"/>
      <c r="K101" s="28"/>
      <c r="L101" s="21"/>
    </row>
    <row r="102" spans="1:12" hidden="1" x14ac:dyDescent="0.25">
      <c r="A102" s="1546"/>
      <c r="B102" s="1710"/>
      <c r="C102" s="1403"/>
      <c r="D102" s="28" t="s">
        <v>257</v>
      </c>
      <c r="E102" s="94"/>
      <c r="F102" s="80">
        <v>2965</v>
      </c>
      <c r="G102" s="80"/>
      <c r="H102" s="80"/>
      <c r="I102" s="80">
        <v>1911</v>
      </c>
      <c r="J102" s="28"/>
      <c r="K102" s="28"/>
      <c r="L102" s="21"/>
    </row>
    <row r="103" spans="1:12" hidden="1" x14ac:dyDescent="0.25">
      <c r="A103" s="1546"/>
      <c r="B103" s="1710"/>
      <c r="C103" s="1403"/>
      <c r="D103" s="28" t="s">
        <v>263</v>
      </c>
      <c r="E103" s="94"/>
      <c r="F103" s="80">
        <v>1350</v>
      </c>
      <c r="G103" s="80"/>
      <c r="H103" s="80"/>
      <c r="I103" s="80">
        <v>1164</v>
      </c>
      <c r="J103" s="28"/>
      <c r="K103" s="28"/>
      <c r="L103" s="21"/>
    </row>
    <row r="104" spans="1:12" hidden="1" x14ac:dyDescent="0.25">
      <c r="A104" s="1546"/>
      <c r="B104" s="1710"/>
      <c r="C104" s="1403"/>
      <c r="D104" s="28" t="s">
        <v>357</v>
      </c>
      <c r="E104" s="94"/>
      <c r="F104" s="97">
        <f>(F103/F101)*100</f>
        <v>31.286210892236383</v>
      </c>
      <c r="G104" s="94"/>
      <c r="H104" s="94"/>
      <c r="I104" s="97">
        <f>I103/I101*100</f>
        <v>37.890625</v>
      </c>
      <c r="J104" s="28"/>
      <c r="K104" s="28"/>
      <c r="L104" s="21"/>
    </row>
    <row r="105" spans="1:12" hidden="1" x14ac:dyDescent="0.25">
      <c r="A105" s="1546"/>
      <c r="B105" s="1710"/>
      <c r="C105" s="1403" t="s">
        <v>367</v>
      </c>
      <c r="D105" s="144" t="s">
        <v>251</v>
      </c>
      <c r="E105" s="94"/>
      <c r="F105" s="80">
        <v>1625</v>
      </c>
      <c r="G105" s="80"/>
      <c r="H105" s="80"/>
      <c r="I105" s="80">
        <v>1785</v>
      </c>
      <c r="J105" s="96"/>
      <c r="K105" s="28"/>
      <c r="L105" s="21"/>
    </row>
    <row r="106" spans="1:12" hidden="1" x14ac:dyDescent="0.25">
      <c r="A106" s="1546"/>
      <c r="B106" s="1710"/>
      <c r="C106" s="1403"/>
      <c r="D106" s="28" t="s">
        <v>257</v>
      </c>
      <c r="E106" s="94"/>
      <c r="F106" s="80">
        <v>890</v>
      </c>
      <c r="G106" s="80"/>
      <c r="H106" s="80"/>
      <c r="I106" s="80">
        <v>897</v>
      </c>
      <c r="J106" s="96"/>
      <c r="K106" s="28"/>
      <c r="L106" s="21"/>
    </row>
    <row r="107" spans="1:12" hidden="1" x14ac:dyDescent="0.25">
      <c r="A107" s="1546"/>
      <c r="B107" s="1710"/>
      <c r="C107" s="1403"/>
      <c r="D107" s="28" t="s">
        <v>263</v>
      </c>
      <c r="E107" s="94"/>
      <c r="F107" s="80">
        <v>740</v>
      </c>
      <c r="G107" s="80"/>
      <c r="H107" s="80"/>
      <c r="I107" s="80">
        <v>888</v>
      </c>
      <c r="J107" s="96"/>
      <c r="K107" s="28"/>
      <c r="L107" s="21"/>
    </row>
    <row r="108" spans="1:12" hidden="1" x14ac:dyDescent="0.25">
      <c r="A108" s="1546"/>
      <c r="B108" s="1710"/>
      <c r="C108" s="1403"/>
      <c r="D108" s="28" t="s">
        <v>357</v>
      </c>
      <c r="E108" s="94"/>
      <c r="F108" s="98">
        <f>(F107/F105)*100</f>
        <v>45.53846153846154</v>
      </c>
      <c r="G108" s="94"/>
      <c r="H108" s="94"/>
      <c r="I108" s="98">
        <f>I107/I105*100</f>
        <v>49.747899159663866</v>
      </c>
      <c r="J108" s="96"/>
      <c r="K108" s="28"/>
      <c r="L108" s="21"/>
    </row>
    <row r="109" spans="1:12" hidden="1" x14ac:dyDescent="0.25">
      <c r="A109" s="1546"/>
      <c r="B109" s="1710"/>
      <c r="C109" s="1403" t="s">
        <v>368</v>
      </c>
      <c r="D109" s="144" t="s">
        <v>251</v>
      </c>
      <c r="E109" s="94"/>
      <c r="F109" s="80">
        <v>2335</v>
      </c>
      <c r="G109" s="80"/>
      <c r="H109" s="80"/>
      <c r="I109" s="80">
        <v>3867</v>
      </c>
      <c r="J109" s="96"/>
      <c r="K109" s="28"/>
      <c r="L109" s="21"/>
    </row>
    <row r="110" spans="1:12" hidden="1" x14ac:dyDescent="0.25">
      <c r="A110" s="1546"/>
      <c r="B110" s="1710"/>
      <c r="C110" s="1403"/>
      <c r="D110" s="28" t="s">
        <v>257</v>
      </c>
      <c r="E110" s="94"/>
      <c r="F110" s="80">
        <v>970</v>
      </c>
      <c r="G110" s="80"/>
      <c r="H110" s="80"/>
      <c r="I110" s="80">
        <v>1956</v>
      </c>
      <c r="J110" s="96"/>
      <c r="K110" s="28"/>
      <c r="L110" s="21"/>
    </row>
    <row r="111" spans="1:12" hidden="1" x14ac:dyDescent="0.25">
      <c r="A111" s="1546"/>
      <c r="B111" s="1710"/>
      <c r="C111" s="1403"/>
      <c r="D111" s="28" t="s">
        <v>263</v>
      </c>
      <c r="E111" s="94"/>
      <c r="F111" s="80">
        <v>1365</v>
      </c>
      <c r="G111" s="80"/>
      <c r="H111" s="80"/>
      <c r="I111" s="80">
        <v>1911</v>
      </c>
      <c r="J111" s="96"/>
      <c r="K111" s="28"/>
      <c r="L111" s="21"/>
    </row>
    <row r="112" spans="1:12" hidden="1" x14ac:dyDescent="0.25">
      <c r="A112" s="1546"/>
      <c r="B112" s="1710"/>
      <c r="C112" s="1403"/>
      <c r="D112" s="28" t="s">
        <v>357</v>
      </c>
      <c r="E112" s="94"/>
      <c r="F112" s="98">
        <f>(F111/F109)*100</f>
        <v>58.458244111349032</v>
      </c>
      <c r="G112" s="94"/>
      <c r="H112" s="94"/>
      <c r="I112" s="98">
        <f>I111/I109*100</f>
        <v>49.418153607447636</v>
      </c>
      <c r="J112" s="96"/>
      <c r="K112" s="28"/>
      <c r="L112" s="21"/>
    </row>
    <row r="113" spans="1:12" hidden="1" x14ac:dyDescent="0.25">
      <c r="A113" s="1546"/>
      <c r="B113" s="1710"/>
      <c r="C113" s="1403" t="s">
        <v>369</v>
      </c>
      <c r="D113" s="144" t="s">
        <v>251</v>
      </c>
      <c r="E113" s="94"/>
      <c r="F113" s="80">
        <v>805</v>
      </c>
      <c r="G113" s="80"/>
      <c r="H113" s="80"/>
      <c r="I113" s="80">
        <v>1377</v>
      </c>
      <c r="J113" s="96"/>
      <c r="K113" s="28"/>
      <c r="L113" s="21"/>
    </row>
    <row r="114" spans="1:12" hidden="1" x14ac:dyDescent="0.25">
      <c r="A114" s="1546"/>
      <c r="B114" s="1710"/>
      <c r="C114" s="1403"/>
      <c r="D114" s="28" t="s">
        <v>257</v>
      </c>
      <c r="E114" s="94"/>
      <c r="F114" s="80">
        <v>575</v>
      </c>
      <c r="G114" s="80"/>
      <c r="H114" s="80"/>
      <c r="I114" s="80">
        <v>936</v>
      </c>
      <c r="J114" s="96"/>
      <c r="K114" s="28"/>
      <c r="L114" s="21"/>
    </row>
    <row r="115" spans="1:12" hidden="1" x14ac:dyDescent="0.25">
      <c r="A115" s="1546"/>
      <c r="B115" s="1710"/>
      <c r="C115" s="1403"/>
      <c r="D115" s="28" t="s">
        <v>263</v>
      </c>
      <c r="E115" s="94"/>
      <c r="F115" s="80">
        <v>230</v>
      </c>
      <c r="G115" s="80"/>
      <c r="H115" s="80"/>
      <c r="I115" s="80">
        <v>441</v>
      </c>
      <c r="J115" s="96"/>
      <c r="K115" s="28"/>
      <c r="L115" s="21"/>
    </row>
    <row r="116" spans="1:12" hidden="1" x14ac:dyDescent="0.25">
      <c r="A116" s="1546"/>
      <c r="B116" s="1710"/>
      <c r="C116" s="1403"/>
      <c r="D116" s="28" t="s">
        <v>357</v>
      </c>
      <c r="E116" s="94"/>
      <c r="F116" s="97">
        <f>(F115/F113)*100</f>
        <v>28.571428571428569</v>
      </c>
      <c r="G116" s="94"/>
      <c r="H116" s="94"/>
      <c r="I116" s="97">
        <f>I115/I113*100</f>
        <v>32.026143790849673</v>
      </c>
      <c r="J116" s="96"/>
      <c r="K116" s="28"/>
      <c r="L116" s="21"/>
    </row>
    <row r="117" spans="1:12" hidden="1" x14ac:dyDescent="0.25">
      <c r="A117" s="1546"/>
      <c r="B117" s="1710"/>
      <c r="C117" s="1403" t="s">
        <v>370</v>
      </c>
      <c r="D117" s="144" t="s">
        <v>251</v>
      </c>
      <c r="E117" s="94"/>
      <c r="F117" s="80">
        <v>2100</v>
      </c>
      <c r="G117" s="80"/>
      <c r="H117" s="80"/>
      <c r="I117" s="80">
        <v>999</v>
      </c>
      <c r="J117" s="96"/>
      <c r="K117" s="28"/>
      <c r="L117" s="21"/>
    </row>
    <row r="118" spans="1:12" hidden="1" x14ac:dyDescent="0.25">
      <c r="A118" s="1546"/>
      <c r="B118" s="1710"/>
      <c r="C118" s="1403"/>
      <c r="D118" s="28" t="s">
        <v>257</v>
      </c>
      <c r="E118" s="94"/>
      <c r="F118" s="80">
        <v>670</v>
      </c>
      <c r="G118" s="80"/>
      <c r="H118" s="80"/>
      <c r="I118" s="80">
        <v>357</v>
      </c>
      <c r="J118" s="96"/>
      <c r="K118" s="28"/>
      <c r="L118" s="21"/>
    </row>
    <row r="119" spans="1:12" hidden="1" x14ac:dyDescent="0.25">
      <c r="A119" s="1546"/>
      <c r="B119" s="1710"/>
      <c r="C119" s="1403"/>
      <c r="D119" s="28" t="s">
        <v>263</v>
      </c>
      <c r="E119" s="94"/>
      <c r="F119" s="80">
        <v>1430</v>
      </c>
      <c r="G119" s="80"/>
      <c r="H119" s="80"/>
      <c r="I119" s="80">
        <v>642</v>
      </c>
      <c r="J119" s="96"/>
      <c r="K119" s="28"/>
      <c r="L119" s="21"/>
    </row>
    <row r="120" spans="1:12" hidden="1" x14ac:dyDescent="0.25">
      <c r="A120" s="1546"/>
      <c r="B120" s="1710"/>
      <c r="C120" s="1403"/>
      <c r="D120" s="28" t="s">
        <v>357</v>
      </c>
      <c r="E120" s="94"/>
      <c r="F120" s="99">
        <f>(F119/F117)*100</f>
        <v>68.095238095238102</v>
      </c>
      <c r="G120" s="94"/>
      <c r="H120" s="94"/>
      <c r="I120" s="99">
        <f>I119/I117*100</f>
        <v>64.264264264264256</v>
      </c>
      <c r="J120" s="96"/>
      <c r="K120" s="28"/>
      <c r="L120" s="21"/>
    </row>
    <row r="121" spans="1:12" hidden="1" x14ac:dyDescent="0.25">
      <c r="A121" s="1546"/>
      <c r="B121" s="1710"/>
      <c r="C121" s="1403" t="s">
        <v>371</v>
      </c>
      <c r="D121" s="144" t="s">
        <v>251</v>
      </c>
      <c r="E121" s="94"/>
      <c r="F121" s="80">
        <v>10</v>
      </c>
      <c r="G121" s="80"/>
      <c r="H121" s="80"/>
      <c r="I121" s="80">
        <v>1254</v>
      </c>
      <c r="J121" s="96"/>
      <c r="K121" s="28"/>
      <c r="L121" s="21"/>
    </row>
    <row r="122" spans="1:12" hidden="1" x14ac:dyDescent="0.25">
      <c r="A122" s="1546"/>
      <c r="B122" s="1710"/>
      <c r="C122" s="1403"/>
      <c r="D122" s="28" t="s">
        <v>257</v>
      </c>
      <c r="E122" s="94"/>
      <c r="F122" s="80">
        <v>10</v>
      </c>
      <c r="G122" s="80"/>
      <c r="H122" s="80"/>
      <c r="I122" s="80">
        <v>582</v>
      </c>
      <c r="J122" s="96"/>
      <c r="K122" s="28"/>
      <c r="L122" s="21"/>
    </row>
    <row r="123" spans="1:12" hidden="1" x14ac:dyDescent="0.25">
      <c r="A123" s="1546"/>
      <c r="B123" s="1710"/>
      <c r="C123" s="1403"/>
      <c r="D123" s="28" t="s">
        <v>263</v>
      </c>
      <c r="E123" s="94"/>
      <c r="F123" s="80">
        <v>0</v>
      </c>
      <c r="G123" s="80"/>
      <c r="H123" s="80"/>
      <c r="I123" s="80">
        <v>669</v>
      </c>
      <c r="J123" s="96"/>
      <c r="K123" s="28"/>
      <c r="L123" s="21"/>
    </row>
    <row r="124" spans="1:12" hidden="1" x14ac:dyDescent="0.25">
      <c r="A124" s="1546"/>
      <c r="B124" s="1710"/>
      <c r="C124" s="1403"/>
      <c r="D124" s="28" t="s">
        <v>357</v>
      </c>
      <c r="E124" s="94"/>
      <c r="F124" s="206">
        <f>(F123/F121)*100</f>
        <v>0</v>
      </c>
      <c r="G124" s="94"/>
      <c r="H124" s="94"/>
      <c r="I124" s="98">
        <f>I123/I121*100</f>
        <v>53.349282296650713</v>
      </c>
      <c r="J124" s="96"/>
      <c r="K124" s="28"/>
      <c r="L124" s="21"/>
    </row>
    <row r="125" spans="1:12" hidden="1" x14ac:dyDescent="0.25">
      <c r="A125" s="1546"/>
      <c r="B125" s="1710"/>
      <c r="C125" s="1403" t="s">
        <v>372</v>
      </c>
      <c r="D125" s="144" t="s">
        <v>251</v>
      </c>
      <c r="E125" s="94"/>
      <c r="F125" s="80">
        <v>1120</v>
      </c>
      <c r="G125" s="80"/>
      <c r="H125" s="80"/>
      <c r="I125" s="80">
        <v>744</v>
      </c>
      <c r="J125" s="96"/>
      <c r="K125" s="28"/>
      <c r="L125" s="21"/>
    </row>
    <row r="126" spans="1:12" ht="14.85" hidden="1" customHeight="1" x14ac:dyDescent="0.25">
      <c r="A126" s="1546"/>
      <c r="B126" s="1710"/>
      <c r="C126" s="1403"/>
      <c r="D126" s="28" t="s">
        <v>257</v>
      </c>
      <c r="E126" s="94"/>
      <c r="F126" s="80">
        <v>705</v>
      </c>
      <c r="G126" s="80"/>
      <c r="H126" s="80"/>
      <c r="I126" s="80">
        <v>471</v>
      </c>
      <c r="J126" s="96"/>
      <c r="K126" s="28"/>
      <c r="L126" s="21"/>
    </row>
    <row r="127" spans="1:12" hidden="1" x14ac:dyDescent="0.25">
      <c r="A127" s="1546"/>
      <c r="B127" s="1710"/>
      <c r="C127" s="1403"/>
      <c r="D127" s="28" t="s">
        <v>263</v>
      </c>
      <c r="E127" s="94"/>
      <c r="F127" s="80">
        <v>415</v>
      </c>
      <c r="G127" s="80"/>
      <c r="H127" s="80"/>
      <c r="I127" s="80">
        <v>276</v>
      </c>
      <c r="J127" s="96"/>
      <c r="K127" s="28"/>
      <c r="L127" s="21"/>
    </row>
    <row r="128" spans="1:12" hidden="1" x14ac:dyDescent="0.25">
      <c r="A128" s="1546"/>
      <c r="B128" s="1710"/>
      <c r="C128" s="1403"/>
      <c r="D128" s="28" t="s">
        <v>357</v>
      </c>
      <c r="E128" s="94"/>
      <c r="F128" s="97">
        <f>(F127/F125)*100</f>
        <v>37.053571428571431</v>
      </c>
      <c r="G128" s="94"/>
      <c r="H128" s="94"/>
      <c r="I128" s="97">
        <f>I127/I125*100</f>
        <v>37.096774193548384</v>
      </c>
      <c r="J128" s="96"/>
      <c r="K128" s="28"/>
      <c r="L128" s="21"/>
    </row>
    <row r="129" spans="1:12" hidden="1" x14ac:dyDescent="0.25">
      <c r="A129" s="1546"/>
      <c r="B129" s="1710"/>
      <c r="C129" s="1403" t="s">
        <v>373</v>
      </c>
      <c r="D129" s="144" t="s">
        <v>251</v>
      </c>
      <c r="E129" s="94"/>
      <c r="F129" s="80">
        <v>225</v>
      </c>
      <c r="G129" s="80"/>
      <c r="H129" s="80"/>
      <c r="I129" s="80">
        <v>96</v>
      </c>
      <c r="J129" s="96"/>
      <c r="K129" s="28"/>
      <c r="L129" s="21"/>
    </row>
    <row r="130" spans="1:12" hidden="1" x14ac:dyDescent="0.25">
      <c r="A130" s="1546"/>
      <c r="B130" s="1710"/>
      <c r="C130" s="1403"/>
      <c r="D130" s="28" t="s">
        <v>257</v>
      </c>
      <c r="E130" s="94"/>
      <c r="F130" s="80">
        <v>180</v>
      </c>
      <c r="G130" s="80"/>
      <c r="H130" s="80"/>
      <c r="I130" s="80">
        <v>69</v>
      </c>
      <c r="J130" s="96"/>
      <c r="K130" s="28"/>
      <c r="L130" s="21"/>
    </row>
    <row r="131" spans="1:12" hidden="1" x14ac:dyDescent="0.25">
      <c r="A131" s="1546"/>
      <c r="B131" s="1710"/>
      <c r="C131" s="1403"/>
      <c r="D131" s="28" t="s">
        <v>263</v>
      </c>
      <c r="E131" s="94"/>
      <c r="F131" s="80">
        <v>40</v>
      </c>
      <c r="G131" s="80"/>
      <c r="H131" s="80"/>
      <c r="I131" s="80">
        <v>27</v>
      </c>
      <c r="J131" s="96"/>
      <c r="K131" s="28"/>
      <c r="L131" s="21"/>
    </row>
    <row r="132" spans="1:12" hidden="1" x14ac:dyDescent="0.25">
      <c r="A132" s="1546"/>
      <c r="B132" s="1710"/>
      <c r="C132" s="1403"/>
      <c r="D132" s="28" t="s">
        <v>357</v>
      </c>
      <c r="E132" s="94"/>
      <c r="F132" s="97">
        <f>(F131/F129)*100</f>
        <v>17.777777777777779</v>
      </c>
      <c r="G132" s="94"/>
      <c r="H132" s="94"/>
      <c r="I132" s="97">
        <f>I131/I129*100</f>
        <v>28.125</v>
      </c>
      <c r="J132" s="96"/>
      <c r="K132" s="28"/>
      <c r="L132" s="21"/>
    </row>
    <row r="133" spans="1:12" hidden="1" x14ac:dyDescent="0.25">
      <c r="A133" s="1546"/>
      <c r="B133" s="1710"/>
      <c r="C133" s="1403" t="s">
        <v>374</v>
      </c>
      <c r="D133" s="144" t="s">
        <v>251</v>
      </c>
      <c r="E133" s="94"/>
      <c r="F133" s="80">
        <v>275</v>
      </c>
      <c r="G133" s="80"/>
      <c r="H133" s="80"/>
      <c r="I133" s="80">
        <v>285</v>
      </c>
      <c r="J133" s="96"/>
      <c r="K133" s="28"/>
      <c r="L133" s="21"/>
    </row>
    <row r="134" spans="1:12" hidden="1" x14ac:dyDescent="0.25">
      <c r="A134" s="1546"/>
      <c r="B134" s="1710"/>
      <c r="C134" s="1403"/>
      <c r="D134" s="28" t="s">
        <v>257</v>
      </c>
      <c r="E134" s="94"/>
      <c r="F134" s="80">
        <v>145</v>
      </c>
      <c r="G134" s="80"/>
      <c r="H134" s="80"/>
      <c r="I134" s="80">
        <v>93</v>
      </c>
      <c r="J134" s="96"/>
      <c r="K134" s="28"/>
      <c r="L134" s="21"/>
    </row>
    <row r="135" spans="1:12" hidden="1" x14ac:dyDescent="0.25">
      <c r="A135" s="1546"/>
      <c r="B135" s="1710"/>
      <c r="C135" s="1403"/>
      <c r="D135" s="28" t="s">
        <v>263</v>
      </c>
      <c r="E135" s="94"/>
      <c r="F135" s="80">
        <v>130</v>
      </c>
      <c r="G135" s="80"/>
      <c r="H135" s="80"/>
      <c r="I135" s="80">
        <v>189</v>
      </c>
      <c r="J135" s="96"/>
      <c r="K135" s="28"/>
      <c r="L135" s="21"/>
    </row>
    <row r="136" spans="1:12" hidden="1" x14ac:dyDescent="0.25">
      <c r="A136" s="1546"/>
      <c r="B136" s="1710"/>
      <c r="C136" s="1403"/>
      <c r="D136" s="28" t="s">
        <v>357</v>
      </c>
      <c r="E136" s="94"/>
      <c r="F136" s="98">
        <f>(F135/F133)*100</f>
        <v>47.272727272727273</v>
      </c>
      <c r="G136" s="94"/>
      <c r="H136" s="94"/>
      <c r="I136" s="99">
        <f>I135/I133*100</f>
        <v>66.315789473684205</v>
      </c>
      <c r="J136" s="96"/>
      <c r="K136" s="28"/>
      <c r="L136" s="21"/>
    </row>
    <row r="137" spans="1:12" hidden="1" x14ac:dyDescent="0.25">
      <c r="A137" s="1546"/>
      <c r="B137" s="1710"/>
      <c r="C137" s="1403" t="s">
        <v>375</v>
      </c>
      <c r="D137" s="144" t="s">
        <v>251</v>
      </c>
      <c r="E137" s="94"/>
      <c r="F137" s="80">
        <v>55</v>
      </c>
      <c r="G137" s="80"/>
      <c r="H137" s="80"/>
      <c r="I137" s="80">
        <v>165</v>
      </c>
      <c r="J137" s="96"/>
      <c r="K137" s="28"/>
      <c r="L137" s="21"/>
    </row>
    <row r="138" spans="1:12" ht="14.85" hidden="1" customHeight="1" x14ac:dyDescent="0.25">
      <c r="A138" s="1546"/>
      <c r="B138" s="1710"/>
      <c r="C138" s="1403"/>
      <c r="D138" s="28" t="s">
        <v>257</v>
      </c>
      <c r="E138" s="94"/>
      <c r="F138" s="80">
        <v>55</v>
      </c>
      <c r="G138" s="80"/>
      <c r="H138" s="80"/>
      <c r="I138" s="80">
        <v>102</v>
      </c>
      <c r="J138" s="96"/>
      <c r="K138" s="28"/>
      <c r="L138" s="21"/>
    </row>
    <row r="139" spans="1:12" hidden="1" x14ac:dyDescent="0.25">
      <c r="A139" s="1546"/>
      <c r="B139" s="1710"/>
      <c r="C139" s="1403"/>
      <c r="D139" s="28" t="s">
        <v>263</v>
      </c>
      <c r="E139" s="94"/>
      <c r="F139" s="80">
        <v>0</v>
      </c>
      <c r="G139" s="80"/>
      <c r="H139" s="80"/>
      <c r="I139" s="80">
        <v>63</v>
      </c>
      <c r="J139" s="96"/>
      <c r="K139" s="28"/>
      <c r="L139" s="21"/>
    </row>
    <row r="140" spans="1:12" hidden="1" x14ac:dyDescent="0.25">
      <c r="A140" s="1546"/>
      <c r="B140" s="1710"/>
      <c r="C140" s="1403"/>
      <c r="D140" s="28" t="s">
        <v>357</v>
      </c>
      <c r="E140" s="94"/>
      <c r="F140" s="97">
        <f>(F139/F137)*100</f>
        <v>0</v>
      </c>
      <c r="G140" s="94"/>
      <c r="H140" s="94"/>
      <c r="I140" s="97">
        <f>I139/I137*100</f>
        <v>38.181818181818187</v>
      </c>
      <c r="J140" s="96"/>
      <c r="K140" s="28"/>
      <c r="L140" s="21"/>
    </row>
    <row r="141" spans="1:12" hidden="1" x14ac:dyDescent="0.25">
      <c r="A141" s="1546"/>
      <c r="B141" s="1710"/>
      <c r="C141" s="1403" t="s">
        <v>376</v>
      </c>
      <c r="D141" s="144" t="s">
        <v>251</v>
      </c>
      <c r="E141" s="94"/>
      <c r="F141" s="80">
        <v>1170</v>
      </c>
      <c r="G141" s="80"/>
      <c r="H141" s="80"/>
      <c r="I141" s="80">
        <v>1884</v>
      </c>
      <c r="J141" s="96"/>
      <c r="K141" s="28"/>
      <c r="L141" s="21"/>
    </row>
    <row r="142" spans="1:12" ht="14.85" hidden="1" customHeight="1" x14ac:dyDescent="0.25">
      <c r="A142" s="1546"/>
      <c r="B142" s="1710"/>
      <c r="C142" s="1403"/>
      <c r="D142" s="28" t="s">
        <v>257</v>
      </c>
      <c r="E142" s="94"/>
      <c r="F142" s="80">
        <v>625</v>
      </c>
      <c r="G142" s="80"/>
      <c r="H142" s="80"/>
      <c r="I142" s="80">
        <v>1068</v>
      </c>
      <c r="J142" s="96"/>
      <c r="K142" s="28"/>
      <c r="L142" s="21"/>
    </row>
    <row r="143" spans="1:12" hidden="1" x14ac:dyDescent="0.25">
      <c r="A143" s="1546"/>
      <c r="B143" s="1710"/>
      <c r="C143" s="1403"/>
      <c r="D143" s="28" t="s">
        <v>263</v>
      </c>
      <c r="E143" s="94"/>
      <c r="F143" s="80">
        <v>545</v>
      </c>
      <c r="G143" s="80"/>
      <c r="H143" s="80"/>
      <c r="I143" s="80">
        <v>816</v>
      </c>
      <c r="J143" s="96"/>
      <c r="K143" s="28"/>
      <c r="L143" s="21"/>
    </row>
    <row r="144" spans="1:12" hidden="1" x14ac:dyDescent="0.25">
      <c r="A144" s="1546"/>
      <c r="B144" s="1710"/>
      <c r="C144" s="1403"/>
      <c r="D144" s="28" t="s">
        <v>357</v>
      </c>
      <c r="E144" s="94"/>
      <c r="F144" s="98">
        <f>(F143/F141)*100</f>
        <v>46.581196581196579</v>
      </c>
      <c r="G144" s="94"/>
      <c r="H144" s="94"/>
      <c r="I144" s="98">
        <f>I143/I141*100</f>
        <v>43.312101910828027</v>
      </c>
      <c r="J144" s="96"/>
      <c r="K144" s="28"/>
      <c r="L144" s="21"/>
    </row>
    <row r="145" spans="1:12" hidden="1" x14ac:dyDescent="0.25">
      <c r="A145" s="1546"/>
      <c r="B145" s="1710"/>
      <c r="C145" s="1403" t="s">
        <v>377</v>
      </c>
      <c r="D145" s="144" t="s">
        <v>251</v>
      </c>
      <c r="E145" s="94"/>
      <c r="F145" s="80">
        <v>1400</v>
      </c>
      <c r="G145" s="80"/>
      <c r="H145" s="80"/>
      <c r="I145" s="80">
        <v>1137</v>
      </c>
      <c r="J145" s="96"/>
      <c r="K145" s="28"/>
      <c r="L145" s="21"/>
    </row>
    <row r="146" spans="1:12" hidden="1" x14ac:dyDescent="0.25">
      <c r="A146" s="1546"/>
      <c r="B146" s="1710"/>
      <c r="C146" s="1403"/>
      <c r="D146" s="28" t="s">
        <v>257</v>
      </c>
      <c r="E146" s="94"/>
      <c r="F146" s="80">
        <v>355</v>
      </c>
      <c r="G146" s="80"/>
      <c r="H146" s="80"/>
      <c r="I146" s="80">
        <v>342</v>
      </c>
      <c r="J146" s="96"/>
      <c r="K146" s="28"/>
      <c r="L146" s="21"/>
    </row>
    <row r="147" spans="1:12" hidden="1" x14ac:dyDescent="0.25">
      <c r="A147" s="1546"/>
      <c r="B147" s="1710"/>
      <c r="C147" s="1403"/>
      <c r="D147" s="28" t="s">
        <v>263</v>
      </c>
      <c r="E147" s="94"/>
      <c r="F147" s="80">
        <v>1045</v>
      </c>
      <c r="G147" s="80"/>
      <c r="H147" s="80"/>
      <c r="I147" s="80">
        <v>795</v>
      </c>
      <c r="J147" s="96"/>
      <c r="K147" s="28"/>
      <c r="L147" s="21"/>
    </row>
    <row r="148" spans="1:12" hidden="1" x14ac:dyDescent="0.25">
      <c r="A148" s="1546"/>
      <c r="B148" s="1710"/>
      <c r="C148" s="1403"/>
      <c r="D148" s="28" t="s">
        <v>357</v>
      </c>
      <c r="E148" s="94"/>
      <c r="F148" s="99">
        <f>(F147/F145)*100</f>
        <v>74.642857142857139</v>
      </c>
      <c r="G148" s="94"/>
      <c r="H148" s="94"/>
      <c r="I148" s="99">
        <f>I147/I145*100</f>
        <v>69.920844327176781</v>
      </c>
      <c r="J148" s="96"/>
      <c r="K148" s="28"/>
      <c r="L148" s="21"/>
    </row>
    <row r="149" spans="1:12" hidden="1" x14ac:dyDescent="0.25">
      <c r="A149" s="1546"/>
      <c r="B149" s="1710"/>
      <c r="C149" s="1403" t="s">
        <v>378</v>
      </c>
      <c r="D149" s="144" t="s">
        <v>251</v>
      </c>
      <c r="E149" s="94"/>
      <c r="F149" s="80">
        <v>985</v>
      </c>
      <c r="G149" s="80"/>
      <c r="H149" s="80"/>
      <c r="I149" s="80">
        <v>867</v>
      </c>
      <c r="J149" s="96"/>
      <c r="K149" s="28"/>
      <c r="L149" s="21"/>
    </row>
    <row r="150" spans="1:12" hidden="1" x14ac:dyDescent="0.25">
      <c r="A150" s="1546"/>
      <c r="B150" s="1710"/>
      <c r="C150" s="1403"/>
      <c r="D150" s="28" t="s">
        <v>257</v>
      </c>
      <c r="E150" s="94"/>
      <c r="F150" s="80">
        <v>420</v>
      </c>
      <c r="G150" s="80"/>
      <c r="H150" s="80"/>
      <c r="I150" s="80">
        <v>474</v>
      </c>
      <c r="J150" s="96"/>
      <c r="K150" s="28"/>
      <c r="L150" s="21"/>
    </row>
    <row r="151" spans="1:12" hidden="1" x14ac:dyDescent="0.25">
      <c r="A151" s="1546"/>
      <c r="B151" s="1710"/>
      <c r="C151" s="1403"/>
      <c r="D151" s="28" t="s">
        <v>263</v>
      </c>
      <c r="E151" s="94"/>
      <c r="F151" s="80">
        <v>565</v>
      </c>
      <c r="G151" s="80"/>
      <c r="H151" s="80"/>
      <c r="I151" s="80">
        <v>396</v>
      </c>
      <c r="J151" s="96"/>
      <c r="K151" s="28"/>
      <c r="L151" s="21"/>
    </row>
    <row r="152" spans="1:12" hidden="1" x14ac:dyDescent="0.25">
      <c r="A152" s="1546"/>
      <c r="B152" s="1710"/>
      <c r="C152" s="1403"/>
      <c r="D152" s="28" t="s">
        <v>357</v>
      </c>
      <c r="E152" s="94"/>
      <c r="F152" s="98">
        <f>(F151/F149)*100</f>
        <v>57.360406091370564</v>
      </c>
      <c r="G152" s="94"/>
      <c r="H152" s="94"/>
      <c r="I152" s="98">
        <f>I151/I149*100</f>
        <v>45.674740484429066</v>
      </c>
      <c r="J152" s="96"/>
      <c r="K152" s="28"/>
      <c r="L152" s="21"/>
    </row>
    <row r="153" spans="1:12" hidden="1" x14ac:dyDescent="0.25">
      <c r="A153" s="1546"/>
      <c r="B153" s="1710"/>
      <c r="C153" s="1403" t="s">
        <v>379</v>
      </c>
      <c r="D153" s="144" t="s">
        <v>251</v>
      </c>
      <c r="E153" s="94"/>
      <c r="F153" s="80">
        <v>1245</v>
      </c>
      <c r="G153" s="80"/>
      <c r="H153" s="80"/>
      <c r="I153" s="80">
        <v>1068</v>
      </c>
      <c r="J153" s="96"/>
      <c r="K153" s="28"/>
      <c r="L153" s="21"/>
    </row>
    <row r="154" spans="1:12" hidden="1" x14ac:dyDescent="0.25">
      <c r="A154" s="1546"/>
      <c r="B154" s="1710"/>
      <c r="C154" s="1403"/>
      <c r="D154" s="28" t="s">
        <v>257</v>
      </c>
      <c r="E154" s="94"/>
      <c r="F154" s="80">
        <v>980</v>
      </c>
      <c r="G154" s="80"/>
      <c r="H154" s="80"/>
      <c r="I154" s="80">
        <v>774</v>
      </c>
      <c r="J154" s="96"/>
      <c r="K154" s="28"/>
      <c r="L154" s="21"/>
    </row>
    <row r="155" spans="1:12" hidden="1" x14ac:dyDescent="0.25">
      <c r="A155" s="1546"/>
      <c r="B155" s="1710"/>
      <c r="C155" s="1403"/>
      <c r="D155" s="28" t="s">
        <v>263</v>
      </c>
      <c r="E155" s="94"/>
      <c r="F155" s="80">
        <v>265</v>
      </c>
      <c r="G155" s="80"/>
      <c r="H155" s="80"/>
      <c r="I155" s="80">
        <v>294</v>
      </c>
      <c r="J155" s="96"/>
      <c r="K155" s="28"/>
      <c r="L155" s="21"/>
    </row>
    <row r="156" spans="1:12" hidden="1" x14ac:dyDescent="0.25">
      <c r="A156" s="1546"/>
      <c r="B156" s="1710"/>
      <c r="C156" s="1403"/>
      <c r="D156" s="28" t="s">
        <v>357</v>
      </c>
      <c r="E156" s="94"/>
      <c r="F156" s="97">
        <f>(F155/F153)*100</f>
        <v>21.285140562248998</v>
      </c>
      <c r="G156" s="94"/>
      <c r="H156" s="94"/>
      <c r="I156" s="97">
        <f>I155/I153*100</f>
        <v>27.528089887640451</v>
      </c>
      <c r="J156" s="96"/>
      <c r="K156" s="28"/>
      <c r="L156" s="21"/>
    </row>
    <row r="157" spans="1:12" ht="14.85" hidden="1" customHeight="1" x14ac:dyDescent="0.25">
      <c r="A157" s="1546"/>
      <c r="B157" s="1710"/>
      <c r="C157" s="1403" t="s">
        <v>380</v>
      </c>
      <c r="D157" s="144" t="s">
        <v>251</v>
      </c>
      <c r="E157" s="94"/>
      <c r="F157" s="80">
        <v>1685</v>
      </c>
      <c r="G157" s="80"/>
      <c r="H157" s="80"/>
      <c r="I157" s="80">
        <v>1380</v>
      </c>
      <c r="J157" s="96"/>
      <c r="K157" s="28"/>
      <c r="L157" s="21"/>
    </row>
    <row r="158" spans="1:12" hidden="1" x14ac:dyDescent="0.25">
      <c r="A158" s="1546"/>
      <c r="B158" s="1710"/>
      <c r="C158" s="1403"/>
      <c r="D158" s="28" t="s">
        <v>257</v>
      </c>
      <c r="E158" s="94"/>
      <c r="F158" s="80">
        <v>700</v>
      </c>
      <c r="G158" s="80"/>
      <c r="H158" s="80"/>
      <c r="I158" s="80">
        <v>705</v>
      </c>
      <c r="J158" s="96"/>
      <c r="K158" s="28"/>
      <c r="L158" s="21"/>
    </row>
    <row r="159" spans="1:12" hidden="1" x14ac:dyDescent="0.25">
      <c r="A159" s="1546"/>
      <c r="B159" s="1710"/>
      <c r="C159" s="1403"/>
      <c r="D159" s="28" t="s">
        <v>263</v>
      </c>
      <c r="E159" s="94"/>
      <c r="F159" s="80">
        <v>985</v>
      </c>
      <c r="G159" s="80"/>
      <c r="H159" s="80"/>
      <c r="I159" s="80">
        <v>678</v>
      </c>
      <c r="J159" s="96"/>
      <c r="K159" s="28"/>
      <c r="L159" s="21"/>
    </row>
    <row r="160" spans="1:12" hidden="1" x14ac:dyDescent="0.25">
      <c r="A160" s="1546"/>
      <c r="B160" s="1710"/>
      <c r="C160" s="1403"/>
      <c r="D160" s="28" t="s">
        <v>357</v>
      </c>
      <c r="E160" s="94"/>
      <c r="F160" s="98">
        <f>(F159/F157)*100</f>
        <v>58.456973293768542</v>
      </c>
      <c r="G160" s="94"/>
      <c r="H160" s="94"/>
      <c r="I160" s="98">
        <f>I159/I157*100</f>
        <v>49.130434782608695</v>
      </c>
      <c r="J160" s="96"/>
      <c r="K160" s="28"/>
      <c r="L160" s="21"/>
    </row>
    <row r="161" spans="1:12" hidden="1" x14ac:dyDescent="0.25">
      <c r="A161" s="1546"/>
      <c r="B161" s="1710"/>
      <c r="C161" s="1403" t="s">
        <v>381</v>
      </c>
      <c r="D161" s="144" t="s">
        <v>251</v>
      </c>
      <c r="E161" s="94"/>
      <c r="F161" s="80">
        <v>135</v>
      </c>
      <c r="G161" s="80"/>
      <c r="H161" s="80"/>
      <c r="I161" s="80">
        <v>204</v>
      </c>
      <c r="J161" s="28"/>
      <c r="K161" s="28"/>
      <c r="L161" s="21"/>
    </row>
    <row r="162" spans="1:12" ht="14.85" hidden="1" customHeight="1" x14ac:dyDescent="0.25">
      <c r="A162" s="1546"/>
      <c r="B162" s="1710"/>
      <c r="C162" s="1403"/>
      <c r="D162" s="28" t="s">
        <v>257</v>
      </c>
      <c r="E162" s="94"/>
      <c r="F162" s="80">
        <v>0</v>
      </c>
      <c r="G162" s="80"/>
      <c r="H162" s="80"/>
      <c r="I162" s="80">
        <v>108</v>
      </c>
      <c r="J162" s="28"/>
      <c r="K162" s="28"/>
      <c r="L162" s="21"/>
    </row>
    <row r="163" spans="1:12" hidden="1" x14ac:dyDescent="0.25">
      <c r="A163" s="1546"/>
      <c r="B163" s="1710"/>
      <c r="C163" s="1403"/>
      <c r="D163" s="28" t="s">
        <v>263</v>
      </c>
      <c r="E163" s="94"/>
      <c r="F163" s="80">
        <v>135</v>
      </c>
      <c r="G163" s="80"/>
      <c r="H163" s="80"/>
      <c r="I163" s="80">
        <v>99</v>
      </c>
      <c r="J163" s="28"/>
      <c r="K163" s="28"/>
      <c r="L163" s="21"/>
    </row>
    <row r="164" spans="1:12" hidden="1" x14ac:dyDescent="0.25">
      <c r="A164" s="1546"/>
      <c r="B164" s="1710"/>
      <c r="C164" s="1403"/>
      <c r="D164" s="28" t="s">
        <v>357</v>
      </c>
      <c r="E164" s="94"/>
      <c r="F164" s="99">
        <f>(F163/F161)*100</f>
        <v>100</v>
      </c>
      <c r="G164" s="94"/>
      <c r="H164" s="94"/>
      <c r="I164" s="98">
        <f>I163/I161*100</f>
        <v>48.529411764705884</v>
      </c>
      <c r="J164" s="28"/>
      <c r="K164" s="28"/>
      <c r="L164" s="21"/>
    </row>
    <row r="165" spans="1:12" hidden="1" x14ac:dyDescent="0.25">
      <c r="A165" s="1546"/>
      <c r="B165" s="1710"/>
      <c r="C165" s="1437" t="s">
        <v>382</v>
      </c>
      <c r="D165" s="145" t="s">
        <v>251</v>
      </c>
      <c r="E165" s="95"/>
      <c r="F165" s="80">
        <v>2265</v>
      </c>
      <c r="G165" s="80"/>
      <c r="H165" s="80"/>
      <c r="I165" s="80">
        <v>2067</v>
      </c>
      <c r="J165" s="96"/>
      <c r="K165" s="96"/>
      <c r="L165" s="200"/>
    </row>
    <row r="166" spans="1:12" hidden="1" x14ac:dyDescent="0.25">
      <c r="A166" s="1546"/>
      <c r="B166" s="1710"/>
      <c r="C166" s="1437"/>
      <c r="D166" s="96" t="s">
        <v>257</v>
      </c>
      <c r="E166" s="95"/>
      <c r="F166" s="80">
        <v>720</v>
      </c>
      <c r="G166" s="80"/>
      <c r="H166" s="80"/>
      <c r="I166" s="80">
        <v>738</v>
      </c>
      <c r="J166" s="96"/>
      <c r="K166" s="96"/>
      <c r="L166" s="200"/>
    </row>
    <row r="167" spans="1:12" hidden="1" x14ac:dyDescent="0.25">
      <c r="A167" s="1546"/>
      <c r="B167" s="1710"/>
      <c r="C167" s="1437"/>
      <c r="D167" s="96" t="s">
        <v>263</v>
      </c>
      <c r="E167" s="95"/>
      <c r="F167" s="80">
        <v>1550</v>
      </c>
      <c r="G167" s="80"/>
      <c r="H167" s="80"/>
      <c r="I167" s="80">
        <v>1326</v>
      </c>
      <c r="J167" s="96"/>
      <c r="K167" s="96"/>
      <c r="L167" s="200"/>
    </row>
    <row r="168" spans="1:12" hidden="1" x14ac:dyDescent="0.25">
      <c r="A168" s="1546"/>
      <c r="B168" s="1710"/>
      <c r="C168" s="1437"/>
      <c r="D168" s="96" t="s">
        <v>357</v>
      </c>
      <c r="E168" s="95"/>
      <c r="F168" s="99">
        <f>(F167/F165)*100</f>
        <v>68.432671081677711</v>
      </c>
      <c r="G168" s="94"/>
      <c r="H168" s="94"/>
      <c r="I168" s="99">
        <f>I167/I165*100</f>
        <v>64.15094339622641</v>
      </c>
      <c r="J168" s="96"/>
      <c r="K168" s="96"/>
      <c r="L168" s="200"/>
    </row>
    <row r="169" spans="1:12" ht="14.85" hidden="1" customHeight="1" x14ac:dyDescent="0.25">
      <c r="A169" s="1546"/>
      <c r="B169" s="1710"/>
      <c r="C169" s="1437" t="s">
        <v>383</v>
      </c>
      <c r="D169" s="145" t="s">
        <v>251</v>
      </c>
      <c r="E169" s="95"/>
      <c r="F169" s="80">
        <v>1135</v>
      </c>
      <c r="G169" s="80"/>
      <c r="H169" s="80"/>
      <c r="I169" s="80">
        <v>957</v>
      </c>
      <c r="J169" s="96"/>
      <c r="K169" s="96"/>
      <c r="L169" s="200"/>
    </row>
    <row r="170" spans="1:12" hidden="1" x14ac:dyDescent="0.25">
      <c r="A170" s="1546"/>
      <c r="B170" s="1710"/>
      <c r="C170" s="1437"/>
      <c r="D170" s="96" t="s">
        <v>257</v>
      </c>
      <c r="E170" s="95"/>
      <c r="F170" s="80">
        <v>430</v>
      </c>
      <c r="G170" s="80"/>
      <c r="H170" s="80"/>
      <c r="I170" s="80">
        <v>309</v>
      </c>
      <c r="J170" s="96"/>
      <c r="K170" s="96"/>
      <c r="L170" s="200"/>
    </row>
    <row r="171" spans="1:12" hidden="1" x14ac:dyDescent="0.25">
      <c r="A171" s="1546"/>
      <c r="B171" s="1710"/>
      <c r="C171" s="1437"/>
      <c r="D171" s="96" t="s">
        <v>263</v>
      </c>
      <c r="E171" s="95"/>
      <c r="F171" s="80">
        <v>705</v>
      </c>
      <c r="G171" s="80"/>
      <c r="H171" s="80"/>
      <c r="I171" s="80">
        <v>648</v>
      </c>
      <c r="J171" s="96"/>
      <c r="K171" s="96"/>
      <c r="L171" s="200"/>
    </row>
    <row r="172" spans="1:12" hidden="1" x14ac:dyDescent="0.25">
      <c r="A172" s="1546"/>
      <c r="B172" s="1710"/>
      <c r="C172" s="1437"/>
      <c r="D172" s="96" t="s">
        <v>357</v>
      </c>
      <c r="E172" s="95"/>
      <c r="F172" s="99">
        <f>(F171/F169)*100</f>
        <v>62.114537444933923</v>
      </c>
      <c r="G172" s="94"/>
      <c r="H172" s="94"/>
      <c r="I172" s="99">
        <f>I171/I169*100</f>
        <v>67.711598746081506</v>
      </c>
      <c r="J172" s="96"/>
      <c r="K172" s="96"/>
      <c r="L172" s="200"/>
    </row>
    <row r="173" spans="1:12" hidden="1" x14ac:dyDescent="0.25">
      <c r="A173" s="1546"/>
      <c r="B173" s="1710"/>
      <c r="C173" s="1437" t="s">
        <v>384</v>
      </c>
      <c r="D173" s="145" t="s">
        <v>251</v>
      </c>
      <c r="E173" s="95"/>
      <c r="F173" s="80">
        <v>1825</v>
      </c>
      <c r="G173" s="80"/>
      <c r="H173" s="80"/>
      <c r="I173" s="80">
        <v>1158</v>
      </c>
      <c r="J173" s="96"/>
      <c r="K173" s="96"/>
      <c r="L173" s="200"/>
    </row>
    <row r="174" spans="1:12" hidden="1" x14ac:dyDescent="0.25">
      <c r="A174" s="1546"/>
      <c r="B174" s="1710"/>
      <c r="C174" s="1437"/>
      <c r="D174" s="96" t="s">
        <v>257</v>
      </c>
      <c r="E174" s="95"/>
      <c r="F174" s="80">
        <v>360</v>
      </c>
      <c r="G174" s="80"/>
      <c r="H174" s="80"/>
      <c r="I174" s="80">
        <v>360</v>
      </c>
      <c r="J174" s="96"/>
      <c r="K174" s="96"/>
      <c r="L174" s="200"/>
    </row>
    <row r="175" spans="1:12" hidden="1" x14ac:dyDescent="0.25">
      <c r="A175" s="1546"/>
      <c r="B175" s="1710"/>
      <c r="C175" s="1437"/>
      <c r="D175" s="96" t="s">
        <v>263</v>
      </c>
      <c r="E175" s="95"/>
      <c r="F175" s="80">
        <v>1465</v>
      </c>
      <c r="G175" s="80"/>
      <c r="H175" s="80"/>
      <c r="I175" s="80">
        <v>795</v>
      </c>
      <c r="J175" s="96"/>
      <c r="K175" s="96"/>
      <c r="L175" s="200"/>
    </row>
    <row r="176" spans="1:12" hidden="1" x14ac:dyDescent="0.25">
      <c r="A176" s="1546"/>
      <c r="B176" s="1710"/>
      <c r="C176" s="1437"/>
      <c r="D176" s="96" t="s">
        <v>357</v>
      </c>
      <c r="E176" s="95"/>
      <c r="F176" s="99">
        <f>(F175/F173)*100</f>
        <v>80.273972602739732</v>
      </c>
      <c r="G176" s="94"/>
      <c r="H176" s="94"/>
      <c r="I176" s="99">
        <f>I175/I173*100</f>
        <v>68.652849740932638</v>
      </c>
      <c r="J176" s="96"/>
      <c r="K176" s="96"/>
      <c r="L176" s="200"/>
    </row>
    <row r="177" spans="1:12" hidden="1" x14ac:dyDescent="0.25">
      <c r="A177" s="1546"/>
      <c r="B177" s="1710"/>
      <c r="C177" s="1437" t="s">
        <v>385</v>
      </c>
      <c r="D177" s="145" t="s">
        <v>251</v>
      </c>
      <c r="E177" s="95"/>
      <c r="F177" s="80">
        <v>145</v>
      </c>
      <c r="G177" s="80"/>
      <c r="H177" s="80"/>
      <c r="I177" s="80">
        <v>336</v>
      </c>
      <c r="J177" s="96"/>
      <c r="K177" s="96"/>
      <c r="L177" s="200"/>
    </row>
    <row r="178" spans="1:12" ht="14.85" hidden="1" customHeight="1" x14ac:dyDescent="0.25">
      <c r="A178" s="1546"/>
      <c r="B178" s="1710"/>
      <c r="C178" s="1437"/>
      <c r="D178" s="96" t="s">
        <v>257</v>
      </c>
      <c r="E178" s="95"/>
      <c r="F178" s="80">
        <v>90</v>
      </c>
      <c r="G178" s="80"/>
      <c r="H178" s="80"/>
      <c r="I178" s="80">
        <v>210</v>
      </c>
      <c r="J178" s="96"/>
      <c r="K178" s="96"/>
      <c r="L178" s="200"/>
    </row>
    <row r="179" spans="1:12" hidden="1" x14ac:dyDescent="0.25">
      <c r="A179" s="1546"/>
      <c r="B179" s="1710"/>
      <c r="C179" s="1437"/>
      <c r="D179" s="96" t="s">
        <v>263</v>
      </c>
      <c r="E179" s="95"/>
      <c r="F179" s="80">
        <v>55</v>
      </c>
      <c r="G179" s="80"/>
      <c r="H179" s="80"/>
      <c r="I179" s="80">
        <v>129</v>
      </c>
      <c r="J179" s="96"/>
      <c r="K179" s="96"/>
      <c r="L179" s="200"/>
    </row>
    <row r="180" spans="1:12" hidden="1" x14ac:dyDescent="0.25">
      <c r="A180" s="1546"/>
      <c r="B180" s="1710"/>
      <c r="C180" s="1437"/>
      <c r="D180" s="96" t="s">
        <v>357</v>
      </c>
      <c r="E180" s="95"/>
      <c r="F180" s="97">
        <f>(F179/F177)*100</f>
        <v>37.931034482758619</v>
      </c>
      <c r="G180" s="94"/>
      <c r="H180" s="94"/>
      <c r="I180" s="97">
        <f>I179/I177*100</f>
        <v>38.392857142857146</v>
      </c>
      <c r="J180" s="96"/>
      <c r="K180" s="96"/>
      <c r="L180" s="200"/>
    </row>
    <row r="181" spans="1:12" hidden="1" x14ac:dyDescent="0.25">
      <c r="A181" s="1546"/>
      <c r="B181" s="1710"/>
      <c r="C181" s="1437" t="s">
        <v>386</v>
      </c>
      <c r="D181" s="145" t="s">
        <v>251</v>
      </c>
      <c r="E181" s="95"/>
      <c r="F181" s="80">
        <v>1000</v>
      </c>
      <c r="G181" s="80"/>
      <c r="H181" s="80"/>
      <c r="I181" s="80">
        <v>1122</v>
      </c>
      <c r="J181" s="96"/>
      <c r="K181" s="96"/>
      <c r="L181" s="200"/>
    </row>
    <row r="182" spans="1:12" hidden="1" x14ac:dyDescent="0.25">
      <c r="A182" s="1546"/>
      <c r="B182" s="1710"/>
      <c r="C182" s="1437"/>
      <c r="D182" s="96" t="s">
        <v>257</v>
      </c>
      <c r="E182" s="95"/>
      <c r="F182" s="80">
        <v>535</v>
      </c>
      <c r="G182" s="80"/>
      <c r="H182" s="80"/>
      <c r="I182" s="80">
        <v>633</v>
      </c>
      <c r="J182" s="96"/>
      <c r="K182" s="96"/>
      <c r="L182" s="200"/>
    </row>
    <row r="183" spans="1:12" hidden="1" x14ac:dyDescent="0.25">
      <c r="A183" s="1546"/>
      <c r="B183" s="1710"/>
      <c r="C183" s="1437"/>
      <c r="D183" s="96" t="s">
        <v>263</v>
      </c>
      <c r="E183" s="95"/>
      <c r="F183" s="80">
        <v>465</v>
      </c>
      <c r="G183" s="80"/>
      <c r="H183" s="80"/>
      <c r="I183" s="80">
        <v>492</v>
      </c>
      <c r="J183" s="96"/>
      <c r="K183" s="96"/>
      <c r="L183" s="200"/>
    </row>
    <row r="184" spans="1:12" hidden="1" x14ac:dyDescent="0.25">
      <c r="A184" s="1546"/>
      <c r="B184" s="1710"/>
      <c r="C184" s="1437"/>
      <c r="D184" s="96" t="s">
        <v>357</v>
      </c>
      <c r="E184" s="95"/>
      <c r="F184" s="98">
        <f>(F183/F181)*100</f>
        <v>46.5</v>
      </c>
      <c r="G184" s="94"/>
      <c r="H184" s="94"/>
      <c r="I184" s="98">
        <f>I183/I181*100</f>
        <v>43.850267379679138</v>
      </c>
      <c r="J184" s="96"/>
      <c r="K184" s="96"/>
      <c r="L184" s="200"/>
    </row>
    <row r="185" spans="1:12" hidden="1" x14ac:dyDescent="0.25">
      <c r="A185" s="1546"/>
      <c r="B185" s="1710"/>
      <c r="C185" s="1437" t="s">
        <v>387</v>
      </c>
      <c r="D185" s="145" t="s">
        <v>251</v>
      </c>
      <c r="E185" s="95"/>
      <c r="F185" s="80">
        <v>2035</v>
      </c>
      <c r="G185" s="80"/>
      <c r="H185" s="80"/>
      <c r="I185" s="80">
        <v>1275</v>
      </c>
      <c r="J185" s="96"/>
      <c r="K185" s="96"/>
      <c r="L185" s="200"/>
    </row>
    <row r="186" spans="1:12" hidden="1" x14ac:dyDescent="0.25">
      <c r="A186" s="1546"/>
      <c r="B186" s="1710"/>
      <c r="C186" s="1437"/>
      <c r="D186" s="96" t="s">
        <v>257</v>
      </c>
      <c r="E186" s="95"/>
      <c r="F186" s="80">
        <v>955</v>
      </c>
      <c r="G186" s="80"/>
      <c r="H186" s="80"/>
      <c r="I186" s="80">
        <v>537</v>
      </c>
      <c r="J186" s="96"/>
      <c r="K186" s="96"/>
      <c r="L186" s="200"/>
    </row>
    <row r="187" spans="1:12" hidden="1" x14ac:dyDescent="0.25">
      <c r="A187" s="1546"/>
      <c r="B187" s="1710"/>
      <c r="C187" s="1437"/>
      <c r="D187" s="96" t="s">
        <v>263</v>
      </c>
      <c r="E187" s="95"/>
      <c r="F187" s="80">
        <v>1075</v>
      </c>
      <c r="G187" s="80"/>
      <c r="H187" s="80"/>
      <c r="I187" s="80">
        <v>738</v>
      </c>
      <c r="J187" s="96"/>
      <c r="K187" s="96"/>
      <c r="L187" s="200"/>
    </row>
    <row r="188" spans="1:12" hidden="1" x14ac:dyDescent="0.25">
      <c r="A188" s="1546"/>
      <c r="B188" s="1710"/>
      <c r="C188" s="1437"/>
      <c r="D188" s="96" t="s">
        <v>357</v>
      </c>
      <c r="E188" s="95"/>
      <c r="F188" s="98">
        <f>(F187/F185)*100</f>
        <v>52.825552825552826</v>
      </c>
      <c r="G188" s="94"/>
      <c r="H188" s="94"/>
      <c r="I188" s="98">
        <f>I187/I185*100</f>
        <v>57.882352941176471</v>
      </c>
      <c r="J188" s="96"/>
      <c r="K188" s="96"/>
      <c r="L188" s="200"/>
    </row>
    <row r="189" spans="1:12" hidden="1" x14ac:dyDescent="0.25">
      <c r="A189" s="1546"/>
      <c r="B189" s="1710"/>
      <c r="C189" s="1437" t="s">
        <v>388</v>
      </c>
      <c r="D189" s="145" t="s">
        <v>251</v>
      </c>
      <c r="E189" s="95"/>
      <c r="F189" s="80">
        <v>15</v>
      </c>
      <c r="G189" s="80"/>
      <c r="H189" s="80"/>
      <c r="I189" s="80">
        <v>525</v>
      </c>
      <c r="J189" s="96"/>
      <c r="K189" s="96"/>
      <c r="L189" s="200"/>
    </row>
    <row r="190" spans="1:12" hidden="1" x14ac:dyDescent="0.25">
      <c r="A190" s="1546"/>
      <c r="B190" s="1710"/>
      <c r="C190" s="1437"/>
      <c r="D190" s="96" t="s">
        <v>257</v>
      </c>
      <c r="E190" s="95"/>
      <c r="F190" s="80">
        <v>15</v>
      </c>
      <c r="G190" s="80"/>
      <c r="H190" s="80"/>
      <c r="I190" s="80">
        <v>267</v>
      </c>
      <c r="J190" s="96"/>
      <c r="K190" s="96"/>
      <c r="L190" s="200"/>
    </row>
    <row r="191" spans="1:12" hidden="1" x14ac:dyDescent="0.25">
      <c r="A191" s="1546"/>
      <c r="B191" s="1710"/>
      <c r="C191" s="1437"/>
      <c r="D191" s="96" t="s">
        <v>263</v>
      </c>
      <c r="E191" s="95"/>
      <c r="F191" s="80">
        <v>0</v>
      </c>
      <c r="G191" s="80"/>
      <c r="H191" s="80"/>
      <c r="I191" s="80">
        <v>261</v>
      </c>
      <c r="J191" s="96"/>
      <c r="K191" s="96"/>
      <c r="L191" s="200"/>
    </row>
    <row r="192" spans="1:12" hidden="1" x14ac:dyDescent="0.25">
      <c r="A192" s="1546"/>
      <c r="B192" s="1710"/>
      <c r="C192" s="1437"/>
      <c r="D192" s="96" t="s">
        <v>357</v>
      </c>
      <c r="E192" s="95"/>
      <c r="F192" s="97">
        <f>(F191/F189)*100</f>
        <v>0</v>
      </c>
      <c r="G192" s="94"/>
      <c r="H192" s="94"/>
      <c r="I192" s="98">
        <f>I191/I189*100</f>
        <v>49.714285714285715</v>
      </c>
      <c r="J192" s="96"/>
      <c r="K192" s="96"/>
      <c r="L192" s="200"/>
    </row>
    <row r="193" spans="1:12" hidden="1" x14ac:dyDescent="0.25">
      <c r="A193" s="1546"/>
      <c r="B193" s="1710"/>
      <c r="C193" s="1403" t="s">
        <v>389</v>
      </c>
      <c r="D193" s="144" t="s">
        <v>251</v>
      </c>
      <c r="E193" s="94"/>
      <c r="F193" s="80">
        <v>230</v>
      </c>
      <c r="G193" s="80"/>
      <c r="H193" s="80"/>
      <c r="I193" s="80">
        <v>300</v>
      </c>
      <c r="J193" s="28"/>
      <c r="K193" s="28"/>
      <c r="L193" s="21"/>
    </row>
    <row r="194" spans="1:12" hidden="1" x14ac:dyDescent="0.25">
      <c r="A194" s="1546"/>
      <c r="B194" s="1710"/>
      <c r="C194" s="1403"/>
      <c r="D194" s="28" t="s">
        <v>257</v>
      </c>
      <c r="E194" s="94"/>
      <c r="F194" s="80">
        <v>115</v>
      </c>
      <c r="G194" s="80"/>
      <c r="H194" s="80"/>
      <c r="I194" s="80">
        <v>129</v>
      </c>
      <c r="J194" s="28"/>
      <c r="K194" s="28"/>
      <c r="L194" s="21"/>
    </row>
    <row r="195" spans="1:12" hidden="1" x14ac:dyDescent="0.25">
      <c r="A195" s="1546"/>
      <c r="B195" s="1710"/>
      <c r="C195" s="1403"/>
      <c r="D195" s="28" t="s">
        <v>263</v>
      </c>
      <c r="E195" s="94"/>
      <c r="F195" s="80">
        <v>120</v>
      </c>
      <c r="G195" s="80"/>
      <c r="H195" s="80"/>
      <c r="I195" s="80">
        <v>168</v>
      </c>
      <c r="J195" s="28"/>
      <c r="K195" s="28"/>
      <c r="L195" s="21"/>
    </row>
    <row r="196" spans="1:12" hidden="1" x14ac:dyDescent="0.25">
      <c r="A196" s="1546"/>
      <c r="B196" s="1710"/>
      <c r="C196" s="1403"/>
      <c r="D196" s="28" t="s">
        <v>357</v>
      </c>
      <c r="E196" s="94"/>
      <c r="F196" s="98">
        <f>(F195/F193)*100</f>
        <v>52.173913043478258</v>
      </c>
      <c r="G196" s="94"/>
      <c r="H196" s="94"/>
      <c r="I196" s="98">
        <f>I195/I193*100</f>
        <v>56.000000000000007</v>
      </c>
      <c r="J196" s="28"/>
      <c r="K196" s="28"/>
      <c r="L196" s="21"/>
    </row>
    <row r="197" spans="1:12" hidden="1" x14ac:dyDescent="0.25">
      <c r="A197" s="1546"/>
      <c r="B197" s="1710"/>
      <c r="C197" s="1403" t="s">
        <v>390</v>
      </c>
      <c r="D197" s="144" t="s">
        <v>251</v>
      </c>
      <c r="E197" s="94"/>
      <c r="F197" s="80">
        <v>160</v>
      </c>
      <c r="G197" s="80"/>
      <c r="H197" s="80"/>
      <c r="I197" s="80">
        <v>186</v>
      </c>
      <c r="J197" s="28"/>
      <c r="K197" s="28"/>
      <c r="L197" s="21"/>
    </row>
    <row r="198" spans="1:12" ht="14.85" hidden="1" customHeight="1" x14ac:dyDescent="0.25">
      <c r="A198" s="1546"/>
      <c r="B198" s="1710"/>
      <c r="C198" s="1403"/>
      <c r="D198" s="28" t="s">
        <v>257</v>
      </c>
      <c r="E198" s="94"/>
      <c r="F198" s="80">
        <v>35</v>
      </c>
      <c r="G198" s="80"/>
      <c r="H198" s="80"/>
      <c r="I198" s="80">
        <v>63</v>
      </c>
      <c r="J198" s="28"/>
      <c r="K198" s="28"/>
      <c r="L198" s="21"/>
    </row>
    <row r="199" spans="1:12" hidden="1" x14ac:dyDescent="0.25">
      <c r="A199" s="1546"/>
      <c r="B199" s="1710"/>
      <c r="C199" s="1403"/>
      <c r="D199" s="28" t="s">
        <v>263</v>
      </c>
      <c r="E199" s="94"/>
      <c r="F199" s="80">
        <v>125</v>
      </c>
      <c r="G199" s="80"/>
      <c r="H199" s="80"/>
      <c r="I199" s="80">
        <v>123</v>
      </c>
      <c r="J199" s="28"/>
      <c r="K199" s="28"/>
      <c r="L199" s="21"/>
    </row>
    <row r="200" spans="1:12" hidden="1" x14ac:dyDescent="0.25">
      <c r="A200" s="1546"/>
      <c r="B200" s="1710"/>
      <c r="C200" s="1403"/>
      <c r="D200" s="28" t="s">
        <v>357</v>
      </c>
      <c r="E200" s="94"/>
      <c r="F200" s="99">
        <f>(F199/F197)*100</f>
        <v>78.125</v>
      </c>
      <c r="G200" s="94"/>
      <c r="H200" s="94"/>
      <c r="I200" s="99">
        <f>I199/I197*100</f>
        <v>66.129032258064512</v>
      </c>
      <c r="J200" s="28"/>
      <c r="K200" s="28"/>
      <c r="L200" s="21"/>
    </row>
    <row r="201" spans="1:12" hidden="1" x14ac:dyDescent="0.25">
      <c r="A201" s="1546"/>
      <c r="B201" s="1710"/>
      <c r="C201" s="1403" t="s">
        <v>391</v>
      </c>
      <c r="D201" s="144" t="s">
        <v>251</v>
      </c>
      <c r="E201" s="94"/>
      <c r="F201" s="80">
        <v>600</v>
      </c>
      <c r="G201" s="80"/>
      <c r="H201" s="80"/>
      <c r="I201" s="80">
        <v>453</v>
      </c>
      <c r="J201" s="28"/>
      <c r="K201" s="28"/>
      <c r="L201" s="21"/>
    </row>
    <row r="202" spans="1:12" hidden="1" x14ac:dyDescent="0.25">
      <c r="A202" s="1546"/>
      <c r="B202" s="1710"/>
      <c r="C202" s="1403"/>
      <c r="D202" s="28" t="s">
        <v>257</v>
      </c>
      <c r="E202" s="94"/>
      <c r="F202" s="80">
        <v>140</v>
      </c>
      <c r="G202" s="80"/>
      <c r="H202" s="80"/>
      <c r="I202" s="80">
        <v>87</v>
      </c>
      <c r="J202" s="28"/>
      <c r="K202" s="28"/>
      <c r="L202" s="21"/>
    </row>
    <row r="203" spans="1:12" hidden="1" x14ac:dyDescent="0.25">
      <c r="A203" s="1546"/>
      <c r="B203" s="1710"/>
      <c r="C203" s="1403"/>
      <c r="D203" s="28" t="s">
        <v>263</v>
      </c>
      <c r="E203" s="94"/>
      <c r="F203" s="80">
        <v>460</v>
      </c>
      <c r="G203" s="80"/>
      <c r="H203" s="80"/>
      <c r="I203" s="80">
        <v>366</v>
      </c>
      <c r="J203" s="28"/>
      <c r="K203" s="28"/>
      <c r="L203" s="21"/>
    </row>
    <row r="204" spans="1:12" hidden="1" x14ac:dyDescent="0.25">
      <c r="A204" s="1546"/>
      <c r="B204" s="1710"/>
      <c r="C204" s="1403"/>
      <c r="D204" s="28" t="s">
        <v>357</v>
      </c>
      <c r="E204" s="94"/>
      <c r="F204" s="99">
        <f>(F203/F201)*100</f>
        <v>76.666666666666671</v>
      </c>
      <c r="G204" s="94"/>
      <c r="H204" s="94"/>
      <c r="I204" s="99">
        <f>I203/I201*100</f>
        <v>80.794701986754973</v>
      </c>
      <c r="J204" s="28"/>
      <c r="K204" s="28"/>
      <c r="L204" s="21"/>
    </row>
    <row r="205" spans="1:12" hidden="1" x14ac:dyDescent="0.25">
      <c r="A205" s="1546"/>
      <c r="B205" s="1710"/>
      <c r="C205" s="1403" t="s">
        <v>392</v>
      </c>
      <c r="D205" s="144" t="s">
        <v>251</v>
      </c>
      <c r="E205" s="94"/>
      <c r="F205" s="80">
        <v>460</v>
      </c>
      <c r="G205" s="80"/>
      <c r="H205" s="80"/>
      <c r="I205" s="80">
        <v>198</v>
      </c>
      <c r="J205" s="28"/>
      <c r="K205" s="28"/>
      <c r="L205" s="21"/>
    </row>
    <row r="206" spans="1:12" hidden="1" x14ac:dyDescent="0.25">
      <c r="A206" s="1546"/>
      <c r="B206" s="1710"/>
      <c r="C206" s="1403"/>
      <c r="D206" s="28" t="s">
        <v>257</v>
      </c>
      <c r="E206" s="94"/>
      <c r="F206" s="80">
        <v>20</v>
      </c>
      <c r="G206" s="80"/>
      <c r="H206" s="80"/>
      <c r="I206" s="80">
        <v>24</v>
      </c>
      <c r="J206" s="28"/>
      <c r="K206" s="28"/>
      <c r="L206" s="21"/>
    </row>
    <row r="207" spans="1:12" hidden="1" x14ac:dyDescent="0.25">
      <c r="A207" s="1546"/>
      <c r="B207" s="1710"/>
      <c r="C207" s="1403"/>
      <c r="D207" s="28" t="s">
        <v>263</v>
      </c>
      <c r="E207" s="94"/>
      <c r="F207" s="80">
        <v>440</v>
      </c>
      <c r="G207" s="80"/>
      <c r="H207" s="80"/>
      <c r="I207" s="80">
        <v>174</v>
      </c>
      <c r="J207" s="28"/>
      <c r="K207" s="28"/>
      <c r="L207" s="21"/>
    </row>
    <row r="208" spans="1:12" hidden="1" x14ac:dyDescent="0.25">
      <c r="A208" s="1546"/>
      <c r="B208" s="1710"/>
      <c r="C208" s="1403"/>
      <c r="D208" s="28" t="s">
        <v>357</v>
      </c>
      <c r="E208" s="94"/>
      <c r="F208" s="99">
        <f>(F207/F205)*100</f>
        <v>95.652173913043484</v>
      </c>
      <c r="G208" s="94"/>
      <c r="H208" s="94"/>
      <c r="I208" s="99">
        <f>I207/I205*100</f>
        <v>87.878787878787875</v>
      </c>
      <c r="J208" s="28"/>
      <c r="K208" s="28"/>
      <c r="L208" s="21"/>
    </row>
    <row r="209" spans="1:12" hidden="1" x14ac:dyDescent="0.25">
      <c r="A209" s="1546"/>
      <c r="B209" s="1710"/>
      <c r="C209" s="1403" t="s">
        <v>393</v>
      </c>
      <c r="D209" s="144" t="s">
        <v>251</v>
      </c>
      <c r="E209" s="94"/>
      <c r="F209" s="80">
        <v>1260</v>
      </c>
      <c r="G209" s="80"/>
      <c r="H209" s="80"/>
      <c r="I209" s="80">
        <v>1062</v>
      </c>
      <c r="J209" s="28"/>
      <c r="K209" s="28"/>
      <c r="L209" s="21"/>
    </row>
    <row r="210" spans="1:12" hidden="1" x14ac:dyDescent="0.25">
      <c r="A210" s="1546"/>
      <c r="B210" s="1710"/>
      <c r="C210" s="1403"/>
      <c r="D210" s="28" t="s">
        <v>257</v>
      </c>
      <c r="E210" s="94"/>
      <c r="F210" s="80">
        <v>740</v>
      </c>
      <c r="G210" s="80"/>
      <c r="H210" s="80"/>
      <c r="I210" s="80">
        <v>621</v>
      </c>
      <c r="J210" s="28"/>
      <c r="K210" s="28"/>
      <c r="L210" s="21"/>
    </row>
    <row r="211" spans="1:12" hidden="1" x14ac:dyDescent="0.25">
      <c r="A211" s="1546"/>
      <c r="B211" s="1710"/>
      <c r="C211" s="1403"/>
      <c r="D211" s="28" t="s">
        <v>263</v>
      </c>
      <c r="E211" s="94"/>
      <c r="F211" s="80">
        <v>520</v>
      </c>
      <c r="G211" s="80"/>
      <c r="H211" s="80"/>
      <c r="I211" s="80">
        <v>444</v>
      </c>
      <c r="J211" s="28"/>
      <c r="K211" s="28"/>
      <c r="L211" s="21"/>
    </row>
    <row r="212" spans="1:12" hidden="1" x14ac:dyDescent="0.25">
      <c r="A212" s="1546"/>
      <c r="B212" s="1710"/>
      <c r="C212" s="1403"/>
      <c r="D212" s="28" t="s">
        <v>357</v>
      </c>
      <c r="E212" s="94"/>
      <c r="F212" s="98">
        <f>(F211/F209)*100</f>
        <v>41.269841269841265</v>
      </c>
      <c r="G212" s="94"/>
      <c r="H212" s="94"/>
      <c r="I212" s="98">
        <f>I211/I209*100</f>
        <v>41.807909604519772</v>
      </c>
      <c r="J212" s="28"/>
      <c r="K212" s="28"/>
      <c r="L212" s="21"/>
    </row>
    <row r="213" spans="1:12" hidden="1" x14ac:dyDescent="0.25">
      <c r="A213" s="1546"/>
      <c r="B213" s="1710"/>
      <c r="C213" s="1403" t="s">
        <v>394</v>
      </c>
      <c r="D213" s="144" t="s">
        <v>251</v>
      </c>
      <c r="E213" s="94"/>
      <c r="F213" s="80">
        <v>760</v>
      </c>
      <c r="G213" s="80"/>
      <c r="H213" s="80"/>
      <c r="I213" s="80">
        <v>849</v>
      </c>
      <c r="J213" s="28"/>
      <c r="K213" s="28"/>
      <c r="L213" s="21"/>
    </row>
    <row r="214" spans="1:12" hidden="1" x14ac:dyDescent="0.25">
      <c r="A214" s="1546"/>
      <c r="B214" s="1710"/>
      <c r="C214" s="1403"/>
      <c r="D214" s="28" t="s">
        <v>257</v>
      </c>
      <c r="E214" s="94"/>
      <c r="F214" s="80">
        <v>615</v>
      </c>
      <c r="G214" s="80"/>
      <c r="H214" s="80"/>
      <c r="I214" s="80">
        <v>648</v>
      </c>
      <c r="J214" s="28"/>
      <c r="K214" s="28"/>
      <c r="L214" s="21"/>
    </row>
    <row r="215" spans="1:12" hidden="1" x14ac:dyDescent="0.25">
      <c r="A215" s="1546"/>
      <c r="B215" s="1710"/>
      <c r="C215" s="1403"/>
      <c r="D215" s="28" t="s">
        <v>263</v>
      </c>
      <c r="E215" s="94"/>
      <c r="F215" s="80">
        <v>145</v>
      </c>
      <c r="G215" s="80"/>
      <c r="H215" s="80"/>
      <c r="I215" s="80">
        <v>204</v>
      </c>
      <c r="J215" s="28"/>
      <c r="K215" s="28"/>
      <c r="L215" s="21"/>
    </row>
    <row r="216" spans="1:12" hidden="1" x14ac:dyDescent="0.25">
      <c r="A216" s="1546"/>
      <c r="B216" s="1710"/>
      <c r="C216" s="1403"/>
      <c r="D216" s="28" t="s">
        <v>357</v>
      </c>
      <c r="E216" s="94"/>
      <c r="F216" s="97">
        <f>(F215/F213)*100</f>
        <v>19.078947368421055</v>
      </c>
      <c r="G216" s="94"/>
      <c r="H216" s="94"/>
      <c r="I216" s="97">
        <f>I215/I213*100</f>
        <v>24.028268551236749</v>
      </c>
      <c r="J216" s="28"/>
      <c r="K216" s="28"/>
      <c r="L216" s="21"/>
    </row>
    <row r="217" spans="1:12" hidden="1" x14ac:dyDescent="0.25">
      <c r="A217" s="1546"/>
      <c r="B217" s="1710"/>
      <c r="C217" s="1403" t="s">
        <v>395</v>
      </c>
      <c r="D217" s="144" t="s">
        <v>251</v>
      </c>
      <c r="E217" s="94"/>
      <c r="F217" s="80">
        <v>160</v>
      </c>
      <c r="G217" s="80"/>
      <c r="H217" s="80"/>
      <c r="I217" s="80">
        <v>132</v>
      </c>
      <c r="J217" s="94"/>
      <c r="K217" s="28"/>
      <c r="L217" s="21"/>
    </row>
    <row r="218" spans="1:12" ht="14.85" hidden="1" customHeight="1" x14ac:dyDescent="0.25">
      <c r="A218" s="1546"/>
      <c r="B218" s="1710"/>
      <c r="C218" s="1403"/>
      <c r="D218" s="28" t="s">
        <v>257</v>
      </c>
      <c r="E218" s="94"/>
      <c r="F218" s="80">
        <v>120</v>
      </c>
      <c r="G218" s="80"/>
      <c r="H218" s="80"/>
      <c r="I218" s="80">
        <v>93</v>
      </c>
      <c r="J218" s="94"/>
      <c r="K218" s="28"/>
      <c r="L218" s="21"/>
    </row>
    <row r="219" spans="1:12" hidden="1" x14ac:dyDescent="0.25">
      <c r="A219" s="1546"/>
      <c r="B219" s="1710"/>
      <c r="C219" s="1403"/>
      <c r="D219" s="28" t="s">
        <v>263</v>
      </c>
      <c r="E219" s="94"/>
      <c r="F219" s="80">
        <v>40</v>
      </c>
      <c r="G219" s="80"/>
      <c r="H219" s="80"/>
      <c r="I219" s="80">
        <v>39</v>
      </c>
      <c r="J219" s="94"/>
      <c r="K219" s="28"/>
      <c r="L219" s="21"/>
    </row>
    <row r="220" spans="1:12" hidden="1" x14ac:dyDescent="0.25">
      <c r="A220" s="1546"/>
      <c r="B220" s="1710"/>
      <c r="C220" s="1403"/>
      <c r="D220" s="28" t="s">
        <v>357</v>
      </c>
      <c r="E220" s="94"/>
      <c r="F220" s="97">
        <f>(F219/F217)*100</f>
        <v>25</v>
      </c>
      <c r="G220" s="94"/>
      <c r="H220" s="94"/>
      <c r="I220" s="97">
        <f>I219/I217*100</f>
        <v>29.545454545454547</v>
      </c>
      <c r="J220" s="94"/>
      <c r="K220" s="28"/>
      <c r="L220" s="21"/>
    </row>
    <row r="221" spans="1:12" hidden="1" x14ac:dyDescent="0.25">
      <c r="A221" s="1546"/>
      <c r="B221" s="1710"/>
      <c r="C221" s="1403" t="s">
        <v>396</v>
      </c>
      <c r="D221" s="144" t="s">
        <v>251</v>
      </c>
      <c r="E221" s="94"/>
      <c r="F221" s="80">
        <v>25</v>
      </c>
      <c r="G221" s="80"/>
      <c r="H221" s="80"/>
      <c r="I221" s="80">
        <v>27</v>
      </c>
      <c r="J221" s="94"/>
      <c r="K221" s="28"/>
      <c r="L221" s="21"/>
    </row>
    <row r="222" spans="1:12" hidden="1" x14ac:dyDescent="0.25">
      <c r="A222" s="1546"/>
      <c r="B222" s="1710"/>
      <c r="C222" s="1403"/>
      <c r="D222" s="28" t="s">
        <v>257</v>
      </c>
      <c r="E222" s="94"/>
      <c r="F222" s="80">
        <v>10</v>
      </c>
      <c r="G222" s="80"/>
      <c r="H222" s="80"/>
      <c r="I222" s="80">
        <v>12</v>
      </c>
      <c r="J222" s="94"/>
      <c r="K222" s="28"/>
      <c r="L222" s="21"/>
    </row>
    <row r="223" spans="1:12" hidden="1" x14ac:dyDescent="0.25">
      <c r="A223" s="1546"/>
      <c r="B223" s="1710"/>
      <c r="C223" s="1403"/>
      <c r="D223" s="28" t="s">
        <v>263</v>
      </c>
      <c r="E223" s="94"/>
      <c r="F223" s="80">
        <v>20</v>
      </c>
      <c r="G223" s="80"/>
      <c r="H223" s="80"/>
      <c r="I223" s="80">
        <v>15</v>
      </c>
      <c r="J223" s="94"/>
      <c r="K223" s="28"/>
      <c r="L223" s="21"/>
    </row>
    <row r="224" spans="1:12" hidden="1" x14ac:dyDescent="0.25">
      <c r="A224" s="1546"/>
      <c r="B224" s="1710"/>
      <c r="C224" s="1403"/>
      <c r="D224" s="28" t="s">
        <v>357</v>
      </c>
      <c r="E224" s="94"/>
      <c r="F224" s="99">
        <f>(F223/F221)*100</f>
        <v>80</v>
      </c>
      <c r="G224" s="94"/>
      <c r="H224" s="94"/>
      <c r="I224" s="98">
        <f>I223/I221*100</f>
        <v>55.555555555555557</v>
      </c>
      <c r="J224" s="94"/>
      <c r="K224" s="28"/>
      <c r="L224" s="21"/>
    </row>
    <row r="225" spans="1:12" hidden="1" x14ac:dyDescent="0.25">
      <c r="A225" s="1546"/>
      <c r="B225" s="1710"/>
      <c r="C225" s="1403" t="s">
        <v>397</v>
      </c>
      <c r="D225" s="144" t="s">
        <v>251</v>
      </c>
      <c r="E225" s="94"/>
      <c r="F225" s="80"/>
      <c r="G225" s="80"/>
      <c r="H225" s="80"/>
      <c r="I225" s="80">
        <v>15</v>
      </c>
      <c r="J225" s="94"/>
      <c r="K225" s="28"/>
      <c r="L225" s="21"/>
    </row>
    <row r="226" spans="1:12" hidden="1" x14ac:dyDescent="0.25">
      <c r="A226" s="1546"/>
      <c r="B226" s="1710"/>
      <c r="C226" s="1403"/>
      <c r="D226" s="28" t="s">
        <v>257</v>
      </c>
      <c r="E226" s="94"/>
      <c r="F226" s="80"/>
      <c r="G226" s="80"/>
      <c r="H226" s="80"/>
      <c r="I226" s="80">
        <v>6</v>
      </c>
      <c r="J226" s="94"/>
      <c r="K226" s="28"/>
      <c r="L226" s="21"/>
    </row>
    <row r="227" spans="1:12" hidden="1" x14ac:dyDescent="0.25">
      <c r="A227" s="1546"/>
      <c r="B227" s="1710"/>
      <c r="C227" s="1403"/>
      <c r="D227" s="28" t="s">
        <v>263</v>
      </c>
      <c r="E227" s="94"/>
      <c r="F227" s="80"/>
      <c r="G227" s="80"/>
      <c r="H227" s="80"/>
      <c r="I227" s="80">
        <v>9</v>
      </c>
      <c r="J227" s="94"/>
      <c r="K227" s="28"/>
      <c r="L227" s="21"/>
    </row>
    <row r="228" spans="1:12" hidden="1" x14ac:dyDescent="0.25">
      <c r="A228" s="1546"/>
      <c r="B228" s="1710"/>
      <c r="C228" s="1403"/>
      <c r="D228" s="28" t="s">
        <v>357</v>
      </c>
      <c r="E228" s="94"/>
      <c r="F228" s="94"/>
      <c r="G228" s="94"/>
      <c r="H228" s="94"/>
      <c r="I228" s="99">
        <f>I227/I225*100</f>
        <v>60</v>
      </c>
      <c r="J228" s="94"/>
      <c r="K228" s="28"/>
      <c r="L228" s="21"/>
    </row>
    <row r="229" spans="1:12" hidden="1" x14ac:dyDescent="0.25">
      <c r="A229" s="1546"/>
      <c r="B229" s="1710"/>
      <c r="C229" s="1403" t="s">
        <v>398</v>
      </c>
      <c r="D229" s="144" t="s">
        <v>251</v>
      </c>
      <c r="E229" s="94"/>
      <c r="F229" s="80">
        <v>10</v>
      </c>
      <c r="G229" s="80"/>
      <c r="H229" s="80"/>
      <c r="I229" s="80">
        <v>6</v>
      </c>
      <c r="J229" s="94"/>
      <c r="K229" s="28"/>
      <c r="L229" s="21"/>
    </row>
    <row r="230" spans="1:12" ht="14.85" hidden="1" customHeight="1" x14ac:dyDescent="0.25">
      <c r="A230" s="1546"/>
      <c r="B230" s="1710"/>
      <c r="C230" s="1403"/>
      <c r="D230" s="28" t="s">
        <v>257</v>
      </c>
      <c r="E230" s="94"/>
      <c r="F230" s="80">
        <v>0</v>
      </c>
      <c r="G230" s="80"/>
      <c r="H230" s="80"/>
      <c r="I230" s="80">
        <v>3</v>
      </c>
      <c r="J230" s="94"/>
      <c r="K230" s="28"/>
      <c r="L230" s="21"/>
    </row>
    <row r="231" spans="1:12" hidden="1" x14ac:dyDescent="0.25">
      <c r="A231" s="1546"/>
      <c r="B231" s="1710"/>
      <c r="C231" s="1403"/>
      <c r="D231" s="28" t="s">
        <v>263</v>
      </c>
      <c r="E231" s="94"/>
      <c r="F231" s="80">
        <v>10</v>
      </c>
      <c r="G231" s="80"/>
      <c r="H231" s="80"/>
      <c r="I231" s="80">
        <v>3</v>
      </c>
      <c r="J231" s="94"/>
      <c r="K231" s="28"/>
      <c r="L231" s="21"/>
    </row>
    <row r="232" spans="1:12" hidden="1" x14ac:dyDescent="0.25">
      <c r="A232" s="1546"/>
      <c r="B232" s="1710"/>
      <c r="C232" s="1403"/>
      <c r="D232" s="28" t="s">
        <v>357</v>
      </c>
      <c r="E232" s="94"/>
      <c r="F232" s="99">
        <f>(F231/F229)*100</f>
        <v>100</v>
      </c>
      <c r="G232" s="94"/>
      <c r="H232" s="94"/>
      <c r="I232" s="98">
        <f>I231/I229*100</f>
        <v>50</v>
      </c>
      <c r="J232" s="94"/>
      <c r="K232" s="28"/>
      <c r="L232" s="21"/>
    </row>
    <row r="233" spans="1:12" hidden="1" x14ac:dyDescent="0.25">
      <c r="A233" s="1546"/>
      <c r="B233" s="1710"/>
      <c r="C233" s="1403" t="s">
        <v>399</v>
      </c>
      <c r="D233" s="144" t="s">
        <v>251</v>
      </c>
      <c r="E233" s="94"/>
      <c r="F233" s="80">
        <v>480</v>
      </c>
      <c r="G233" s="80"/>
      <c r="H233" s="80"/>
      <c r="I233" s="80">
        <v>372</v>
      </c>
      <c r="J233" s="94"/>
      <c r="K233" s="28"/>
      <c r="L233" s="21"/>
    </row>
    <row r="234" spans="1:12" ht="14.85" hidden="1" customHeight="1" x14ac:dyDescent="0.25">
      <c r="A234" s="1546"/>
      <c r="B234" s="1710"/>
      <c r="C234" s="1403"/>
      <c r="D234" s="28" t="s">
        <v>257</v>
      </c>
      <c r="E234" s="94"/>
      <c r="F234" s="80">
        <v>345</v>
      </c>
      <c r="G234" s="80"/>
      <c r="H234" s="80"/>
      <c r="I234" s="80">
        <v>318</v>
      </c>
      <c r="J234" s="94"/>
      <c r="K234" s="28"/>
      <c r="L234" s="21"/>
    </row>
    <row r="235" spans="1:12" hidden="1" x14ac:dyDescent="0.25">
      <c r="A235" s="1546"/>
      <c r="B235" s="1710"/>
      <c r="C235" s="1403"/>
      <c r="D235" s="28" t="s">
        <v>263</v>
      </c>
      <c r="E235" s="94"/>
      <c r="F235" s="80">
        <v>135</v>
      </c>
      <c r="G235" s="80"/>
      <c r="H235" s="80"/>
      <c r="I235" s="80">
        <v>54</v>
      </c>
      <c r="J235" s="94"/>
      <c r="K235" s="28"/>
      <c r="L235" s="21"/>
    </row>
    <row r="236" spans="1:12" hidden="1" x14ac:dyDescent="0.25">
      <c r="A236" s="1546"/>
      <c r="B236" s="1710"/>
      <c r="C236" s="1403"/>
      <c r="D236" s="28" t="s">
        <v>357</v>
      </c>
      <c r="E236" s="94"/>
      <c r="F236" s="97">
        <f>(F235/F233)*100</f>
        <v>28.125</v>
      </c>
      <c r="G236" s="94"/>
      <c r="H236" s="94"/>
      <c r="I236" s="97">
        <f>I235/I233*100</f>
        <v>14.516129032258066</v>
      </c>
      <c r="J236" s="94"/>
      <c r="K236" s="28"/>
      <c r="L236" s="21"/>
    </row>
    <row r="237" spans="1:12" hidden="1" x14ac:dyDescent="0.25">
      <c r="A237" s="1546"/>
      <c r="B237" s="1710"/>
      <c r="C237" s="1403" t="s">
        <v>400</v>
      </c>
      <c r="D237" s="144" t="s">
        <v>251</v>
      </c>
      <c r="E237" s="94"/>
      <c r="F237" s="80">
        <v>225</v>
      </c>
      <c r="G237" s="80"/>
      <c r="H237" s="80"/>
      <c r="I237" s="80">
        <v>168</v>
      </c>
      <c r="J237" s="94"/>
      <c r="K237" s="28"/>
      <c r="L237" s="21"/>
    </row>
    <row r="238" spans="1:12" hidden="1" x14ac:dyDescent="0.25">
      <c r="A238" s="1546"/>
      <c r="B238" s="1710"/>
      <c r="C238" s="1403"/>
      <c r="D238" s="28" t="s">
        <v>257</v>
      </c>
      <c r="E238" s="94"/>
      <c r="F238" s="80">
        <v>145</v>
      </c>
      <c r="G238" s="80"/>
      <c r="H238" s="80"/>
      <c r="I238" s="80">
        <v>150</v>
      </c>
      <c r="J238" s="94"/>
      <c r="K238" s="28"/>
      <c r="L238" s="21"/>
    </row>
    <row r="239" spans="1:12" hidden="1" x14ac:dyDescent="0.25">
      <c r="A239" s="1546"/>
      <c r="B239" s="1710"/>
      <c r="C239" s="1403"/>
      <c r="D239" s="28" t="s">
        <v>263</v>
      </c>
      <c r="E239" s="94"/>
      <c r="F239" s="80">
        <v>85</v>
      </c>
      <c r="G239" s="80"/>
      <c r="H239" s="80"/>
      <c r="I239" s="80">
        <v>18</v>
      </c>
      <c r="J239" s="94"/>
      <c r="K239" s="28"/>
      <c r="L239" s="21"/>
    </row>
    <row r="240" spans="1:12" hidden="1" x14ac:dyDescent="0.25">
      <c r="A240" s="1546"/>
      <c r="B240" s="1710"/>
      <c r="C240" s="1403"/>
      <c r="D240" s="28" t="s">
        <v>357</v>
      </c>
      <c r="E240" s="94"/>
      <c r="F240" s="97">
        <f>(F239/F237)*100</f>
        <v>37.777777777777779</v>
      </c>
      <c r="G240" s="94"/>
      <c r="H240" s="94"/>
      <c r="I240" s="97">
        <f>I239/I237*100</f>
        <v>10.714285714285714</v>
      </c>
      <c r="J240" s="94"/>
      <c r="K240" s="28"/>
      <c r="L240" s="21"/>
    </row>
    <row r="241" spans="1:12" ht="14.85" hidden="1" customHeight="1" x14ac:dyDescent="0.25">
      <c r="A241" s="1546"/>
      <c r="B241" s="1710"/>
      <c r="C241" s="1403" t="s">
        <v>401</v>
      </c>
      <c r="D241" s="144" t="s">
        <v>251</v>
      </c>
      <c r="E241" s="94"/>
      <c r="F241" s="80">
        <v>180</v>
      </c>
      <c r="G241" s="80"/>
      <c r="H241" s="80"/>
      <c r="I241" s="80">
        <v>63</v>
      </c>
      <c r="J241" s="94"/>
      <c r="K241" s="28"/>
      <c r="L241" s="21"/>
    </row>
    <row r="242" spans="1:12" hidden="1" x14ac:dyDescent="0.25">
      <c r="A242" s="1546"/>
      <c r="B242" s="1710"/>
      <c r="C242" s="1403"/>
      <c r="D242" s="28" t="s">
        <v>257</v>
      </c>
      <c r="E242" s="94"/>
      <c r="F242" s="80">
        <v>180</v>
      </c>
      <c r="G242" s="80"/>
      <c r="H242" s="80"/>
      <c r="I242" s="80">
        <v>57</v>
      </c>
      <c r="J242" s="94"/>
      <c r="K242" s="28"/>
      <c r="L242" s="21"/>
    </row>
    <row r="243" spans="1:12" hidden="1" x14ac:dyDescent="0.25">
      <c r="A243" s="1546"/>
      <c r="B243" s="1710"/>
      <c r="C243" s="1403"/>
      <c r="D243" s="28" t="s">
        <v>263</v>
      </c>
      <c r="E243" s="94"/>
      <c r="F243" s="80">
        <v>0</v>
      </c>
      <c r="G243" s="80"/>
      <c r="H243" s="80"/>
      <c r="I243" s="80">
        <v>6</v>
      </c>
      <c r="J243" s="94"/>
      <c r="K243" s="28"/>
      <c r="L243" s="21"/>
    </row>
    <row r="244" spans="1:12" hidden="1" x14ac:dyDescent="0.25">
      <c r="A244" s="1546"/>
      <c r="B244" s="1710"/>
      <c r="C244" s="1403"/>
      <c r="D244" s="28" t="s">
        <v>357</v>
      </c>
      <c r="E244" s="94"/>
      <c r="F244" s="97">
        <f>(F243/F241)*100</f>
        <v>0</v>
      </c>
      <c r="G244" s="94"/>
      <c r="H244" s="94"/>
      <c r="I244" s="97">
        <f>I243/I241*100</f>
        <v>9.5238095238095237</v>
      </c>
      <c r="J244" s="94"/>
      <c r="K244" s="28"/>
      <c r="L244" s="21"/>
    </row>
    <row r="245" spans="1:12" hidden="1" x14ac:dyDescent="0.25">
      <c r="A245" s="1546"/>
      <c r="B245" s="1710"/>
      <c r="C245" s="1403" t="s">
        <v>402</v>
      </c>
      <c r="D245" s="144" t="s">
        <v>251</v>
      </c>
      <c r="E245" s="94"/>
      <c r="F245" s="80">
        <v>135</v>
      </c>
      <c r="G245" s="80"/>
      <c r="H245" s="80"/>
      <c r="I245" s="80">
        <v>174</v>
      </c>
      <c r="J245" s="94"/>
      <c r="K245" s="28"/>
      <c r="L245" s="21"/>
    </row>
    <row r="246" spans="1:12" hidden="1" x14ac:dyDescent="0.25">
      <c r="A246" s="1546"/>
      <c r="B246" s="1710"/>
      <c r="C246" s="1403"/>
      <c r="D246" s="28" t="s">
        <v>257</v>
      </c>
      <c r="E246" s="94"/>
      <c r="F246" s="80">
        <v>130</v>
      </c>
      <c r="G246" s="80"/>
      <c r="H246" s="80"/>
      <c r="I246" s="80">
        <v>165</v>
      </c>
      <c r="J246" s="94"/>
      <c r="K246" s="28"/>
      <c r="L246" s="21"/>
    </row>
    <row r="247" spans="1:12" hidden="1" x14ac:dyDescent="0.25">
      <c r="A247" s="1546"/>
      <c r="B247" s="1710"/>
      <c r="C247" s="1403"/>
      <c r="D247" s="28" t="s">
        <v>263</v>
      </c>
      <c r="E247" s="94"/>
      <c r="F247" s="80">
        <v>10</v>
      </c>
      <c r="G247" s="80"/>
      <c r="H247" s="80"/>
      <c r="I247" s="80">
        <v>9</v>
      </c>
      <c r="J247" s="94"/>
      <c r="K247" s="28"/>
      <c r="L247" s="21"/>
    </row>
    <row r="248" spans="1:12" hidden="1" x14ac:dyDescent="0.25">
      <c r="A248" s="1546"/>
      <c r="B248" s="1710"/>
      <c r="C248" s="1403"/>
      <c r="D248" s="28" t="s">
        <v>357</v>
      </c>
      <c r="E248" s="94"/>
      <c r="F248" s="97">
        <f>(F247/F245)*100</f>
        <v>7.4074074074074066</v>
      </c>
      <c r="G248" s="94"/>
      <c r="H248" s="94"/>
      <c r="I248" s="97">
        <f>I247/I245*100</f>
        <v>5.1724137931034484</v>
      </c>
      <c r="J248" s="94"/>
      <c r="K248" s="28"/>
      <c r="L248" s="21"/>
    </row>
    <row r="249" spans="1:12" hidden="1" x14ac:dyDescent="0.25">
      <c r="A249" s="1546"/>
      <c r="B249" s="1710"/>
      <c r="C249" s="1403" t="s">
        <v>403</v>
      </c>
      <c r="D249" s="144" t="s">
        <v>251</v>
      </c>
      <c r="E249" s="94"/>
      <c r="F249" s="80">
        <v>170</v>
      </c>
      <c r="G249" s="80"/>
      <c r="H249" s="80"/>
      <c r="I249" s="80">
        <v>267</v>
      </c>
      <c r="J249" s="94"/>
      <c r="K249" s="28"/>
      <c r="L249" s="21"/>
    </row>
    <row r="250" spans="1:12" hidden="1" x14ac:dyDescent="0.25">
      <c r="A250" s="1546"/>
      <c r="B250" s="1710"/>
      <c r="C250" s="1403"/>
      <c r="D250" s="28" t="s">
        <v>257</v>
      </c>
      <c r="E250" s="94"/>
      <c r="F250" s="80">
        <v>130</v>
      </c>
      <c r="G250" s="80"/>
      <c r="H250" s="80"/>
      <c r="I250" s="80">
        <v>231</v>
      </c>
      <c r="J250" s="94"/>
      <c r="K250" s="28"/>
      <c r="L250" s="21"/>
    </row>
    <row r="251" spans="1:12" hidden="1" x14ac:dyDescent="0.25">
      <c r="A251" s="1546"/>
      <c r="B251" s="1710"/>
      <c r="C251" s="1403"/>
      <c r="D251" s="28" t="s">
        <v>263</v>
      </c>
      <c r="E251" s="94"/>
      <c r="F251" s="80">
        <v>40</v>
      </c>
      <c r="G251" s="80"/>
      <c r="H251" s="80"/>
      <c r="I251" s="80">
        <v>39</v>
      </c>
      <c r="J251" s="94"/>
      <c r="K251" s="28"/>
      <c r="L251" s="21"/>
    </row>
    <row r="252" spans="1:12" hidden="1" x14ac:dyDescent="0.25">
      <c r="A252" s="1546"/>
      <c r="B252" s="1710"/>
      <c r="C252" s="1403"/>
      <c r="D252" s="28" t="s">
        <v>357</v>
      </c>
      <c r="E252" s="94"/>
      <c r="F252" s="97">
        <f>(F251/F249)*100</f>
        <v>23.52941176470588</v>
      </c>
      <c r="G252" s="94"/>
      <c r="H252" s="94"/>
      <c r="I252" s="97">
        <f>I251/I249*100</f>
        <v>14.606741573033707</v>
      </c>
      <c r="J252" s="94"/>
      <c r="K252" s="28"/>
      <c r="L252" s="21"/>
    </row>
    <row r="253" spans="1:12" hidden="1" x14ac:dyDescent="0.25">
      <c r="A253" s="1546"/>
      <c r="B253" s="1710"/>
      <c r="C253" s="1403" t="s">
        <v>404</v>
      </c>
      <c r="D253" s="144" t="s">
        <v>251</v>
      </c>
      <c r="E253" s="94"/>
      <c r="F253" s="80">
        <v>145</v>
      </c>
      <c r="G253" s="80"/>
      <c r="H253" s="80"/>
      <c r="I253" s="80">
        <v>81</v>
      </c>
      <c r="J253" s="94"/>
      <c r="K253" s="28"/>
      <c r="L253" s="21"/>
    </row>
    <row r="254" spans="1:12" ht="14.85" hidden="1" customHeight="1" x14ac:dyDescent="0.25">
      <c r="A254" s="1546"/>
      <c r="B254" s="1710"/>
      <c r="C254" s="1403"/>
      <c r="D254" s="28" t="s">
        <v>257</v>
      </c>
      <c r="E254" s="94"/>
      <c r="F254" s="80">
        <v>100</v>
      </c>
      <c r="G254" s="80"/>
      <c r="H254" s="80"/>
      <c r="I254" s="80">
        <v>57</v>
      </c>
      <c r="J254" s="94"/>
      <c r="K254" s="28"/>
      <c r="L254" s="21"/>
    </row>
    <row r="255" spans="1:12" hidden="1" x14ac:dyDescent="0.25">
      <c r="A255" s="1546"/>
      <c r="B255" s="1710"/>
      <c r="C255" s="1403"/>
      <c r="D255" s="28" t="s">
        <v>263</v>
      </c>
      <c r="E255" s="94"/>
      <c r="F255" s="80">
        <v>45</v>
      </c>
      <c r="G255" s="80"/>
      <c r="H255" s="80"/>
      <c r="I255" s="80">
        <v>24</v>
      </c>
      <c r="J255" s="94"/>
      <c r="K255" s="28"/>
      <c r="L255" s="21"/>
    </row>
    <row r="256" spans="1:12" hidden="1" x14ac:dyDescent="0.25">
      <c r="A256" s="1546"/>
      <c r="B256" s="1710"/>
      <c r="C256" s="1403"/>
      <c r="D256" s="28" t="s">
        <v>357</v>
      </c>
      <c r="E256" s="94"/>
      <c r="F256" s="97">
        <f>(F255/F253)*100</f>
        <v>31.03448275862069</v>
      </c>
      <c r="G256" s="94"/>
      <c r="H256" s="94"/>
      <c r="I256" s="97">
        <f>I255/I253*100</f>
        <v>29.629629629629626</v>
      </c>
      <c r="J256" s="94"/>
      <c r="K256" s="28"/>
      <c r="L256" s="21"/>
    </row>
    <row r="257" spans="1:12" hidden="1" x14ac:dyDescent="0.25">
      <c r="A257" s="1546"/>
      <c r="B257" s="1710"/>
      <c r="C257" s="1403" t="s">
        <v>405</v>
      </c>
      <c r="D257" s="144" t="s">
        <v>251</v>
      </c>
      <c r="E257" s="94"/>
      <c r="F257" s="80">
        <v>30</v>
      </c>
      <c r="G257" s="80"/>
      <c r="H257" s="80"/>
      <c r="I257" s="80">
        <v>63</v>
      </c>
      <c r="J257" s="94"/>
      <c r="K257" s="28"/>
      <c r="L257" s="21"/>
    </row>
    <row r="258" spans="1:12" hidden="1" x14ac:dyDescent="0.25">
      <c r="A258" s="1546"/>
      <c r="B258" s="1710"/>
      <c r="C258" s="1403"/>
      <c r="D258" s="28" t="s">
        <v>257</v>
      </c>
      <c r="E258" s="94"/>
      <c r="F258" s="80">
        <v>20</v>
      </c>
      <c r="G258" s="80"/>
      <c r="H258" s="80"/>
      <c r="I258" s="80">
        <v>45</v>
      </c>
      <c r="J258" s="94"/>
      <c r="K258" s="28"/>
      <c r="L258" s="21"/>
    </row>
    <row r="259" spans="1:12" hidden="1" x14ac:dyDescent="0.25">
      <c r="A259" s="1546"/>
      <c r="B259" s="1710"/>
      <c r="C259" s="1403"/>
      <c r="D259" s="28" t="s">
        <v>263</v>
      </c>
      <c r="E259" s="94"/>
      <c r="F259" s="80">
        <v>15</v>
      </c>
      <c r="G259" s="80"/>
      <c r="H259" s="80"/>
      <c r="I259" s="80">
        <v>21</v>
      </c>
      <c r="J259" s="94"/>
      <c r="K259" s="28"/>
      <c r="L259" s="21"/>
    </row>
    <row r="260" spans="1:12" hidden="1" x14ac:dyDescent="0.25">
      <c r="A260" s="1546"/>
      <c r="B260" s="1710"/>
      <c r="C260" s="1403"/>
      <c r="D260" s="28" t="s">
        <v>357</v>
      </c>
      <c r="E260" s="94"/>
      <c r="F260" s="98">
        <f>(F259/F257)*100</f>
        <v>50</v>
      </c>
      <c r="G260" s="94"/>
      <c r="H260" s="94"/>
      <c r="I260" s="97">
        <f>I259/I257*100</f>
        <v>33.333333333333329</v>
      </c>
      <c r="J260" s="94"/>
      <c r="K260" s="28"/>
      <c r="L260" s="21"/>
    </row>
    <row r="261" spans="1:12" hidden="1" x14ac:dyDescent="0.25">
      <c r="A261" s="1546"/>
      <c r="B261" s="1710"/>
      <c r="C261" s="1403" t="s">
        <v>406</v>
      </c>
      <c r="D261" s="144" t="s">
        <v>251</v>
      </c>
      <c r="E261" s="94"/>
      <c r="F261" s="80">
        <v>95</v>
      </c>
      <c r="G261" s="80"/>
      <c r="H261" s="80"/>
      <c r="I261" s="80">
        <v>120</v>
      </c>
      <c r="J261" s="94"/>
      <c r="K261" s="28"/>
      <c r="L261" s="21"/>
    </row>
    <row r="262" spans="1:12" hidden="1" x14ac:dyDescent="0.25">
      <c r="A262" s="1546"/>
      <c r="B262" s="1710"/>
      <c r="C262" s="1403"/>
      <c r="D262" s="28" t="s">
        <v>257</v>
      </c>
      <c r="E262" s="94"/>
      <c r="F262" s="80">
        <v>40</v>
      </c>
      <c r="G262" s="80"/>
      <c r="H262" s="80"/>
      <c r="I262" s="80">
        <v>72</v>
      </c>
      <c r="J262" s="94"/>
      <c r="K262" s="28"/>
      <c r="L262" s="21"/>
    </row>
    <row r="263" spans="1:12" hidden="1" x14ac:dyDescent="0.25">
      <c r="A263" s="1546"/>
      <c r="B263" s="1710"/>
      <c r="C263" s="1403"/>
      <c r="D263" s="28" t="s">
        <v>263</v>
      </c>
      <c r="E263" s="94"/>
      <c r="F263" s="80">
        <v>55</v>
      </c>
      <c r="G263" s="80"/>
      <c r="H263" s="80"/>
      <c r="I263" s="80">
        <v>48</v>
      </c>
      <c r="J263" s="94"/>
      <c r="K263" s="28"/>
      <c r="L263" s="21"/>
    </row>
    <row r="264" spans="1:12" hidden="1" x14ac:dyDescent="0.25">
      <c r="A264" s="1546"/>
      <c r="B264" s="1710"/>
      <c r="C264" s="1403"/>
      <c r="D264" s="28" t="s">
        <v>357</v>
      </c>
      <c r="E264" s="94"/>
      <c r="F264" s="98">
        <f>(F263/F261)*100</f>
        <v>57.894736842105267</v>
      </c>
      <c r="G264" s="94"/>
      <c r="H264" s="94"/>
      <c r="I264" s="98">
        <f>I263/I261*100</f>
        <v>40</v>
      </c>
      <c r="J264" s="94"/>
      <c r="K264" s="28"/>
      <c r="L264" s="21"/>
    </row>
    <row r="265" spans="1:12" hidden="1" x14ac:dyDescent="0.25">
      <c r="A265" s="1546"/>
      <c r="B265" s="1710"/>
      <c r="C265" s="1403" t="s">
        <v>407</v>
      </c>
      <c r="D265" s="144" t="s">
        <v>251</v>
      </c>
      <c r="E265" s="94"/>
      <c r="F265" s="80">
        <v>215</v>
      </c>
      <c r="G265" s="80"/>
      <c r="H265" s="80"/>
      <c r="I265" s="80">
        <v>75</v>
      </c>
      <c r="J265" s="94"/>
      <c r="K265" s="28"/>
      <c r="L265" s="21"/>
    </row>
    <row r="266" spans="1:12" hidden="1" x14ac:dyDescent="0.25">
      <c r="A266" s="1546"/>
      <c r="B266" s="1710"/>
      <c r="C266" s="1403"/>
      <c r="D266" s="28" t="s">
        <v>257</v>
      </c>
      <c r="E266" s="94"/>
      <c r="F266" s="80">
        <v>80</v>
      </c>
      <c r="G266" s="80"/>
      <c r="H266" s="80"/>
      <c r="I266" s="80">
        <v>51</v>
      </c>
      <c r="J266" s="94"/>
      <c r="K266" s="28"/>
      <c r="L266" s="21"/>
    </row>
    <row r="267" spans="1:12" hidden="1" x14ac:dyDescent="0.25">
      <c r="A267" s="1546"/>
      <c r="B267" s="1710"/>
      <c r="C267" s="1403"/>
      <c r="D267" s="28" t="s">
        <v>263</v>
      </c>
      <c r="E267" s="94"/>
      <c r="F267" s="80">
        <v>135</v>
      </c>
      <c r="G267" s="80"/>
      <c r="H267" s="80"/>
      <c r="I267" s="80">
        <v>24</v>
      </c>
      <c r="J267" s="94"/>
      <c r="K267" s="28"/>
      <c r="L267" s="21"/>
    </row>
    <row r="268" spans="1:12" hidden="1" x14ac:dyDescent="0.25">
      <c r="A268" s="1546"/>
      <c r="B268" s="1710"/>
      <c r="C268" s="1403"/>
      <c r="D268" s="28" t="s">
        <v>357</v>
      </c>
      <c r="E268" s="94"/>
      <c r="F268" s="99">
        <f>(F267/F265)*100</f>
        <v>62.790697674418603</v>
      </c>
      <c r="G268" s="94"/>
      <c r="H268" s="94"/>
      <c r="I268" s="97">
        <f>I267/I265*100</f>
        <v>32</v>
      </c>
      <c r="J268" s="94"/>
      <c r="K268" s="28"/>
      <c r="L268" s="21"/>
    </row>
    <row r="269" spans="1:12" hidden="1" x14ac:dyDescent="0.25">
      <c r="A269" s="1546"/>
      <c r="B269" s="1710"/>
      <c r="C269" s="1403" t="s">
        <v>408</v>
      </c>
      <c r="D269" s="144" t="s">
        <v>251</v>
      </c>
      <c r="E269" s="94"/>
      <c r="F269" s="80">
        <v>15</v>
      </c>
      <c r="G269" s="80"/>
      <c r="H269" s="80"/>
      <c r="I269" s="80">
        <v>39</v>
      </c>
      <c r="J269" s="94"/>
      <c r="K269" s="28"/>
      <c r="L269" s="21"/>
    </row>
    <row r="270" spans="1:12" hidden="1" x14ac:dyDescent="0.25">
      <c r="A270" s="1546"/>
      <c r="B270" s="1710"/>
      <c r="C270" s="1403"/>
      <c r="D270" s="28" t="s">
        <v>257</v>
      </c>
      <c r="E270" s="94"/>
      <c r="F270" s="80">
        <v>15</v>
      </c>
      <c r="G270" s="80"/>
      <c r="H270" s="80"/>
      <c r="I270" s="80">
        <v>39</v>
      </c>
      <c r="J270" s="94"/>
      <c r="K270" s="28"/>
      <c r="L270" s="21"/>
    </row>
    <row r="271" spans="1:12" hidden="1" x14ac:dyDescent="0.25">
      <c r="A271" s="1546"/>
      <c r="B271" s="1710"/>
      <c r="C271" s="1403"/>
      <c r="D271" s="28" t="s">
        <v>263</v>
      </c>
      <c r="E271" s="94"/>
      <c r="F271" s="80">
        <v>0</v>
      </c>
      <c r="G271" s="80"/>
      <c r="H271" s="80"/>
      <c r="I271" s="80">
        <v>3</v>
      </c>
      <c r="J271" s="94"/>
      <c r="K271" s="28"/>
      <c r="L271" s="21"/>
    </row>
    <row r="272" spans="1:12" hidden="1" x14ac:dyDescent="0.25">
      <c r="A272" s="1546"/>
      <c r="B272" s="1710"/>
      <c r="C272" s="1403"/>
      <c r="D272" s="28" t="s">
        <v>357</v>
      </c>
      <c r="E272" s="94"/>
      <c r="F272" s="206">
        <f>(F271/F269)*100</f>
        <v>0</v>
      </c>
      <c r="G272" s="94"/>
      <c r="H272" s="94"/>
      <c r="I272" s="97">
        <f>I271/I269*100</f>
        <v>7.6923076923076925</v>
      </c>
      <c r="J272" s="94"/>
      <c r="K272" s="28"/>
      <c r="L272" s="21"/>
    </row>
    <row r="273" spans="1:12" ht="14.85" hidden="1" customHeight="1" x14ac:dyDescent="0.25">
      <c r="A273" s="1546"/>
      <c r="B273" s="1710"/>
      <c r="C273" s="1403" t="s">
        <v>409</v>
      </c>
      <c r="D273" s="144" t="s">
        <v>251</v>
      </c>
      <c r="E273" s="94"/>
      <c r="F273" s="80">
        <v>70</v>
      </c>
      <c r="G273" s="80"/>
      <c r="H273" s="80"/>
      <c r="I273" s="80">
        <v>57</v>
      </c>
      <c r="J273" s="94"/>
      <c r="K273" s="28"/>
      <c r="L273" s="21"/>
    </row>
    <row r="274" spans="1:12" ht="14.85" hidden="1" customHeight="1" x14ac:dyDescent="0.25">
      <c r="A274" s="1546"/>
      <c r="B274" s="1710"/>
      <c r="C274" s="1403"/>
      <c r="D274" s="28" t="s">
        <v>257</v>
      </c>
      <c r="E274" s="94"/>
      <c r="F274" s="80">
        <v>55</v>
      </c>
      <c r="G274" s="80"/>
      <c r="H274" s="80"/>
      <c r="I274" s="80">
        <v>51</v>
      </c>
      <c r="J274" s="94"/>
      <c r="K274" s="28"/>
      <c r="L274" s="21"/>
    </row>
    <row r="275" spans="1:12" hidden="1" x14ac:dyDescent="0.25">
      <c r="A275" s="1546"/>
      <c r="B275" s="1710"/>
      <c r="C275" s="1403"/>
      <c r="D275" s="28" t="s">
        <v>263</v>
      </c>
      <c r="E275" s="94"/>
      <c r="F275" s="80">
        <v>15</v>
      </c>
      <c r="G275" s="80"/>
      <c r="H275" s="80"/>
      <c r="I275" s="80">
        <v>6</v>
      </c>
      <c r="J275" s="94"/>
      <c r="K275" s="28"/>
      <c r="L275" s="21"/>
    </row>
    <row r="276" spans="1:12" hidden="1" x14ac:dyDescent="0.25">
      <c r="A276" s="1546"/>
      <c r="B276" s="1710"/>
      <c r="C276" s="1403"/>
      <c r="D276" s="28" t="s">
        <v>357</v>
      </c>
      <c r="E276" s="94"/>
      <c r="F276" s="97">
        <f>(F275/F273)*100</f>
        <v>21.428571428571427</v>
      </c>
      <c r="G276" s="94"/>
      <c r="H276" s="94"/>
      <c r="I276" s="97">
        <f>I275/I273*100</f>
        <v>10.526315789473683</v>
      </c>
      <c r="J276" s="94"/>
      <c r="K276" s="28"/>
      <c r="L276" s="21"/>
    </row>
    <row r="277" spans="1:12" hidden="1" x14ac:dyDescent="0.25">
      <c r="A277" s="1546"/>
      <c r="B277" s="1710"/>
      <c r="C277" s="1403" t="s">
        <v>410</v>
      </c>
      <c r="D277" s="144" t="s">
        <v>251</v>
      </c>
      <c r="E277" s="94"/>
      <c r="F277" s="80">
        <v>910</v>
      </c>
      <c r="G277" s="80"/>
      <c r="H277" s="80"/>
      <c r="I277" s="80">
        <v>702</v>
      </c>
      <c r="J277" s="94"/>
      <c r="K277" s="28"/>
      <c r="L277" s="21"/>
    </row>
    <row r="278" spans="1:12" hidden="1" x14ac:dyDescent="0.25">
      <c r="A278" s="1546"/>
      <c r="B278" s="1710"/>
      <c r="C278" s="1403"/>
      <c r="D278" s="28" t="s">
        <v>257</v>
      </c>
      <c r="E278" s="94"/>
      <c r="F278" s="80">
        <v>650</v>
      </c>
      <c r="G278" s="80"/>
      <c r="H278" s="80"/>
      <c r="I278" s="80">
        <v>636</v>
      </c>
      <c r="J278" s="94"/>
      <c r="K278" s="28"/>
      <c r="L278" s="21"/>
    </row>
    <row r="279" spans="1:12" hidden="1" x14ac:dyDescent="0.25">
      <c r="A279" s="1546"/>
      <c r="B279" s="1710"/>
      <c r="C279" s="1403"/>
      <c r="D279" s="28" t="s">
        <v>263</v>
      </c>
      <c r="E279" s="94"/>
      <c r="F279" s="80">
        <v>265</v>
      </c>
      <c r="G279" s="80"/>
      <c r="H279" s="80"/>
      <c r="I279" s="80">
        <v>69</v>
      </c>
      <c r="J279" s="94"/>
      <c r="K279" s="28"/>
      <c r="L279" s="21"/>
    </row>
    <row r="280" spans="1:12" hidden="1" x14ac:dyDescent="0.25">
      <c r="A280" s="1546"/>
      <c r="B280" s="1710"/>
      <c r="C280" s="1403"/>
      <c r="D280" s="28" t="s">
        <v>357</v>
      </c>
      <c r="E280" s="94"/>
      <c r="F280" s="97">
        <f>(F279/F277)*100</f>
        <v>29.120879120879124</v>
      </c>
      <c r="G280" s="94"/>
      <c r="H280" s="94"/>
      <c r="I280" s="97">
        <f>I279/I277*100</f>
        <v>9.8290598290598297</v>
      </c>
      <c r="J280" s="94"/>
      <c r="K280" s="28"/>
      <c r="L280" s="21"/>
    </row>
    <row r="281" spans="1:12" hidden="1" x14ac:dyDescent="0.25">
      <c r="A281" s="1546"/>
      <c r="B281" s="1710"/>
      <c r="C281" s="1403" t="s">
        <v>411</v>
      </c>
      <c r="D281" s="144" t="s">
        <v>251</v>
      </c>
      <c r="E281" s="94"/>
      <c r="F281" s="80">
        <v>1190</v>
      </c>
      <c r="G281" s="80"/>
      <c r="H281" s="80"/>
      <c r="I281" s="80">
        <v>2043</v>
      </c>
      <c r="J281" s="94"/>
      <c r="K281" s="28"/>
      <c r="L281" s="21"/>
    </row>
    <row r="282" spans="1:12" hidden="1" x14ac:dyDescent="0.25">
      <c r="A282" s="1546"/>
      <c r="B282" s="1710"/>
      <c r="C282" s="1403"/>
      <c r="D282" s="28" t="s">
        <v>257</v>
      </c>
      <c r="E282" s="94"/>
      <c r="F282" s="80">
        <v>45</v>
      </c>
      <c r="G282" s="80"/>
      <c r="H282" s="80"/>
      <c r="I282" s="80">
        <v>183</v>
      </c>
      <c r="J282" s="94"/>
      <c r="K282" s="28"/>
      <c r="L282" s="21"/>
    </row>
    <row r="283" spans="1:12" hidden="1" x14ac:dyDescent="0.25">
      <c r="A283" s="1546"/>
      <c r="B283" s="1710"/>
      <c r="C283" s="1403"/>
      <c r="D283" s="28" t="s">
        <v>263</v>
      </c>
      <c r="E283" s="94"/>
      <c r="F283" s="80">
        <v>1145</v>
      </c>
      <c r="G283" s="80"/>
      <c r="H283" s="80"/>
      <c r="I283" s="80">
        <v>1860</v>
      </c>
      <c r="J283" s="94"/>
      <c r="K283" s="28"/>
      <c r="L283" s="21"/>
    </row>
    <row r="284" spans="1:12" hidden="1" x14ac:dyDescent="0.25">
      <c r="A284" s="1546"/>
      <c r="B284" s="1710"/>
      <c r="C284" s="1403"/>
      <c r="D284" s="28" t="s">
        <v>357</v>
      </c>
      <c r="E284" s="94"/>
      <c r="F284" s="99">
        <f>(F283/F281)*100</f>
        <v>96.21848739495799</v>
      </c>
      <c r="G284" s="94"/>
      <c r="H284" s="94"/>
      <c r="I284" s="99">
        <f>I283/I281*100</f>
        <v>91.042584434654913</v>
      </c>
      <c r="J284" s="94"/>
      <c r="K284" s="28"/>
      <c r="L284" s="21"/>
    </row>
    <row r="285" spans="1:12" hidden="1" x14ac:dyDescent="0.25">
      <c r="A285" s="1546"/>
      <c r="B285" s="1710"/>
      <c r="C285" s="1403" t="s">
        <v>412</v>
      </c>
      <c r="D285" s="144" t="s">
        <v>251</v>
      </c>
      <c r="E285" s="94"/>
      <c r="F285" s="80">
        <v>835</v>
      </c>
      <c r="G285" s="80"/>
      <c r="H285" s="80"/>
      <c r="I285" s="80">
        <v>804</v>
      </c>
      <c r="J285" s="94"/>
      <c r="K285" s="28"/>
      <c r="L285" s="21"/>
    </row>
    <row r="286" spans="1:12" hidden="1" x14ac:dyDescent="0.25">
      <c r="A286" s="1546"/>
      <c r="B286" s="1710"/>
      <c r="C286" s="1403"/>
      <c r="D286" s="28" t="s">
        <v>257</v>
      </c>
      <c r="E286" s="94"/>
      <c r="F286" s="80">
        <v>245</v>
      </c>
      <c r="G286" s="80"/>
      <c r="H286" s="80"/>
      <c r="I286" s="80">
        <v>210</v>
      </c>
      <c r="J286" s="94"/>
      <c r="K286" s="28"/>
      <c r="L286" s="21"/>
    </row>
    <row r="287" spans="1:12" hidden="1" x14ac:dyDescent="0.25">
      <c r="A287" s="1546"/>
      <c r="B287" s="1710"/>
      <c r="C287" s="1403"/>
      <c r="D287" s="28" t="s">
        <v>263</v>
      </c>
      <c r="E287" s="94"/>
      <c r="F287" s="80">
        <v>590</v>
      </c>
      <c r="G287" s="80"/>
      <c r="H287" s="80"/>
      <c r="I287" s="80">
        <v>591</v>
      </c>
      <c r="J287" s="94"/>
      <c r="K287" s="28"/>
      <c r="L287" s="21"/>
    </row>
    <row r="288" spans="1:12" hidden="1" x14ac:dyDescent="0.25">
      <c r="A288" s="1546"/>
      <c r="B288" s="1710"/>
      <c r="C288" s="1403"/>
      <c r="D288" s="28" t="s">
        <v>357</v>
      </c>
      <c r="E288" s="94"/>
      <c r="F288" s="99">
        <f>(F287/F285)*100</f>
        <v>70.658682634730539</v>
      </c>
      <c r="G288" s="94"/>
      <c r="H288" s="94"/>
      <c r="I288" s="99">
        <f>I287/I285*100</f>
        <v>73.507462686567166</v>
      </c>
      <c r="J288" s="94"/>
      <c r="K288" s="28"/>
      <c r="L288" s="21"/>
    </row>
    <row r="289" spans="1:12" hidden="1" x14ac:dyDescent="0.25">
      <c r="A289" s="1546"/>
      <c r="B289" s="1710"/>
      <c r="C289" s="1403" t="s">
        <v>413</v>
      </c>
      <c r="D289" s="144" t="s">
        <v>251</v>
      </c>
      <c r="E289" s="94"/>
      <c r="F289" s="80">
        <v>190</v>
      </c>
      <c r="G289" s="80"/>
      <c r="H289" s="80"/>
      <c r="I289" s="80">
        <v>123</v>
      </c>
      <c r="J289" s="94"/>
      <c r="K289" s="28"/>
      <c r="L289" s="21"/>
    </row>
    <row r="290" spans="1:12" ht="14.85" hidden="1" customHeight="1" x14ac:dyDescent="0.25">
      <c r="A290" s="1546"/>
      <c r="B290" s="1710"/>
      <c r="C290" s="1403"/>
      <c r="D290" s="28" t="s">
        <v>257</v>
      </c>
      <c r="E290" s="94"/>
      <c r="F290" s="80">
        <v>45</v>
      </c>
      <c r="G290" s="80"/>
      <c r="H290" s="80"/>
      <c r="I290" s="80">
        <v>66</v>
      </c>
      <c r="J290" s="94"/>
      <c r="K290" s="28"/>
      <c r="L290" s="21"/>
    </row>
    <row r="291" spans="1:12" hidden="1" x14ac:dyDescent="0.25">
      <c r="A291" s="1546"/>
      <c r="B291" s="1710"/>
      <c r="C291" s="1403"/>
      <c r="D291" s="28" t="s">
        <v>263</v>
      </c>
      <c r="E291" s="94"/>
      <c r="F291" s="80">
        <v>145</v>
      </c>
      <c r="G291" s="80"/>
      <c r="H291" s="80"/>
      <c r="I291" s="80">
        <v>60</v>
      </c>
      <c r="J291" s="94"/>
      <c r="K291" s="28"/>
      <c r="L291" s="21"/>
    </row>
    <row r="292" spans="1:12" hidden="1" x14ac:dyDescent="0.25">
      <c r="A292" s="1546"/>
      <c r="B292" s="1710"/>
      <c r="C292" s="1403"/>
      <c r="D292" s="28" t="s">
        <v>357</v>
      </c>
      <c r="E292" s="94"/>
      <c r="F292" s="99">
        <f>(F291/F289)*100</f>
        <v>76.31578947368422</v>
      </c>
      <c r="G292" s="94"/>
      <c r="H292" s="94"/>
      <c r="I292" s="98">
        <f>I291/I289*100</f>
        <v>48.780487804878049</v>
      </c>
      <c r="J292" s="94"/>
      <c r="K292" s="28"/>
      <c r="L292" s="21"/>
    </row>
    <row r="293" spans="1:12" ht="14.85" hidden="1" customHeight="1" x14ac:dyDescent="0.25">
      <c r="A293" s="1546"/>
      <c r="B293" s="1710"/>
      <c r="C293" s="1403" t="s">
        <v>414</v>
      </c>
      <c r="D293" s="144" t="s">
        <v>251</v>
      </c>
      <c r="E293" s="94"/>
      <c r="F293" s="80">
        <v>215</v>
      </c>
      <c r="G293" s="80"/>
      <c r="H293" s="80"/>
      <c r="I293" s="80">
        <v>249</v>
      </c>
      <c r="J293" s="94"/>
      <c r="K293" s="28"/>
      <c r="L293" s="21"/>
    </row>
    <row r="294" spans="1:12" ht="14.85" hidden="1" customHeight="1" x14ac:dyDescent="0.25">
      <c r="A294" s="1546"/>
      <c r="B294" s="1710"/>
      <c r="C294" s="1403"/>
      <c r="D294" s="28" t="s">
        <v>257</v>
      </c>
      <c r="E294" s="94"/>
      <c r="F294" s="80">
        <v>145</v>
      </c>
      <c r="G294" s="80"/>
      <c r="H294" s="80"/>
      <c r="I294" s="80">
        <v>174</v>
      </c>
      <c r="J294" s="94"/>
      <c r="K294" s="28"/>
      <c r="L294" s="21"/>
    </row>
    <row r="295" spans="1:12" hidden="1" x14ac:dyDescent="0.25">
      <c r="A295" s="1546"/>
      <c r="B295" s="1710"/>
      <c r="C295" s="1403"/>
      <c r="D295" s="28" t="s">
        <v>263</v>
      </c>
      <c r="E295" s="94"/>
      <c r="F295" s="80">
        <v>70</v>
      </c>
      <c r="G295" s="80"/>
      <c r="H295" s="80"/>
      <c r="I295" s="80">
        <v>72</v>
      </c>
      <c r="J295" s="94"/>
      <c r="K295" s="28"/>
      <c r="L295" s="21"/>
    </row>
    <row r="296" spans="1:12" hidden="1" x14ac:dyDescent="0.25">
      <c r="A296" s="1546"/>
      <c r="B296" s="1710"/>
      <c r="C296" s="1403"/>
      <c r="D296" s="28" t="s">
        <v>357</v>
      </c>
      <c r="E296" s="94"/>
      <c r="F296" s="97">
        <f>(F295/F293)*100</f>
        <v>32.558139534883722</v>
      </c>
      <c r="G296" s="94"/>
      <c r="H296" s="94"/>
      <c r="I296" s="97">
        <f>I295/I293*100</f>
        <v>28.915662650602407</v>
      </c>
      <c r="J296" s="94"/>
      <c r="K296" s="28"/>
      <c r="L296" s="21"/>
    </row>
    <row r="297" spans="1:12" hidden="1" x14ac:dyDescent="0.25">
      <c r="A297" s="1546"/>
      <c r="B297" s="1710"/>
      <c r="C297" s="1403" t="s">
        <v>415</v>
      </c>
      <c r="D297" s="144" t="s">
        <v>251</v>
      </c>
      <c r="E297" s="94"/>
      <c r="F297" s="80">
        <v>85</v>
      </c>
      <c r="G297" s="80"/>
      <c r="H297" s="80"/>
      <c r="I297" s="80">
        <v>63</v>
      </c>
      <c r="J297" s="94"/>
      <c r="K297" s="28"/>
      <c r="L297" s="21"/>
    </row>
    <row r="298" spans="1:12" hidden="1" x14ac:dyDescent="0.25">
      <c r="A298" s="1546"/>
      <c r="B298" s="1710"/>
      <c r="C298" s="1403"/>
      <c r="D298" s="28" t="s">
        <v>257</v>
      </c>
      <c r="E298" s="94"/>
      <c r="F298" s="80">
        <v>35</v>
      </c>
      <c r="G298" s="80"/>
      <c r="H298" s="80"/>
      <c r="I298" s="80">
        <v>48</v>
      </c>
      <c r="J298" s="94"/>
      <c r="K298" s="28"/>
      <c r="L298" s="21"/>
    </row>
    <row r="299" spans="1:12" hidden="1" x14ac:dyDescent="0.25">
      <c r="A299" s="1546"/>
      <c r="B299" s="1710"/>
      <c r="C299" s="1403"/>
      <c r="D299" s="28" t="s">
        <v>263</v>
      </c>
      <c r="E299" s="94"/>
      <c r="F299" s="80">
        <v>50</v>
      </c>
      <c r="G299" s="80"/>
      <c r="H299" s="80"/>
      <c r="I299" s="80">
        <v>12</v>
      </c>
      <c r="J299" s="94"/>
      <c r="K299" s="28"/>
      <c r="L299" s="21"/>
    </row>
    <row r="300" spans="1:12" hidden="1" x14ac:dyDescent="0.25">
      <c r="A300" s="1546"/>
      <c r="B300" s="1710"/>
      <c r="C300" s="1403"/>
      <c r="D300" s="28" t="s">
        <v>357</v>
      </c>
      <c r="E300" s="94"/>
      <c r="F300" s="98">
        <f>(F299/F297)*100</f>
        <v>58.82352941176471</v>
      </c>
      <c r="G300" s="94"/>
      <c r="H300" s="94"/>
      <c r="I300" s="97">
        <f>I299/I297*100</f>
        <v>19.047619047619047</v>
      </c>
      <c r="J300" s="94"/>
      <c r="K300" s="28"/>
      <c r="L300" s="21"/>
    </row>
    <row r="301" spans="1:12" hidden="1" x14ac:dyDescent="0.25">
      <c r="A301" s="1546"/>
      <c r="B301" s="1710"/>
      <c r="C301" s="1403" t="s">
        <v>416</v>
      </c>
      <c r="D301" s="144" t="s">
        <v>251</v>
      </c>
      <c r="E301" s="94"/>
      <c r="F301" s="80">
        <v>45</v>
      </c>
      <c r="G301" s="80"/>
      <c r="H301" s="80"/>
      <c r="I301" s="80">
        <v>42</v>
      </c>
      <c r="J301" s="94"/>
      <c r="K301" s="28"/>
      <c r="L301" s="21"/>
    </row>
    <row r="302" spans="1:12" hidden="1" x14ac:dyDescent="0.25">
      <c r="A302" s="1546"/>
      <c r="B302" s="1710"/>
      <c r="C302" s="1403"/>
      <c r="D302" s="28" t="s">
        <v>257</v>
      </c>
      <c r="E302" s="94"/>
      <c r="F302" s="80">
        <v>20</v>
      </c>
      <c r="G302" s="80"/>
      <c r="H302" s="80"/>
      <c r="I302" s="80">
        <v>42</v>
      </c>
      <c r="J302" s="94"/>
      <c r="K302" s="28"/>
      <c r="L302" s="21"/>
    </row>
    <row r="303" spans="1:12" hidden="1" x14ac:dyDescent="0.25">
      <c r="A303" s="1546"/>
      <c r="B303" s="1710"/>
      <c r="C303" s="1403"/>
      <c r="D303" s="28" t="s">
        <v>263</v>
      </c>
      <c r="E303" s="94"/>
      <c r="F303" s="80">
        <v>25</v>
      </c>
      <c r="G303" s="80"/>
      <c r="H303" s="80"/>
      <c r="I303" s="80">
        <v>3</v>
      </c>
      <c r="J303" s="94"/>
      <c r="K303" s="28"/>
      <c r="L303" s="21"/>
    </row>
    <row r="304" spans="1:12" hidden="1" x14ac:dyDescent="0.25">
      <c r="A304" s="1546"/>
      <c r="B304" s="1710"/>
      <c r="C304" s="1403"/>
      <c r="D304" s="28" t="s">
        <v>357</v>
      </c>
      <c r="E304" s="94"/>
      <c r="F304" s="98">
        <f>(F303/F301)*100</f>
        <v>55.555555555555557</v>
      </c>
      <c r="G304" s="94"/>
      <c r="H304" s="94"/>
      <c r="I304" s="97">
        <f>I303/I301*100</f>
        <v>7.1428571428571423</v>
      </c>
      <c r="J304" s="94"/>
      <c r="K304" s="28"/>
      <c r="L304" s="21"/>
    </row>
    <row r="305" spans="1:12" hidden="1" x14ac:dyDescent="0.25">
      <c r="A305" s="1546"/>
      <c r="B305" s="1710"/>
      <c r="C305" s="1403" t="s">
        <v>417</v>
      </c>
      <c r="D305" s="144" t="s">
        <v>251</v>
      </c>
      <c r="E305" s="94"/>
      <c r="F305" s="80">
        <v>105</v>
      </c>
      <c r="G305" s="80"/>
      <c r="H305" s="80"/>
      <c r="I305" s="80">
        <v>123</v>
      </c>
      <c r="J305" s="94"/>
      <c r="K305" s="28"/>
      <c r="L305" s="21"/>
    </row>
    <row r="306" spans="1:12" hidden="1" x14ac:dyDescent="0.25">
      <c r="A306" s="1546"/>
      <c r="B306" s="1710"/>
      <c r="C306" s="1403"/>
      <c r="D306" s="28" t="s">
        <v>257</v>
      </c>
      <c r="E306" s="94"/>
      <c r="F306" s="80">
        <v>95</v>
      </c>
      <c r="G306" s="80"/>
      <c r="H306" s="80"/>
      <c r="I306" s="80">
        <v>84</v>
      </c>
      <c r="J306" s="94"/>
      <c r="K306" s="28"/>
      <c r="L306" s="21"/>
    </row>
    <row r="307" spans="1:12" hidden="1" x14ac:dyDescent="0.25">
      <c r="A307" s="1546"/>
      <c r="B307" s="1710"/>
      <c r="C307" s="1403"/>
      <c r="D307" s="28" t="s">
        <v>263</v>
      </c>
      <c r="E307" s="94"/>
      <c r="F307" s="80">
        <v>10</v>
      </c>
      <c r="G307" s="80"/>
      <c r="H307" s="80"/>
      <c r="I307" s="80">
        <v>39</v>
      </c>
      <c r="J307" s="94"/>
      <c r="K307" s="28"/>
      <c r="L307" s="21"/>
    </row>
    <row r="308" spans="1:12" hidden="1" x14ac:dyDescent="0.25">
      <c r="A308" s="1546"/>
      <c r="B308" s="1710"/>
      <c r="C308" s="1403"/>
      <c r="D308" s="28" t="s">
        <v>357</v>
      </c>
      <c r="E308" s="94"/>
      <c r="F308" s="97">
        <f>(F307/F305)*100</f>
        <v>9.5238095238095237</v>
      </c>
      <c r="G308" s="94"/>
      <c r="H308" s="94"/>
      <c r="I308" s="97">
        <f>I307/I305*100</f>
        <v>31.707317073170731</v>
      </c>
      <c r="J308" s="94"/>
      <c r="K308" s="28"/>
      <c r="L308" s="21"/>
    </row>
    <row r="309" spans="1:12" hidden="1" x14ac:dyDescent="0.25">
      <c r="A309" s="1546"/>
      <c r="B309" s="1710"/>
      <c r="C309" s="1403" t="s">
        <v>418</v>
      </c>
      <c r="D309" s="144" t="s">
        <v>251</v>
      </c>
      <c r="E309" s="94"/>
      <c r="F309" s="80">
        <v>215</v>
      </c>
      <c r="G309" s="80"/>
      <c r="H309" s="80"/>
      <c r="I309" s="80">
        <v>237</v>
      </c>
      <c r="J309" s="94"/>
      <c r="K309" s="28"/>
      <c r="L309" s="21"/>
    </row>
    <row r="310" spans="1:12" hidden="1" x14ac:dyDescent="0.25">
      <c r="A310" s="1546"/>
      <c r="B310" s="1710"/>
      <c r="C310" s="1403"/>
      <c r="D310" s="28" t="s">
        <v>263</v>
      </c>
      <c r="E310" s="94"/>
      <c r="F310" s="80">
        <v>190</v>
      </c>
      <c r="G310" s="80"/>
      <c r="H310" s="80"/>
      <c r="I310" s="80">
        <v>204</v>
      </c>
      <c r="J310" s="94"/>
      <c r="K310" s="28"/>
      <c r="L310" s="21"/>
    </row>
    <row r="311" spans="1:12" ht="14.85" hidden="1" customHeight="1" x14ac:dyDescent="0.25">
      <c r="A311" s="1546"/>
      <c r="B311" s="1710"/>
      <c r="C311" s="1403"/>
      <c r="D311" s="28" t="s">
        <v>257</v>
      </c>
      <c r="E311" s="94"/>
      <c r="F311" s="80">
        <v>25</v>
      </c>
      <c r="G311" s="80"/>
      <c r="H311" s="80"/>
      <c r="I311" s="80">
        <v>30</v>
      </c>
      <c r="J311" s="94"/>
      <c r="K311" s="28"/>
      <c r="L311" s="21"/>
    </row>
    <row r="312" spans="1:12" hidden="1" x14ac:dyDescent="0.25">
      <c r="A312" s="1546"/>
      <c r="B312" s="1710"/>
      <c r="C312" s="1403"/>
      <c r="D312" s="28" t="s">
        <v>357</v>
      </c>
      <c r="E312" s="94"/>
      <c r="F312" s="97">
        <f>(F311/F309)*100</f>
        <v>11.627906976744185</v>
      </c>
      <c r="G312" s="94"/>
      <c r="H312" s="94"/>
      <c r="I312" s="97">
        <f>I311/I309*100</f>
        <v>12.658227848101266</v>
      </c>
      <c r="J312" s="94"/>
      <c r="K312" s="28"/>
      <c r="L312" s="21"/>
    </row>
    <row r="313" spans="1:12" x14ac:dyDescent="0.25">
      <c r="A313" s="1546"/>
      <c r="B313" s="1710"/>
      <c r="C313" s="1110" t="s">
        <v>419</v>
      </c>
      <c r="D313" s="1110"/>
      <c r="E313" s="94"/>
      <c r="F313" s="100">
        <f>29/61*100</f>
        <v>47.540983606557376</v>
      </c>
      <c r="G313" s="92"/>
      <c r="H313" s="92"/>
      <c r="I313" s="101">
        <f>30/61*100</f>
        <v>49.180327868852459</v>
      </c>
      <c r="J313" s="94"/>
      <c r="K313" s="28"/>
      <c r="L313" s="21"/>
    </row>
    <row r="314" spans="1:12" x14ac:dyDescent="0.25">
      <c r="A314" s="1546"/>
      <c r="B314" s="1710"/>
      <c r="C314" s="1110" t="s">
        <v>420</v>
      </c>
      <c r="D314" s="1110"/>
      <c r="E314" s="94"/>
      <c r="F314" s="102">
        <f>18/61*100</f>
        <v>29.508196721311474</v>
      </c>
      <c r="G314" s="92"/>
      <c r="H314" s="92"/>
      <c r="I314" s="102">
        <f>14/61*100</f>
        <v>22.950819672131146</v>
      </c>
      <c r="J314" s="94"/>
      <c r="K314" s="28"/>
      <c r="L314" s="21"/>
    </row>
    <row r="315" spans="1:12" x14ac:dyDescent="0.25">
      <c r="A315" s="1708"/>
      <c r="B315" s="1723"/>
      <c r="C315" s="1157" t="s">
        <v>421</v>
      </c>
      <c r="D315" s="1157"/>
      <c r="E315" s="126"/>
      <c r="F315" s="127">
        <f>14/61*100</f>
        <v>22.950819672131146</v>
      </c>
      <c r="G315" s="128"/>
      <c r="H315" s="128"/>
      <c r="I315" s="127">
        <f>17/61*100</f>
        <v>27.868852459016392</v>
      </c>
      <c r="J315" s="126"/>
      <c r="K315" s="110"/>
      <c r="L315" s="53"/>
    </row>
    <row r="316" spans="1:12" ht="16.5" thickBot="1" x14ac:dyDescent="0.3">
      <c r="A316" s="338" t="s">
        <v>248</v>
      </c>
      <c r="B316" s="463" t="s">
        <v>249</v>
      </c>
      <c r="C316" s="1433"/>
      <c r="D316" s="1433"/>
      <c r="E316" s="616">
        <v>2005</v>
      </c>
      <c r="F316" s="616">
        <v>2010</v>
      </c>
      <c r="G316" s="616">
        <v>2015</v>
      </c>
      <c r="H316" s="616">
        <v>2020</v>
      </c>
      <c r="I316" s="616">
        <v>2021</v>
      </c>
      <c r="J316" s="616">
        <v>2022</v>
      </c>
      <c r="K316" s="616">
        <v>2023</v>
      </c>
      <c r="L316" s="616">
        <v>2024</v>
      </c>
    </row>
    <row r="317" spans="1:12" ht="15" customHeight="1" x14ac:dyDescent="0.25">
      <c r="A317" s="1725" t="s">
        <v>422</v>
      </c>
      <c r="B317" s="1143" t="s">
        <v>164</v>
      </c>
      <c r="C317" s="1728" t="s">
        <v>424</v>
      </c>
      <c r="D317" s="1520"/>
      <c r="E317" s="36"/>
      <c r="F317" s="37">
        <v>1038.6600000000001</v>
      </c>
      <c r="G317" s="37">
        <v>1226.46</v>
      </c>
      <c r="H317" s="37">
        <v>1334</v>
      </c>
      <c r="I317" s="37">
        <v>1371</v>
      </c>
      <c r="J317" s="37">
        <v>1399</v>
      </c>
      <c r="K317" s="37">
        <v>1578</v>
      </c>
      <c r="L317" s="209">
        <v>1592</v>
      </c>
    </row>
    <row r="318" spans="1:12" x14ac:dyDescent="0.25">
      <c r="A318" s="1726"/>
      <c r="B318" s="1144"/>
      <c r="C318" s="1729" t="s">
        <v>425</v>
      </c>
      <c r="D318" s="1331"/>
      <c r="E318" s="28"/>
      <c r="F318" s="29">
        <v>1321.47</v>
      </c>
      <c r="G318" s="29">
        <v>1534.08</v>
      </c>
      <c r="H318" s="29">
        <v>1648</v>
      </c>
      <c r="I318" s="29">
        <v>1688</v>
      </c>
      <c r="J318" s="29">
        <v>1712</v>
      </c>
      <c r="K318" s="29">
        <v>1908</v>
      </c>
      <c r="L318" s="30">
        <v>1917</v>
      </c>
    </row>
    <row r="319" spans="1:12" x14ac:dyDescent="0.25">
      <c r="A319" s="1726"/>
      <c r="B319" s="1144"/>
      <c r="C319" s="1729" t="s">
        <v>426</v>
      </c>
      <c r="D319" s="1331"/>
      <c r="E319" s="28"/>
      <c r="F319" s="29">
        <v>837.9</v>
      </c>
      <c r="G319" s="29">
        <v>994.96</v>
      </c>
      <c r="H319" s="29">
        <v>1112</v>
      </c>
      <c r="I319" s="29">
        <v>1152</v>
      </c>
      <c r="J319" s="29">
        <v>1183</v>
      </c>
      <c r="K319" s="29">
        <v>1345</v>
      </c>
      <c r="L319" s="30">
        <v>1365</v>
      </c>
    </row>
    <row r="320" spans="1:12" x14ac:dyDescent="0.25">
      <c r="A320" s="1726"/>
      <c r="B320" s="1144"/>
      <c r="C320" s="1730" t="s">
        <v>427</v>
      </c>
      <c r="D320" s="1333"/>
      <c r="E320" s="28"/>
      <c r="F320" s="31">
        <f t="shared" ref="F320:J320" si="17">+F319-F318</f>
        <v>-483.57000000000005</v>
      </c>
      <c r="G320" s="31">
        <f t="shared" si="17"/>
        <v>-539.11999999999989</v>
      </c>
      <c r="H320" s="31">
        <f t="shared" si="17"/>
        <v>-536</v>
      </c>
      <c r="I320" s="31">
        <f t="shared" si="17"/>
        <v>-536</v>
      </c>
      <c r="J320" s="31">
        <f t="shared" si="17"/>
        <v>-529</v>
      </c>
      <c r="K320" s="31">
        <f>+K319-K318</f>
        <v>-563</v>
      </c>
      <c r="L320" s="32">
        <f>+L319-L318</f>
        <v>-552</v>
      </c>
    </row>
    <row r="321" spans="1:12" ht="16.5" thickBot="1" x14ac:dyDescent="0.3">
      <c r="A321" s="1726"/>
      <c r="B321" s="1264"/>
      <c r="C321" s="1731" t="s">
        <v>428</v>
      </c>
      <c r="D321" s="1335"/>
      <c r="E321" s="33"/>
      <c r="F321" s="34">
        <f t="shared" ref="F321:L321" si="18">(F319-F318)/F318*100</f>
        <v>-36.593339235850983</v>
      </c>
      <c r="G321" s="34">
        <f t="shared" si="18"/>
        <v>-35.14288694201084</v>
      </c>
      <c r="H321" s="34">
        <f t="shared" si="18"/>
        <v>-32.524271844660198</v>
      </c>
      <c r="I321" s="34">
        <f t="shared" si="18"/>
        <v>-31.753554502369667</v>
      </c>
      <c r="J321" s="34">
        <f t="shared" si="18"/>
        <v>-30.899532710280376</v>
      </c>
      <c r="K321" s="34">
        <f t="shared" si="18"/>
        <v>-29.50733752620545</v>
      </c>
      <c r="L321" s="35">
        <f t="shared" si="18"/>
        <v>-28.794992175273865</v>
      </c>
    </row>
    <row r="322" spans="1:12" ht="15" customHeight="1" x14ac:dyDescent="0.25">
      <c r="A322" s="1726"/>
      <c r="B322" s="1143" t="s">
        <v>429</v>
      </c>
      <c r="C322" s="1146" t="s">
        <v>430</v>
      </c>
      <c r="D322" s="1147"/>
      <c r="E322" s="36"/>
      <c r="F322" s="36"/>
      <c r="G322" s="37">
        <v>40.551259171128294</v>
      </c>
      <c r="H322" s="37">
        <v>38.760283145207573</v>
      </c>
      <c r="I322" s="37">
        <v>43.319933790494211</v>
      </c>
      <c r="J322" s="37">
        <v>50.909090909090907</v>
      </c>
      <c r="K322" s="37">
        <v>49.680418361417786</v>
      </c>
      <c r="L322" s="20">
        <v>49.5</v>
      </c>
    </row>
    <row r="323" spans="1:12" x14ac:dyDescent="0.25">
      <c r="A323" s="1726"/>
      <c r="B323" s="1144"/>
      <c r="C323" s="1148" t="s">
        <v>431</v>
      </c>
      <c r="D323" s="1124"/>
      <c r="E323" s="28"/>
      <c r="F323" s="28"/>
      <c r="G323" s="29">
        <v>41.837178929037876</v>
      </c>
      <c r="H323" s="29">
        <v>40.138708279150407</v>
      </c>
      <c r="I323" s="29">
        <v>46.249325418240687</v>
      </c>
      <c r="J323" s="29">
        <v>53.559547571523623</v>
      </c>
      <c r="K323" s="29">
        <v>51.477347340774784</v>
      </c>
      <c r="L323" s="21">
        <v>53.3</v>
      </c>
    </row>
    <row r="324" spans="1:12" x14ac:dyDescent="0.25">
      <c r="A324" s="1726"/>
      <c r="B324" s="1144"/>
      <c r="C324" s="1148" t="s">
        <v>432</v>
      </c>
      <c r="D324" s="1124"/>
      <c r="E324" s="28"/>
      <c r="F324" s="28"/>
      <c r="G324" s="29">
        <v>39.475600873998545</v>
      </c>
      <c r="H324" s="29">
        <v>37.671232876712331</v>
      </c>
      <c r="I324" s="29">
        <v>41.035353535353536</v>
      </c>
      <c r="J324" s="29">
        <v>48.820136339800733</v>
      </c>
      <c r="K324" s="29">
        <v>48.254299114121942</v>
      </c>
      <c r="L324" s="21">
        <v>46.8</v>
      </c>
    </row>
    <row r="325" spans="1:12" ht="16.5" thickBot="1" x14ac:dyDescent="0.3">
      <c r="A325" s="1726"/>
      <c r="B325" s="1264"/>
      <c r="C325" s="1224" t="s">
        <v>354</v>
      </c>
      <c r="D325" s="1225"/>
      <c r="E325" s="33"/>
      <c r="F325" s="33"/>
      <c r="G325" s="34">
        <f t="shared" ref="G325:L325" si="19">+G324-G323</f>
        <v>-2.361578055039331</v>
      </c>
      <c r="H325" s="34">
        <f t="shared" si="19"/>
        <v>-2.4674754024380761</v>
      </c>
      <c r="I325" s="34">
        <f t="shared" si="19"/>
        <v>-5.2139718828871509</v>
      </c>
      <c r="J325" s="34">
        <f t="shared" si="19"/>
        <v>-4.7394112317228902</v>
      </c>
      <c r="K325" s="34">
        <f t="shared" si="19"/>
        <v>-3.2230482266528426</v>
      </c>
      <c r="L325" s="35">
        <f t="shared" si="19"/>
        <v>-6.5</v>
      </c>
    </row>
    <row r="326" spans="1:12" x14ac:dyDescent="0.25">
      <c r="A326" s="1726"/>
      <c r="B326" s="1143" t="s">
        <v>545</v>
      </c>
      <c r="C326" s="1265" t="s">
        <v>434</v>
      </c>
      <c r="D326" s="146" t="s">
        <v>435</v>
      </c>
      <c r="E326" s="36"/>
      <c r="F326" s="36"/>
      <c r="G326" s="40"/>
      <c r="H326" s="40"/>
      <c r="I326" s="40">
        <v>68</v>
      </c>
      <c r="J326" s="40">
        <v>22</v>
      </c>
      <c r="K326" s="40">
        <v>9</v>
      </c>
      <c r="L326" s="40">
        <v>12</v>
      </c>
    </row>
    <row r="327" spans="1:12" x14ac:dyDescent="0.25">
      <c r="A327" s="1726"/>
      <c r="B327" s="1144"/>
      <c r="C327" s="1360"/>
      <c r="D327" s="147" t="s">
        <v>436</v>
      </c>
      <c r="E327" s="28"/>
      <c r="F327" s="28"/>
      <c r="G327" s="28"/>
      <c r="H327" s="28"/>
      <c r="I327" s="28">
        <v>35</v>
      </c>
      <c r="J327" s="28">
        <v>9</v>
      </c>
      <c r="K327" s="28">
        <v>6</v>
      </c>
      <c r="L327" s="1061">
        <v>5</v>
      </c>
    </row>
    <row r="328" spans="1:12" x14ac:dyDescent="0.25">
      <c r="A328" s="1726"/>
      <c r="B328" s="1144"/>
      <c r="C328" s="1360"/>
      <c r="D328" s="28" t="s">
        <v>437</v>
      </c>
      <c r="E328" s="28"/>
      <c r="F328" s="28"/>
      <c r="G328" s="28"/>
      <c r="H328" s="28"/>
      <c r="I328" s="28">
        <v>33</v>
      </c>
      <c r="J328" s="28">
        <v>13</v>
      </c>
      <c r="K328" s="28">
        <v>3</v>
      </c>
      <c r="L328" s="1061">
        <v>7</v>
      </c>
    </row>
    <row r="329" spans="1:12" x14ac:dyDescent="0.25">
      <c r="A329" s="1726"/>
      <c r="B329" s="1144"/>
      <c r="C329" s="1360"/>
      <c r="D329" s="148" t="s">
        <v>353</v>
      </c>
      <c r="E329" s="28"/>
      <c r="F329" s="28"/>
      <c r="G329" s="28"/>
      <c r="H329" s="28"/>
      <c r="I329" s="157">
        <f>I328-I327</f>
        <v>-2</v>
      </c>
      <c r="J329" s="363">
        <f>J328-J327</f>
        <v>4</v>
      </c>
      <c r="K329" s="157">
        <f>K328-K327</f>
        <v>-3</v>
      </c>
      <c r="L329" s="21"/>
    </row>
    <row r="330" spans="1:12" ht="16.5" thickBot="1" x14ac:dyDescent="0.3">
      <c r="A330" s="1726"/>
      <c r="B330" s="1144"/>
      <c r="C330" s="1361"/>
      <c r="D330" s="217" t="s">
        <v>270</v>
      </c>
      <c r="E330" s="33"/>
      <c r="F330" s="33"/>
      <c r="G330" s="33"/>
      <c r="H330" s="33"/>
      <c r="I330" s="161">
        <f>I328/I326*100</f>
        <v>48.529411764705884</v>
      </c>
      <c r="J330" s="366">
        <f>J328/J326*100</f>
        <v>59.090909090909093</v>
      </c>
      <c r="K330" s="161">
        <f>K328/K326*100</f>
        <v>33.333333333333329</v>
      </c>
      <c r="L330" s="22"/>
    </row>
    <row r="331" spans="1:12" x14ac:dyDescent="0.25">
      <c r="A331" s="1726"/>
      <c r="B331" s="1144"/>
      <c r="C331" s="1227" t="s">
        <v>438</v>
      </c>
      <c r="D331" s="786" t="s">
        <v>435</v>
      </c>
      <c r="E331" s="122"/>
      <c r="F331" s="122"/>
      <c r="G331" s="122"/>
      <c r="H331" s="122"/>
      <c r="I331" s="202">
        <v>118</v>
      </c>
      <c r="J331" s="202">
        <v>40</v>
      </c>
      <c r="K331" s="202">
        <v>18</v>
      </c>
      <c r="L331" s="40">
        <v>10</v>
      </c>
    </row>
    <row r="332" spans="1:12" x14ac:dyDescent="0.25">
      <c r="A332" s="1726"/>
      <c r="B332" s="1144"/>
      <c r="C332" s="1268"/>
      <c r="D332" s="147" t="s">
        <v>436</v>
      </c>
      <c r="E332" s="28"/>
      <c r="F332" s="28"/>
      <c r="G332" s="28"/>
      <c r="H332" s="28"/>
      <c r="I332" s="28">
        <v>70</v>
      </c>
      <c r="J332" s="28">
        <v>26</v>
      </c>
      <c r="K332" s="28">
        <v>10</v>
      </c>
      <c r="L332" s="1061">
        <v>5</v>
      </c>
    </row>
    <row r="333" spans="1:12" x14ac:dyDescent="0.25">
      <c r="A333" s="1726"/>
      <c r="B333" s="1144"/>
      <c r="C333" s="1268"/>
      <c r="D333" s="28" t="s">
        <v>437</v>
      </c>
      <c r="E333" s="28"/>
      <c r="F333" s="28"/>
      <c r="G333" s="28"/>
      <c r="H333" s="28"/>
      <c r="I333" s="28">
        <v>48</v>
      </c>
      <c r="J333" s="28">
        <v>14</v>
      </c>
      <c r="K333" s="28">
        <v>8</v>
      </c>
      <c r="L333" s="1061">
        <v>5</v>
      </c>
    </row>
    <row r="334" spans="1:12" x14ac:dyDescent="0.25">
      <c r="A334" s="1726"/>
      <c r="B334" s="1144"/>
      <c r="C334" s="1268"/>
      <c r="D334" s="148" t="s">
        <v>353</v>
      </c>
      <c r="E334" s="28"/>
      <c r="F334" s="28"/>
      <c r="G334" s="28"/>
      <c r="H334" s="28"/>
      <c r="I334" s="157">
        <f>I333-I332</f>
        <v>-22</v>
      </c>
      <c r="J334" s="157">
        <f>J333-J332</f>
        <v>-12</v>
      </c>
      <c r="K334" s="157">
        <f>K333-K332</f>
        <v>-2</v>
      </c>
      <c r="L334" s="21"/>
    </row>
    <row r="335" spans="1:12" ht="16.5" thickBot="1" x14ac:dyDescent="0.3">
      <c r="A335" s="1726"/>
      <c r="B335" s="1264"/>
      <c r="C335" s="1269"/>
      <c r="D335" s="217" t="s">
        <v>270</v>
      </c>
      <c r="E335" s="33"/>
      <c r="F335" s="33"/>
      <c r="G335" s="33"/>
      <c r="H335" s="33"/>
      <c r="I335" s="161">
        <f>I333/I331*100</f>
        <v>40.677966101694921</v>
      </c>
      <c r="J335" s="161">
        <f>J333/J331*100</f>
        <v>35</v>
      </c>
      <c r="K335" s="161">
        <f>K333/K331*100</f>
        <v>44.444444444444443</v>
      </c>
      <c r="L335" s="22"/>
    </row>
    <row r="336" spans="1:12" ht="15" customHeight="1" x14ac:dyDescent="0.25">
      <c r="A336" s="1726"/>
      <c r="B336" s="1408" t="s">
        <v>180</v>
      </c>
      <c r="C336" s="1147" t="s">
        <v>435</v>
      </c>
      <c r="D336" s="1147"/>
      <c r="E336" s="40"/>
      <c r="F336" s="40"/>
      <c r="G336" s="40"/>
      <c r="H336" s="195">
        <v>10557</v>
      </c>
      <c r="I336" s="195">
        <v>10188</v>
      </c>
      <c r="J336" s="195">
        <v>10571</v>
      </c>
      <c r="K336" s="195">
        <v>11103</v>
      </c>
      <c r="L336" s="20"/>
    </row>
    <row r="337" spans="1:14" x14ac:dyDescent="0.25">
      <c r="A337" s="1726"/>
      <c r="B337" s="1272"/>
      <c r="C337" s="1124" t="s">
        <v>436</v>
      </c>
      <c r="D337" s="1124"/>
      <c r="E337" s="28"/>
      <c r="F337" s="28"/>
      <c r="G337" s="28"/>
      <c r="H337" s="96">
        <v>3834</v>
      </c>
      <c r="I337" s="96">
        <v>3665</v>
      </c>
      <c r="J337" s="96">
        <v>3728</v>
      </c>
      <c r="K337" s="96">
        <v>3968</v>
      </c>
      <c r="L337" s="21"/>
    </row>
    <row r="338" spans="1:14" x14ac:dyDescent="0.25">
      <c r="A338" s="1726"/>
      <c r="B338" s="1272"/>
      <c r="C338" s="1124" t="s">
        <v>437</v>
      </c>
      <c r="D338" s="1124"/>
      <c r="E338" s="28"/>
      <c r="F338" s="28"/>
      <c r="G338" s="28"/>
      <c r="H338" s="96">
        <v>6723</v>
      </c>
      <c r="I338" s="96">
        <v>6523</v>
      </c>
      <c r="J338" s="96">
        <v>6843</v>
      </c>
      <c r="K338" s="96">
        <v>7135</v>
      </c>
      <c r="L338" s="21"/>
    </row>
    <row r="339" spans="1:14" x14ac:dyDescent="0.25">
      <c r="A339" s="1726"/>
      <c r="B339" s="1272"/>
      <c r="C339" s="1112" t="s">
        <v>353</v>
      </c>
      <c r="D339" s="1112"/>
      <c r="E339" s="28"/>
      <c r="F339" s="28"/>
      <c r="G339" s="28"/>
      <c r="H339" s="157">
        <f>H338-H337</f>
        <v>2889</v>
      </c>
      <c r="I339" s="157">
        <f>I338-I337</f>
        <v>2858</v>
      </c>
      <c r="J339" s="157">
        <f>J338-J337</f>
        <v>3115</v>
      </c>
      <c r="K339" s="157">
        <f>K338-K337</f>
        <v>3167</v>
      </c>
      <c r="L339" s="21"/>
    </row>
    <row r="340" spans="1:14" x14ac:dyDescent="0.25">
      <c r="A340" s="1727"/>
      <c r="B340" s="1273"/>
      <c r="C340" s="1178" t="s">
        <v>270</v>
      </c>
      <c r="D340" s="1178"/>
      <c r="E340" s="110"/>
      <c r="F340" s="110"/>
      <c r="G340" s="110"/>
      <c r="H340" s="378">
        <f>H338/H336*100</f>
        <v>63.682864450127873</v>
      </c>
      <c r="I340" s="378">
        <f>I338/I336*100</f>
        <v>64.026305457400866</v>
      </c>
      <c r="J340" s="378">
        <f>J338/J336*100</f>
        <v>64.733705420490011</v>
      </c>
      <c r="K340" s="378">
        <f>K338/K336*100</f>
        <v>64.261911195172473</v>
      </c>
      <c r="L340" s="53"/>
    </row>
    <row r="341" spans="1:14" ht="16.5" thickBot="1" x14ac:dyDescent="0.3">
      <c r="A341" s="338" t="s">
        <v>248</v>
      </c>
      <c r="B341" s="463" t="s">
        <v>249</v>
      </c>
      <c r="C341" s="1433"/>
      <c r="D341" s="1433"/>
      <c r="E341" s="616">
        <v>2005</v>
      </c>
      <c r="F341" s="616">
        <v>2010</v>
      </c>
      <c r="G341" s="616">
        <v>2015</v>
      </c>
      <c r="H341" s="616">
        <v>2020</v>
      </c>
      <c r="I341" s="616">
        <v>2021</v>
      </c>
      <c r="J341" s="616">
        <v>2022</v>
      </c>
      <c r="K341" s="616">
        <v>2023</v>
      </c>
      <c r="L341" s="616">
        <v>2024</v>
      </c>
    </row>
    <row r="342" spans="1:14" x14ac:dyDescent="0.25">
      <c r="A342" s="1732" t="s">
        <v>439</v>
      </c>
      <c r="B342" s="1612" t="s">
        <v>440</v>
      </c>
      <c r="C342" s="1498" t="s">
        <v>251</v>
      </c>
      <c r="D342" s="1498"/>
      <c r="E342" s="585">
        <v>83.1</v>
      </c>
      <c r="F342" s="586">
        <v>84.2</v>
      </c>
      <c r="G342" s="586">
        <v>84.8</v>
      </c>
      <c r="H342" s="586">
        <v>82.6</v>
      </c>
      <c r="I342" s="586">
        <v>85.2</v>
      </c>
      <c r="J342" s="788">
        <v>85.942042531119199</v>
      </c>
      <c r="K342" s="453">
        <v>86.4</v>
      </c>
      <c r="L342" s="108"/>
      <c r="M342" s="326"/>
      <c r="N342" s="326"/>
    </row>
    <row r="343" spans="1:14" x14ac:dyDescent="0.25">
      <c r="A343" s="1733"/>
      <c r="B343" s="1613"/>
      <c r="C343" s="1452" t="s">
        <v>257</v>
      </c>
      <c r="D343" s="1452"/>
      <c r="E343" s="580">
        <v>79.599999999999994</v>
      </c>
      <c r="F343" s="581">
        <v>81</v>
      </c>
      <c r="G343" s="581">
        <v>82.8</v>
      </c>
      <c r="H343" s="581">
        <v>79.8</v>
      </c>
      <c r="I343" s="581">
        <v>82.8</v>
      </c>
      <c r="J343" s="787">
        <v>83.707038522938817</v>
      </c>
      <c r="K343" s="403">
        <v>84.8</v>
      </c>
      <c r="L343" s="21"/>
    </row>
    <row r="344" spans="1:14" x14ac:dyDescent="0.25">
      <c r="A344" s="1733"/>
      <c r="B344" s="1613"/>
      <c r="C344" s="1452" t="s">
        <v>263</v>
      </c>
      <c r="D344" s="1452"/>
      <c r="E344" s="580">
        <v>86</v>
      </c>
      <c r="F344" s="581">
        <v>86.8</v>
      </c>
      <c r="G344" s="581">
        <v>86.2</v>
      </c>
      <c r="H344" s="581">
        <v>85.1</v>
      </c>
      <c r="I344" s="581">
        <v>87.1</v>
      </c>
      <c r="J344" s="787">
        <v>87.665389588867484</v>
      </c>
      <c r="K344" s="403">
        <v>87.5</v>
      </c>
      <c r="L344" s="21"/>
    </row>
    <row r="345" spans="1:14" ht="16.5" thickBot="1" x14ac:dyDescent="0.3">
      <c r="A345" s="1733"/>
      <c r="B345" s="1614"/>
      <c r="C345" s="1454" t="s">
        <v>441</v>
      </c>
      <c r="D345" s="1454"/>
      <c r="E345" s="588">
        <f t="shared" ref="E345:K345" si="20">+E344-E343</f>
        <v>6.4000000000000057</v>
      </c>
      <c r="F345" s="588">
        <f t="shared" si="20"/>
        <v>5.7999999999999972</v>
      </c>
      <c r="G345" s="588">
        <f t="shared" si="20"/>
        <v>3.4000000000000057</v>
      </c>
      <c r="H345" s="588">
        <f t="shared" si="20"/>
        <v>5.2999999999999972</v>
      </c>
      <c r="I345" s="588">
        <f t="shared" si="20"/>
        <v>4.2999999999999972</v>
      </c>
      <c r="J345" s="789">
        <f t="shared" si="20"/>
        <v>3.9583510659286674</v>
      </c>
      <c r="K345" s="789">
        <f t="shared" si="20"/>
        <v>2.7000000000000028</v>
      </c>
      <c r="L345" s="22"/>
    </row>
    <row r="346" spans="1:14" x14ac:dyDescent="0.25">
      <c r="A346" s="1733"/>
      <c r="B346" s="1612" t="s">
        <v>192</v>
      </c>
      <c r="C346" s="1498" t="s">
        <v>251</v>
      </c>
      <c r="D346" s="1498"/>
      <c r="E346" s="790"/>
      <c r="F346" s="791"/>
      <c r="G346" s="591">
        <v>5248</v>
      </c>
      <c r="H346" s="591">
        <v>6142</v>
      </c>
      <c r="I346" s="591">
        <v>6146</v>
      </c>
      <c r="J346" s="547">
        <v>6335</v>
      </c>
      <c r="K346" s="225">
        <v>5909</v>
      </c>
      <c r="L346" s="20"/>
    </row>
    <row r="347" spans="1:14" x14ac:dyDescent="0.25">
      <c r="A347" s="1733"/>
      <c r="B347" s="1613"/>
      <c r="C347" s="1452" t="s">
        <v>257</v>
      </c>
      <c r="D347" s="1452"/>
      <c r="E347" s="580"/>
      <c r="F347" s="583"/>
      <c r="G347" s="584">
        <v>2479</v>
      </c>
      <c r="H347" s="584">
        <v>2879</v>
      </c>
      <c r="I347" s="584">
        <v>2882</v>
      </c>
      <c r="J347" s="404">
        <v>2961</v>
      </c>
      <c r="K347" s="96">
        <v>2843</v>
      </c>
      <c r="L347" s="21"/>
    </row>
    <row r="348" spans="1:14" x14ac:dyDescent="0.25">
      <c r="A348" s="1733"/>
      <c r="B348" s="1613"/>
      <c r="C348" s="1452" t="s">
        <v>263</v>
      </c>
      <c r="D348" s="1452"/>
      <c r="E348" s="580"/>
      <c r="F348" s="583"/>
      <c r="G348" s="584">
        <v>2769</v>
      </c>
      <c r="H348" s="584">
        <v>3263</v>
      </c>
      <c r="I348" s="584">
        <v>3264</v>
      </c>
      <c r="J348" s="404">
        <v>3374</v>
      </c>
      <c r="K348" s="96">
        <v>3066</v>
      </c>
      <c r="L348" s="21"/>
    </row>
    <row r="349" spans="1:14" x14ac:dyDescent="0.25">
      <c r="A349" s="1734"/>
      <c r="B349" s="1687"/>
      <c r="C349" s="1494" t="s">
        <v>270</v>
      </c>
      <c r="D349" s="1494"/>
      <c r="E349" s="592"/>
      <c r="F349" s="592"/>
      <c r="G349" s="525">
        <f>G348/G346*100</f>
        <v>52.762957317073166</v>
      </c>
      <c r="H349" s="525">
        <f>H348/H346*100</f>
        <v>53.126017583848906</v>
      </c>
      <c r="I349" s="525">
        <f>I348/I346*100</f>
        <v>53.107712333224868</v>
      </c>
      <c r="J349" s="525">
        <f>J348/J346*100</f>
        <v>53.259668508287291</v>
      </c>
      <c r="K349" s="525">
        <f>K348/K346*100</f>
        <v>51.886952106955484</v>
      </c>
      <c r="L349" s="53"/>
    </row>
    <row r="350" spans="1:14" ht="16.5" thickBot="1" x14ac:dyDescent="0.3">
      <c r="A350" s="338" t="s">
        <v>248</v>
      </c>
      <c r="B350" s="463" t="s">
        <v>249</v>
      </c>
      <c r="C350" s="1509"/>
      <c r="D350" s="1509"/>
      <c r="E350" s="616"/>
      <c r="F350" s="616" t="s">
        <v>443</v>
      </c>
      <c r="G350" s="616" t="s">
        <v>444</v>
      </c>
      <c r="H350" s="616" t="s">
        <v>445</v>
      </c>
      <c r="I350" s="616" t="s">
        <v>446</v>
      </c>
      <c r="J350" s="616" t="s">
        <v>447</v>
      </c>
      <c r="K350" s="616" t="s">
        <v>448</v>
      </c>
      <c r="L350" s="616" t="s">
        <v>449</v>
      </c>
    </row>
    <row r="351" spans="1:14" ht="15" customHeight="1" x14ac:dyDescent="0.25">
      <c r="A351" s="1739" t="s">
        <v>450</v>
      </c>
      <c r="B351" s="1244" t="s">
        <v>199</v>
      </c>
      <c r="C351" s="1347" t="s">
        <v>451</v>
      </c>
      <c r="D351" s="430" t="s">
        <v>435</v>
      </c>
      <c r="E351" s="195"/>
      <c r="F351" s="195">
        <v>7961</v>
      </c>
      <c r="G351" s="195">
        <v>7191</v>
      </c>
      <c r="H351" s="195">
        <v>6945</v>
      </c>
      <c r="I351" s="195">
        <v>6811</v>
      </c>
      <c r="J351" s="195">
        <v>6712</v>
      </c>
      <c r="K351" s="195">
        <v>6725</v>
      </c>
      <c r="L351" s="20"/>
    </row>
    <row r="352" spans="1:14" x14ac:dyDescent="0.25">
      <c r="A352" s="1740"/>
      <c r="B352" s="1245"/>
      <c r="C352" s="1348"/>
      <c r="D352" s="428" t="s">
        <v>436</v>
      </c>
      <c r="E352" s="96"/>
      <c r="F352" s="96">
        <v>4081</v>
      </c>
      <c r="G352" s="96">
        <v>3653</v>
      </c>
      <c r="H352" s="96">
        <v>3537</v>
      </c>
      <c r="I352" s="96">
        <v>3444</v>
      </c>
      <c r="J352" s="96">
        <v>3453</v>
      </c>
      <c r="K352" s="96">
        <v>3508</v>
      </c>
      <c r="L352" s="21"/>
    </row>
    <row r="353" spans="1:12" ht="16.5" thickBot="1" x14ac:dyDescent="0.3">
      <c r="A353" s="1740"/>
      <c r="B353" s="1245"/>
      <c r="C353" s="1349"/>
      <c r="D353" s="431" t="s">
        <v>437</v>
      </c>
      <c r="E353" s="190"/>
      <c r="F353" s="190">
        <v>3880</v>
      </c>
      <c r="G353" s="190">
        <v>3538</v>
      </c>
      <c r="H353" s="190">
        <v>3408</v>
      </c>
      <c r="I353" s="190">
        <v>3367</v>
      </c>
      <c r="J353" s="190">
        <v>3259</v>
      </c>
      <c r="K353" s="190">
        <v>3217</v>
      </c>
      <c r="L353" s="22"/>
    </row>
    <row r="354" spans="1:12" ht="15" customHeight="1" x14ac:dyDescent="0.25">
      <c r="A354" s="1740"/>
      <c r="B354" s="1245"/>
      <c r="C354" s="1347" t="s">
        <v>452</v>
      </c>
      <c r="D354" s="430" t="s">
        <v>435</v>
      </c>
      <c r="E354" s="195"/>
      <c r="F354" s="195">
        <v>5946</v>
      </c>
      <c r="G354" s="195">
        <v>5598</v>
      </c>
      <c r="H354" s="195">
        <v>5482</v>
      </c>
      <c r="I354" s="195">
        <v>5736</v>
      </c>
      <c r="J354" s="195">
        <v>5772</v>
      </c>
      <c r="K354" s="195">
        <f>SUM(K355:K356)</f>
        <v>5615</v>
      </c>
      <c r="L354" s="20"/>
    </row>
    <row r="355" spans="1:12" x14ac:dyDescent="0.25">
      <c r="A355" s="1740"/>
      <c r="B355" s="1245"/>
      <c r="C355" s="1348"/>
      <c r="D355" s="428" t="s">
        <v>436</v>
      </c>
      <c r="E355" s="96"/>
      <c r="F355" s="96">
        <v>2945</v>
      </c>
      <c r="G355" s="96">
        <v>2836</v>
      </c>
      <c r="H355" s="96">
        <v>2779</v>
      </c>
      <c r="I355" s="96">
        <v>2931</v>
      </c>
      <c r="J355" s="96">
        <v>2986</v>
      </c>
      <c r="K355" s="157">
        <v>2888</v>
      </c>
      <c r="L355" s="21"/>
    </row>
    <row r="356" spans="1:12" ht="16.5" thickBot="1" x14ac:dyDescent="0.3">
      <c r="A356" s="1740"/>
      <c r="B356" s="1245"/>
      <c r="C356" s="1349"/>
      <c r="D356" s="431" t="s">
        <v>437</v>
      </c>
      <c r="E356" s="190"/>
      <c r="F356" s="190">
        <v>3001</v>
      </c>
      <c r="G356" s="190">
        <v>2762</v>
      </c>
      <c r="H356" s="190">
        <v>2703</v>
      </c>
      <c r="I356" s="190">
        <v>2805</v>
      </c>
      <c r="J356" s="190">
        <v>2786</v>
      </c>
      <c r="K356" s="197">
        <v>2727</v>
      </c>
      <c r="L356" s="22"/>
    </row>
    <row r="357" spans="1:12" x14ac:dyDescent="0.25">
      <c r="A357" s="1740"/>
      <c r="B357" s="1245"/>
      <c r="C357" s="1352" t="s">
        <v>453</v>
      </c>
      <c r="D357" s="1250"/>
      <c r="E357" s="195"/>
      <c r="F357" s="37">
        <f>+(F354/F351)*100</f>
        <v>74.68910940836578</v>
      </c>
      <c r="G357" s="37">
        <f t="shared" ref="G357:J357" si="21">+(G354/G351)*100</f>
        <v>77.847309136420535</v>
      </c>
      <c r="H357" s="37">
        <f t="shared" si="21"/>
        <v>78.93448524118071</v>
      </c>
      <c r="I357" s="37">
        <f t="shared" si="21"/>
        <v>84.216708266040229</v>
      </c>
      <c r="J357" s="37">
        <f t="shared" si="21"/>
        <v>85.995232419547079</v>
      </c>
      <c r="K357" s="37">
        <f>+(K354/K351)*100</f>
        <v>83.494423791821561</v>
      </c>
      <c r="L357" s="20"/>
    </row>
    <row r="358" spans="1:12" x14ac:dyDescent="0.25">
      <c r="A358" s="1740"/>
      <c r="B358" s="1245"/>
      <c r="C358" s="1363" t="s">
        <v>454</v>
      </c>
      <c r="D358" s="1236"/>
      <c r="E358" s="28"/>
      <c r="F358" s="187">
        <f>F355/F352*100</f>
        <v>72.163685371232546</v>
      </c>
      <c r="G358" s="187">
        <f t="shared" ref="G358:I358" si="22">G355/G352*100</f>
        <v>77.634820695318922</v>
      </c>
      <c r="H358" s="187">
        <f t="shared" si="22"/>
        <v>78.56940910376025</v>
      </c>
      <c r="I358" s="187">
        <f t="shared" si="22"/>
        <v>85.104529616724733</v>
      </c>
      <c r="J358" s="187">
        <f>J355/J352*100</f>
        <v>86.475528525919486</v>
      </c>
      <c r="K358" s="187">
        <f>K355/K352*100</f>
        <v>82.326111744583812</v>
      </c>
      <c r="L358" s="21"/>
    </row>
    <row r="359" spans="1:12" x14ac:dyDescent="0.25">
      <c r="A359" s="1740"/>
      <c r="B359" s="1245"/>
      <c r="C359" s="1363" t="s">
        <v>455</v>
      </c>
      <c r="D359" s="1236"/>
      <c r="E359" s="28"/>
      <c r="F359" s="187">
        <f>F356/F353*100</f>
        <v>77.345360824742272</v>
      </c>
      <c r="G359" s="187">
        <f t="shared" ref="G359:I359" si="23">G356/G353*100</f>
        <v>78.066704352741667</v>
      </c>
      <c r="H359" s="187">
        <f t="shared" si="23"/>
        <v>79.313380281690144</v>
      </c>
      <c r="I359" s="187">
        <f t="shared" si="23"/>
        <v>83.308583308583309</v>
      </c>
      <c r="J359" s="187">
        <f>J356/J353*100</f>
        <v>85.486345504756059</v>
      </c>
      <c r="K359" s="187">
        <f>K356/K353*100</f>
        <v>84.768417780540872</v>
      </c>
      <c r="L359" s="21"/>
    </row>
    <row r="360" spans="1:12" ht="16.5" thickBot="1" x14ac:dyDescent="0.3">
      <c r="A360" s="1741"/>
      <c r="B360" s="1246"/>
      <c r="C360" s="1383" t="s">
        <v>354</v>
      </c>
      <c r="D360" s="1384"/>
      <c r="E360" s="110"/>
      <c r="F360" s="454">
        <f>+F359-F358</f>
        <v>5.181675453509726</v>
      </c>
      <c r="G360" s="593">
        <f t="shared" ref="G360:I360" si="24">+G359-G358</f>
        <v>0.4318836574227447</v>
      </c>
      <c r="H360" s="593">
        <f t="shared" si="24"/>
        <v>0.7439711779298932</v>
      </c>
      <c r="I360" s="349">
        <f t="shared" si="24"/>
        <v>-1.7959463081414242</v>
      </c>
      <c r="J360" s="349">
        <f>+J359-J358</f>
        <v>-0.98918302116342716</v>
      </c>
      <c r="K360" s="349">
        <f>+K359-K358</f>
        <v>2.4423060359570599</v>
      </c>
      <c r="L360" s="53"/>
    </row>
    <row r="361" spans="1:12" ht="16.5" thickBot="1" x14ac:dyDescent="0.3">
      <c r="A361" s="739" t="s">
        <v>248</v>
      </c>
      <c r="B361" s="792" t="s">
        <v>249</v>
      </c>
      <c r="C361" s="1724"/>
      <c r="D361" s="1724"/>
      <c r="E361" s="625" t="s">
        <v>442</v>
      </c>
      <c r="F361" s="625" t="s">
        <v>443</v>
      </c>
      <c r="G361" s="625" t="s">
        <v>444</v>
      </c>
      <c r="H361" s="625" t="s">
        <v>445</v>
      </c>
      <c r="I361" s="625" t="s">
        <v>446</v>
      </c>
      <c r="J361" s="625" t="s">
        <v>447</v>
      </c>
      <c r="K361" s="625" t="s">
        <v>448</v>
      </c>
      <c r="L361" s="284" t="s">
        <v>449</v>
      </c>
    </row>
    <row r="362" spans="1:12" ht="15" customHeight="1" x14ac:dyDescent="0.25">
      <c r="A362" s="1742" t="s">
        <v>456</v>
      </c>
      <c r="B362" s="1744" t="s">
        <v>457</v>
      </c>
      <c r="C362" s="1159" t="s">
        <v>458</v>
      </c>
      <c r="D362" s="229" t="s">
        <v>459</v>
      </c>
      <c r="E362" s="195" t="s">
        <v>460</v>
      </c>
      <c r="F362" s="195">
        <v>2485</v>
      </c>
      <c r="G362" s="195">
        <v>2338</v>
      </c>
      <c r="H362" s="195">
        <v>2678</v>
      </c>
      <c r="I362" s="195">
        <v>2478</v>
      </c>
      <c r="J362" s="195">
        <v>2486</v>
      </c>
      <c r="K362" s="1002">
        <v>2485</v>
      </c>
      <c r="L362" s="20"/>
    </row>
    <row r="363" spans="1:12" ht="14.1" customHeight="1" x14ac:dyDescent="0.25">
      <c r="A363" s="1743"/>
      <c r="B363" s="1678"/>
      <c r="C363" s="1160"/>
      <c r="D363" s="227" t="s">
        <v>436</v>
      </c>
      <c r="E363" s="96"/>
      <c r="F363" s="96">
        <v>1054</v>
      </c>
      <c r="G363" s="96">
        <v>1024</v>
      </c>
      <c r="H363" s="96">
        <v>1176</v>
      </c>
      <c r="I363" s="96">
        <v>1067</v>
      </c>
      <c r="J363" s="96">
        <v>1058</v>
      </c>
      <c r="K363" s="972">
        <v>1082</v>
      </c>
      <c r="L363" s="21"/>
    </row>
    <row r="364" spans="1:12" x14ac:dyDescent="0.25">
      <c r="A364" s="1743"/>
      <c r="B364" s="1678"/>
      <c r="C364" s="1160"/>
      <c r="D364" s="227" t="s">
        <v>437</v>
      </c>
      <c r="E364" s="96"/>
      <c r="F364" s="96">
        <v>1431</v>
      </c>
      <c r="G364" s="96">
        <v>1314</v>
      </c>
      <c r="H364" s="96">
        <v>1502</v>
      </c>
      <c r="I364" s="96">
        <v>1411</v>
      </c>
      <c r="J364" s="96">
        <v>1428</v>
      </c>
      <c r="K364" s="972">
        <v>1401</v>
      </c>
      <c r="L364" s="21"/>
    </row>
    <row r="365" spans="1:12" ht="15" customHeight="1" x14ac:dyDescent="0.25">
      <c r="A365" s="1743"/>
      <c r="B365" s="1678"/>
      <c r="C365" s="1160" t="s">
        <v>461</v>
      </c>
      <c r="D365" s="227" t="s">
        <v>459</v>
      </c>
      <c r="E365" s="157"/>
      <c r="F365" s="157">
        <v>1193</v>
      </c>
      <c r="G365" s="157">
        <f>632+643</f>
        <v>1275</v>
      </c>
      <c r="H365" s="157">
        <v>1464</v>
      </c>
      <c r="I365" s="157">
        <v>1380</v>
      </c>
      <c r="J365" s="157">
        <f>689+681</f>
        <v>1370</v>
      </c>
      <c r="K365" s="972">
        <v>1413</v>
      </c>
      <c r="L365" s="21"/>
    </row>
    <row r="366" spans="1:12" x14ac:dyDescent="0.25">
      <c r="A366" s="1743"/>
      <c r="B366" s="1678"/>
      <c r="C366" s="1160"/>
      <c r="D366" s="227" t="s">
        <v>436</v>
      </c>
      <c r="E366" s="96"/>
      <c r="F366" s="96">
        <v>549</v>
      </c>
      <c r="G366" s="96">
        <f>279+286</f>
        <v>565</v>
      </c>
      <c r="H366" s="96">
        <v>655</v>
      </c>
      <c r="I366" s="96">
        <v>594</v>
      </c>
      <c r="J366" s="96">
        <f>295+282</f>
        <v>577</v>
      </c>
      <c r="K366" s="972">
        <v>627</v>
      </c>
      <c r="L366" s="21"/>
    </row>
    <row r="367" spans="1:12" ht="16.5" thickBot="1" x14ac:dyDescent="0.3">
      <c r="A367" s="1743"/>
      <c r="B367" s="1678"/>
      <c r="C367" s="1161"/>
      <c r="D367" s="239" t="s">
        <v>437</v>
      </c>
      <c r="E367" s="190"/>
      <c r="F367" s="190">
        <v>644</v>
      </c>
      <c r="G367" s="190">
        <f>353+357</f>
        <v>710</v>
      </c>
      <c r="H367" s="190">
        <v>809</v>
      </c>
      <c r="I367" s="190">
        <v>786</v>
      </c>
      <c r="J367" s="190">
        <f>394+399</f>
        <v>793</v>
      </c>
      <c r="K367" s="998">
        <v>786</v>
      </c>
      <c r="L367" s="22"/>
    </row>
    <row r="368" spans="1:12" x14ac:dyDescent="0.25">
      <c r="A368" s="1743"/>
      <c r="B368" s="1678"/>
      <c r="C368" s="1389" t="s">
        <v>462</v>
      </c>
      <c r="D368" s="1390"/>
      <c r="E368" s="225"/>
      <c r="F368" s="283">
        <f>F366/F363*100</f>
        <v>52.08728652751423</v>
      </c>
      <c r="G368" s="283">
        <f t="shared" ref="G368:I369" si="25">G366/G363*100</f>
        <v>55.17578125</v>
      </c>
      <c r="H368" s="283">
        <f t="shared" si="25"/>
        <v>55.697278911564631</v>
      </c>
      <c r="I368" s="283">
        <f t="shared" si="25"/>
        <v>55.670103092783506</v>
      </c>
      <c r="J368" s="283">
        <f>J366/J363*100</f>
        <v>54.536862003780719</v>
      </c>
      <c r="K368" s="283">
        <f>K366/K363*100</f>
        <v>57.948243992606287</v>
      </c>
      <c r="L368" s="20"/>
    </row>
    <row r="369" spans="1:12" x14ac:dyDescent="0.25">
      <c r="A369" s="1743"/>
      <c r="B369" s="1678"/>
      <c r="C369" s="1123" t="s">
        <v>463</v>
      </c>
      <c r="D369" s="1124"/>
      <c r="E369" s="96"/>
      <c r="F369" s="29">
        <f>F367/F364*100</f>
        <v>45.003494060097829</v>
      </c>
      <c r="G369" s="29">
        <f t="shared" si="25"/>
        <v>54.033485540334858</v>
      </c>
      <c r="H369" s="29">
        <f t="shared" si="25"/>
        <v>53.861517976031962</v>
      </c>
      <c r="I369" s="29">
        <f t="shared" si="25"/>
        <v>55.705173635719355</v>
      </c>
      <c r="J369" s="29">
        <f>J367/J364*100</f>
        <v>55.532212885154067</v>
      </c>
      <c r="K369" s="29">
        <f>K367/K364*100</f>
        <v>56.102783725910065</v>
      </c>
      <c r="L369" s="21"/>
    </row>
    <row r="370" spans="1:12" ht="16.5" thickBot="1" x14ac:dyDescent="0.3">
      <c r="A370" s="1743"/>
      <c r="B370" s="1745"/>
      <c r="C370" s="1125" t="s">
        <v>354</v>
      </c>
      <c r="D370" s="1126"/>
      <c r="E370" s="33"/>
      <c r="F370" s="161">
        <f>+F369-F368</f>
        <v>-7.0837924674164015</v>
      </c>
      <c r="G370" s="161">
        <f t="shared" ref="G370:I370" si="26">+G369-G368</f>
        <v>-1.1422957096651416</v>
      </c>
      <c r="H370" s="161">
        <f t="shared" si="26"/>
        <v>-1.8357609355326687</v>
      </c>
      <c r="I370" s="161">
        <f t="shared" si="26"/>
        <v>3.5070542935848437E-2</v>
      </c>
      <c r="J370" s="161">
        <f>+J369-J368</f>
        <v>0.99535088137334782</v>
      </c>
      <c r="K370" s="161">
        <f>+K369-K368</f>
        <v>-1.8454602666962217</v>
      </c>
      <c r="L370" s="22"/>
    </row>
    <row r="371" spans="1:12" ht="16.5" thickBot="1" x14ac:dyDescent="0.3">
      <c r="A371" s="1743"/>
      <c r="B371" s="694" t="s">
        <v>249</v>
      </c>
      <c r="C371" s="1738"/>
      <c r="D371" s="1681"/>
      <c r="E371" s="112" t="s">
        <v>442</v>
      </c>
      <c r="F371" s="112" t="s">
        <v>443</v>
      </c>
      <c r="G371" s="112" t="s">
        <v>444</v>
      </c>
      <c r="H371" s="112" t="s">
        <v>445</v>
      </c>
      <c r="I371" s="112" t="s">
        <v>446</v>
      </c>
      <c r="J371" s="112" t="s">
        <v>447</v>
      </c>
      <c r="K371" s="112" t="s">
        <v>448</v>
      </c>
      <c r="L371" s="796" t="s">
        <v>449</v>
      </c>
    </row>
    <row r="372" spans="1:12" ht="15" customHeight="1" x14ac:dyDescent="0.25">
      <c r="A372" s="1743"/>
      <c r="B372" s="1748" t="s">
        <v>464</v>
      </c>
      <c r="C372" s="1109" t="s">
        <v>459</v>
      </c>
      <c r="D372" s="1110"/>
      <c r="E372" s="28"/>
      <c r="F372" s="157">
        <v>1465</v>
      </c>
      <c r="G372" s="157">
        <v>1822</v>
      </c>
      <c r="H372" s="157">
        <v>2222</v>
      </c>
      <c r="I372" s="157">
        <v>2539</v>
      </c>
      <c r="J372" s="157">
        <v>2507</v>
      </c>
      <c r="K372" s="157">
        <v>2454</v>
      </c>
      <c r="L372" s="21"/>
    </row>
    <row r="373" spans="1:12" x14ac:dyDescent="0.25">
      <c r="A373" s="1743"/>
      <c r="B373" s="1504"/>
      <c r="C373" s="1123" t="s">
        <v>436</v>
      </c>
      <c r="D373" s="1124"/>
      <c r="E373" s="96"/>
      <c r="F373" s="96">
        <v>1081</v>
      </c>
      <c r="G373" s="96">
        <v>1295</v>
      </c>
      <c r="H373" s="96">
        <v>1375</v>
      </c>
      <c r="I373" s="96">
        <v>1515</v>
      </c>
      <c r="J373" s="96">
        <v>1496</v>
      </c>
      <c r="K373" s="96">
        <v>1521</v>
      </c>
      <c r="L373" s="21"/>
    </row>
    <row r="374" spans="1:12" x14ac:dyDescent="0.25">
      <c r="A374" s="1743"/>
      <c r="B374" s="1504"/>
      <c r="C374" s="1123" t="s">
        <v>437</v>
      </c>
      <c r="D374" s="1124"/>
      <c r="E374" s="96"/>
      <c r="F374" s="96">
        <v>384</v>
      </c>
      <c r="G374" s="96">
        <v>527</v>
      </c>
      <c r="H374" s="96">
        <v>847</v>
      </c>
      <c r="I374" s="96">
        <v>1024</v>
      </c>
      <c r="J374" s="96">
        <v>1011</v>
      </c>
      <c r="K374" s="96">
        <v>933</v>
      </c>
      <c r="L374" s="21"/>
    </row>
    <row r="375" spans="1:12" ht="16.5" thickBot="1" x14ac:dyDescent="0.3">
      <c r="A375" s="1743"/>
      <c r="B375" s="1504"/>
      <c r="C375" s="1170" t="s">
        <v>270</v>
      </c>
      <c r="D375" s="1155"/>
      <c r="E375" s="197"/>
      <c r="F375" s="285">
        <f t="shared" ref="F375:J375" si="27">F374/F372*100</f>
        <v>26.211604095563139</v>
      </c>
      <c r="G375" s="285">
        <f t="shared" si="27"/>
        <v>28.924259055982439</v>
      </c>
      <c r="H375" s="285">
        <f t="shared" si="27"/>
        <v>38.118811881188122</v>
      </c>
      <c r="I375" s="285">
        <f t="shared" si="27"/>
        <v>40.330838912957859</v>
      </c>
      <c r="J375" s="285">
        <f t="shared" si="27"/>
        <v>40.327084164339851</v>
      </c>
      <c r="K375" s="285">
        <f>K374/K372*100</f>
        <v>38.019559902200491</v>
      </c>
      <c r="L375" s="22"/>
    </row>
    <row r="376" spans="1:12" ht="14.85" customHeight="1" x14ac:dyDescent="0.25">
      <c r="A376" s="1743"/>
      <c r="B376" s="1504"/>
      <c r="C376" s="1159" t="s">
        <v>523</v>
      </c>
      <c r="D376" s="248" t="s">
        <v>251</v>
      </c>
      <c r="E376" s="249"/>
      <c r="F376" s="250">
        <v>134</v>
      </c>
      <c r="G376" s="250">
        <v>127</v>
      </c>
      <c r="H376" s="250">
        <v>168</v>
      </c>
      <c r="I376" s="250">
        <v>158</v>
      </c>
      <c r="J376" s="250">
        <v>161</v>
      </c>
      <c r="K376" s="794">
        <v>150</v>
      </c>
      <c r="L376" s="20"/>
    </row>
    <row r="377" spans="1:12" x14ac:dyDescent="0.25">
      <c r="A377" s="1743"/>
      <c r="B377" s="1504"/>
      <c r="C377" s="1160"/>
      <c r="D377" s="28" t="s">
        <v>257</v>
      </c>
      <c r="E377" s="94"/>
      <c r="F377" s="80">
        <v>43</v>
      </c>
      <c r="G377" s="80">
        <v>58</v>
      </c>
      <c r="H377" s="80">
        <v>83</v>
      </c>
      <c r="I377" s="80">
        <v>83</v>
      </c>
      <c r="J377" s="80">
        <v>84</v>
      </c>
      <c r="K377" s="1003">
        <v>70</v>
      </c>
      <c r="L377" s="21"/>
    </row>
    <row r="378" spans="1:12" x14ac:dyDescent="0.25">
      <c r="A378" s="1743"/>
      <c r="B378" s="1504"/>
      <c r="C378" s="1160"/>
      <c r="D378" s="28" t="s">
        <v>263</v>
      </c>
      <c r="E378" s="94"/>
      <c r="F378" s="80">
        <v>91</v>
      </c>
      <c r="G378" s="80">
        <v>69</v>
      </c>
      <c r="H378" s="80">
        <v>85</v>
      </c>
      <c r="I378" s="80">
        <v>75</v>
      </c>
      <c r="J378" s="80">
        <v>77</v>
      </c>
      <c r="K378" s="759">
        <v>80</v>
      </c>
      <c r="L378" s="21"/>
    </row>
    <row r="379" spans="1:12" ht="15" customHeight="1" thickBot="1" x14ac:dyDescent="0.3">
      <c r="A379" s="1743"/>
      <c r="B379" s="1504"/>
      <c r="C379" s="1161"/>
      <c r="D379" s="203" t="s">
        <v>270</v>
      </c>
      <c r="E379" s="106"/>
      <c r="F379" s="251">
        <f>(F378*100)/F376</f>
        <v>67.910447761194035</v>
      </c>
      <c r="G379" s="252">
        <f t="shared" ref="G379:J379" si="28">(G378*100)/G376</f>
        <v>54.330708661417326</v>
      </c>
      <c r="H379" s="252">
        <f t="shared" si="28"/>
        <v>50.595238095238095</v>
      </c>
      <c r="I379" s="252">
        <f t="shared" si="28"/>
        <v>47.468354430379748</v>
      </c>
      <c r="J379" s="252">
        <f t="shared" si="28"/>
        <v>47.826086956521742</v>
      </c>
      <c r="K379" s="252">
        <f>K378/K376*100</f>
        <v>53.333333333333336</v>
      </c>
      <c r="L379" s="22"/>
    </row>
    <row r="380" spans="1:12" ht="14.85" customHeight="1" x14ac:dyDescent="0.25">
      <c r="A380" s="1743"/>
      <c r="B380" s="1504"/>
      <c r="C380" s="1159" t="s">
        <v>465</v>
      </c>
      <c r="D380" s="248" t="s">
        <v>251</v>
      </c>
      <c r="E380" s="249"/>
      <c r="F380" s="250">
        <v>263</v>
      </c>
      <c r="G380" s="250">
        <v>464</v>
      </c>
      <c r="H380" s="250">
        <v>839</v>
      </c>
      <c r="I380" s="250">
        <v>973</v>
      </c>
      <c r="J380" s="250">
        <v>880</v>
      </c>
      <c r="K380" s="225">
        <v>777</v>
      </c>
      <c r="L380" s="20"/>
    </row>
    <row r="381" spans="1:12" x14ac:dyDescent="0.25">
      <c r="A381" s="1743"/>
      <c r="B381" s="1504"/>
      <c r="C381" s="1160"/>
      <c r="D381" s="28" t="s">
        <v>257</v>
      </c>
      <c r="E381" s="94"/>
      <c r="F381" s="80">
        <v>155</v>
      </c>
      <c r="G381" s="80">
        <v>239</v>
      </c>
      <c r="H381" s="80">
        <v>301</v>
      </c>
      <c r="I381" s="80">
        <v>322</v>
      </c>
      <c r="J381" s="80">
        <v>280</v>
      </c>
      <c r="K381" s="28">
        <v>275</v>
      </c>
      <c r="L381" s="21"/>
    </row>
    <row r="382" spans="1:12" x14ac:dyDescent="0.25">
      <c r="A382" s="1743"/>
      <c r="B382" s="1504"/>
      <c r="C382" s="1160"/>
      <c r="D382" s="28" t="s">
        <v>263</v>
      </c>
      <c r="E382" s="94"/>
      <c r="F382" s="80">
        <v>108</v>
      </c>
      <c r="G382" s="80">
        <v>225</v>
      </c>
      <c r="H382" s="80">
        <v>538</v>
      </c>
      <c r="I382" s="80">
        <v>651</v>
      </c>
      <c r="J382" s="80">
        <v>600</v>
      </c>
      <c r="K382" s="96">
        <v>502</v>
      </c>
      <c r="L382" s="21"/>
    </row>
    <row r="383" spans="1:12" ht="16.5" thickBot="1" x14ac:dyDescent="0.3">
      <c r="A383" s="1743"/>
      <c r="B383" s="1504"/>
      <c r="C383" s="1161"/>
      <c r="D383" s="203" t="s">
        <v>270</v>
      </c>
      <c r="E383" s="106"/>
      <c r="F383" s="252">
        <f>(F382*100)/F380</f>
        <v>41.064638783269963</v>
      </c>
      <c r="G383" s="252">
        <f t="shared" ref="G383:K383" si="29">(G382*100)/G380</f>
        <v>48.491379310344826</v>
      </c>
      <c r="H383" s="251">
        <f t="shared" si="29"/>
        <v>64.123957091775921</v>
      </c>
      <c r="I383" s="251">
        <f t="shared" si="29"/>
        <v>66.906474820143885</v>
      </c>
      <c r="J383" s="251">
        <f t="shared" si="29"/>
        <v>68.181818181818187</v>
      </c>
      <c r="K383" s="251">
        <f t="shared" si="29"/>
        <v>64.607464607464607</v>
      </c>
      <c r="L383" s="22"/>
    </row>
    <row r="384" spans="1:12" ht="14.85" customHeight="1" x14ac:dyDescent="0.25">
      <c r="A384" s="1743"/>
      <c r="B384" s="1504"/>
      <c r="C384" s="1159" t="s">
        <v>524</v>
      </c>
      <c r="D384" s="248" t="s">
        <v>251</v>
      </c>
      <c r="E384" s="249"/>
      <c r="F384" s="250">
        <v>72</v>
      </c>
      <c r="G384" s="250">
        <v>120</v>
      </c>
      <c r="H384" s="250">
        <v>211</v>
      </c>
      <c r="I384" s="250">
        <v>244</v>
      </c>
      <c r="J384" s="250">
        <v>285</v>
      </c>
      <c r="K384" s="250">
        <v>307</v>
      </c>
      <c r="L384" s="20"/>
    </row>
    <row r="385" spans="1:12" x14ac:dyDescent="0.25">
      <c r="A385" s="1743"/>
      <c r="B385" s="1504"/>
      <c r="C385" s="1160"/>
      <c r="D385" s="28" t="s">
        <v>257</v>
      </c>
      <c r="E385" s="94"/>
      <c r="F385" s="80">
        <v>65</v>
      </c>
      <c r="G385" s="80">
        <v>111</v>
      </c>
      <c r="H385" s="80">
        <v>193</v>
      </c>
      <c r="I385" s="80">
        <v>223</v>
      </c>
      <c r="J385" s="80">
        <v>259</v>
      </c>
      <c r="K385" s="80">
        <v>279</v>
      </c>
      <c r="L385" s="21"/>
    </row>
    <row r="386" spans="1:12" x14ac:dyDescent="0.25">
      <c r="A386" s="1743"/>
      <c r="B386" s="1504"/>
      <c r="C386" s="1160"/>
      <c r="D386" s="28" t="s">
        <v>263</v>
      </c>
      <c r="E386" s="94"/>
      <c r="F386" s="80">
        <v>7</v>
      </c>
      <c r="G386" s="80">
        <v>9</v>
      </c>
      <c r="H386" s="80">
        <v>18</v>
      </c>
      <c r="I386" s="80">
        <v>21</v>
      </c>
      <c r="J386" s="80">
        <v>26</v>
      </c>
      <c r="K386" s="80">
        <v>28</v>
      </c>
      <c r="L386" s="21"/>
    </row>
    <row r="387" spans="1:12" ht="16.5" thickBot="1" x14ac:dyDescent="0.3">
      <c r="A387" s="1743"/>
      <c r="B387" s="1504"/>
      <c r="C387" s="1161"/>
      <c r="D387" s="203" t="s">
        <v>270</v>
      </c>
      <c r="E387" s="106"/>
      <c r="F387" s="253">
        <f>(F386*100)/F384</f>
        <v>9.7222222222222214</v>
      </c>
      <c r="G387" s="253">
        <f t="shared" ref="G387:K387" si="30">(G386*100)/G384</f>
        <v>7.5</v>
      </c>
      <c r="H387" s="253">
        <f t="shared" si="30"/>
        <v>8.5308056872037916</v>
      </c>
      <c r="I387" s="253">
        <f t="shared" si="30"/>
        <v>8.6065573770491799</v>
      </c>
      <c r="J387" s="253">
        <f t="shared" si="30"/>
        <v>9.1228070175438596</v>
      </c>
      <c r="K387" s="795">
        <f t="shared" si="30"/>
        <v>9.120521172638437</v>
      </c>
      <c r="L387" s="22"/>
    </row>
    <row r="388" spans="1:12" ht="14.85" customHeight="1" x14ac:dyDescent="0.25">
      <c r="A388" s="1743"/>
      <c r="B388" s="1504"/>
      <c r="C388" s="1159" t="s">
        <v>526</v>
      </c>
      <c r="D388" s="248" t="s">
        <v>251</v>
      </c>
      <c r="E388" s="249"/>
      <c r="F388" s="250">
        <v>86</v>
      </c>
      <c r="G388" s="250">
        <v>82</v>
      </c>
      <c r="H388" s="250">
        <v>56</v>
      </c>
      <c r="I388" s="250">
        <v>50</v>
      </c>
      <c r="J388" s="250">
        <v>56</v>
      </c>
      <c r="K388" s="794">
        <v>54</v>
      </c>
      <c r="L388" s="20"/>
    </row>
    <row r="389" spans="1:12" x14ac:dyDescent="0.25">
      <c r="A389" s="1743"/>
      <c r="B389" s="1504"/>
      <c r="C389" s="1160"/>
      <c r="D389" s="28" t="s">
        <v>257</v>
      </c>
      <c r="E389" s="94"/>
      <c r="F389" s="80">
        <v>58</v>
      </c>
      <c r="G389" s="80">
        <v>52</v>
      </c>
      <c r="H389" s="80">
        <v>37</v>
      </c>
      <c r="I389" s="80">
        <v>21</v>
      </c>
      <c r="J389" s="80">
        <v>26</v>
      </c>
      <c r="K389" s="759">
        <v>24</v>
      </c>
      <c r="L389" s="21"/>
    </row>
    <row r="390" spans="1:12" x14ac:dyDescent="0.25">
      <c r="A390" s="1743"/>
      <c r="B390" s="1504"/>
      <c r="C390" s="1160"/>
      <c r="D390" s="110" t="s">
        <v>263</v>
      </c>
      <c r="E390" s="126"/>
      <c r="F390" s="372">
        <v>28</v>
      </c>
      <c r="G390" s="372">
        <v>30</v>
      </c>
      <c r="H390" s="372">
        <v>19</v>
      </c>
      <c r="I390" s="372">
        <v>29</v>
      </c>
      <c r="J390" s="372">
        <v>30</v>
      </c>
      <c r="K390" s="801">
        <v>30</v>
      </c>
      <c r="L390" s="53"/>
    </row>
    <row r="391" spans="1:12" ht="16.5" thickBot="1" x14ac:dyDescent="0.3">
      <c r="A391" s="1743"/>
      <c r="B391" s="1504"/>
      <c r="C391" s="1161"/>
      <c r="D391" s="203" t="s">
        <v>270</v>
      </c>
      <c r="E391" s="106"/>
      <c r="F391" s="253">
        <f>(F390*100)/F388</f>
        <v>32.558139534883722</v>
      </c>
      <c r="G391" s="253">
        <f t="shared" ref="G391:K391" si="31">(G390*100)/G388</f>
        <v>36.585365853658537</v>
      </c>
      <c r="H391" s="253">
        <f t="shared" si="31"/>
        <v>33.928571428571431</v>
      </c>
      <c r="I391" s="252">
        <f t="shared" si="31"/>
        <v>58</v>
      </c>
      <c r="J391" s="252">
        <f t="shared" si="31"/>
        <v>53.571428571428569</v>
      </c>
      <c r="K391" s="252">
        <f t="shared" si="31"/>
        <v>55.555555555555557</v>
      </c>
      <c r="L391" s="22"/>
    </row>
    <row r="392" spans="1:12" ht="14.85" customHeight="1" x14ac:dyDescent="0.25">
      <c r="A392" s="1743"/>
      <c r="B392" s="1504"/>
      <c r="C392" s="1159" t="s">
        <v>527</v>
      </c>
      <c r="D392" s="487" t="s">
        <v>251</v>
      </c>
      <c r="E392" s="806"/>
      <c r="F392" s="807">
        <v>53</v>
      </c>
      <c r="G392" s="808">
        <v>157</v>
      </c>
      <c r="H392" s="808">
        <v>106</v>
      </c>
      <c r="I392" s="808">
        <v>116</v>
      </c>
      <c r="J392" s="808">
        <v>91</v>
      </c>
      <c r="K392" s="809">
        <v>89</v>
      </c>
      <c r="L392" s="275"/>
    </row>
    <row r="393" spans="1:12" x14ac:dyDescent="0.25">
      <c r="A393" s="1743"/>
      <c r="B393" s="1504"/>
      <c r="C393" s="1160"/>
      <c r="D393" s="280" t="s">
        <v>257</v>
      </c>
      <c r="E393" s="799"/>
      <c r="F393" s="805">
        <v>49</v>
      </c>
      <c r="G393" s="781">
        <v>157</v>
      </c>
      <c r="H393" s="781">
        <v>105</v>
      </c>
      <c r="I393" s="781">
        <v>115</v>
      </c>
      <c r="J393" s="781">
        <v>91</v>
      </c>
      <c r="K393" s="280">
        <v>88</v>
      </c>
      <c r="L393" s="276"/>
    </row>
    <row r="394" spans="1:12" x14ac:dyDescent="0.25">
      <c r="A394" s="1743"/>
      <c r="B394" s="1504"/>
      <c r="C394" s="1160"/>
      <c r="D394" s="280" t="s">
        <v>263</v>
      </c>
      <c r="E394" s="799"/>
      <c r="F394" s="805">
        <v>4</v>
      </c>
      <c r="G394" s="781">
        <v>0</v>
      </c>
      <c r="H394" s="781">
        <v>1</v>
      </c>
      <c r="I394" s="781">
        <v>1</v>
      </c>
      <c r="J394" s="781">
        <v>0</v>
      </c>
      <c r="K394" s="280">
        <v>1</v>
      </c>
      <c r="L394" s="276"/>
    </row>
    <row r="395" spans="1:12" ht="16.5" thickBot="1" x14ac:dyDescent="0.3">
      <c r="A395" s="1743"/>
      <c r="B395" s="1504"/>
      <c r="C395" s="1161"/>
      <c r="D395" s="709" t="s">
        <v>270</v>
      </c>
      <c r="E395" s="802"/>
      <c r="F395" s="803">
        <f>(F394*100)/F392</f>
        <v>7.5471698113207548</v>
      </c>
      <c r="G395" s="803">
        <f t="shared" ref="G395:J395" si="32">(G394*100)/G392</f>
        <v>0</v>
      </c>
      <c r="H395" s="803">
        <f t="shared" si="32"/>
        <v>0.94339622641509435</v>
      </c>
      <c r="I395" s="803">
        <f t="shared" si="32"/>
        <v>0.86206896551724133</v>
      </c>
      <c r="J395" s="803">
        <f t="shared" si="32"/>
        <v>0</v>
      </c>
      <c r="K395" s="804">
        <f>K394/K392*100</f>
        <v>1.1235955056179776</v>
      </c>
      <c r="L395" s="710"/>
    </row>
    <row r="396" spans="1:12" ht="14.85" customHeight="1" x14ac:dyDescent="0.25">
      <c r="A396" s="1743"/>
      <c r="B396" s="1504"/>
      <c r="C396" s="1159" t="s">
        <v>480</v>
      </c>
      <c r="D396" s="248" t="s">
        <v>251</v>
      </c>
      <c r="E396" s="249"/>
      <c r="F396" s="250">
        <v>393</v>
      </c>
      <c r="G396" s="250">
        <v>386</v>
      </c>
      <c r="H396" s="250">
        <v>333</v>
      </c>
      <c r="I396" s="250">
        <v>344</v>
      </c>
      <c r="J396" s="250">
        <v>297</v>
      </c>
      <c r="K396" s="794">
        <v>290</v>
      </c>
      <c r="L396" s="20"/>
    </row>
    <row r="397" spans="1:12" x14ac:dyDescent="0.25">
      <c r="A397" s="1743"/>
      <c r="B397" s="1504"/>
      <c r="C397" s="1160"/>
      <c r="D397" s="28" t="s">
        <v>257</v>
      </c>
      <c r="E397" s="94"/>
      <c r="F397" s="236">
        <v>282</v>
      </c>
      <c r="G397" s="236">
        <v>233</v>
      </c>
      <c r="H397" s="236">
        <v>208</v>
      </c>
      <c r="I397" s="236">
        <v>214</v>
      </c>
      <c r="J397" s="236">
        <v>171</v>
      </c>
      <c r="K397" s="759">
        <v>163</v>
      </c>
      <c r="L397" s="21"/>
    </row>
    <row r="398" spans="1:12" x14ac:dyDescent="0.25">
      <c r="A398" s="1743"/>
      <c r="B398" s="1504"/>
      <c r="C398" s="1160"/>
      <c r="D398" s="28" t="s">
        <v>263</v>
      </c>
      <c r="E398" s="94"/>
      <c r="F398" s="236">
        <v>111</v>
      </c>
      <c r="G398" s="236">
        <v>153</v>
      </c>
      <c r="H398" s="236">
        <v>125</v>
      </c>
      <c r="I398" s="236">
        <v>130</v>
      </c>
      <c r="J398" s="236">
        <v>126</v>
      </c>
      <c r="K398" s="759">
        <v>127</v>
      </c>
      <c r="L398" s="21"/>
    </row>
    <row r="399" spans="1:12" ht="16.5" thickBot="1" x14ac:dyDescent="0.3">
      <c r="A399" s="1743"/>
      <c r="B399" s="1504"/>
      <c r="C399" s="1161"/>
      <c r="D399" s="203" t="s">
        <v>270</v>
      </c>
      <c r="E399" s="106"/>
      <c r="F399" s="253">
        <f>(F398*100)/F396</f>
        <v>28.244274809160306</v>
      </c>
      <c r="G399" s="253">
        <f t="shared" ref="G399:J399" si="33">(G398*100)/G396</f>
        <v>39.637305699481864</v>
      </c>
      <c r="H399" s="253">
        <f t="shared" si="33"/>
        <v>37.537537537537538</v>
      </c>
      <c r="I399" s="253">
        <f t="shared" si="33"/>
        <v>37.790697674418603</v>
      </c>
      <c r="J399" s="252">
        <f t="shared" si="33"/>
        <v>42.424242424242422</v>
      </c>
      <c r="K399" s="252">
        <f>K398/K396*100</f>
        <v>43.793103448275858</v>
      </c>
      <c r="L399" s="22"/>
    </row>
    <row r="400" spans="1:12" ht="14.85" customHeight="1" x14ac:dyDescent="0.25">
      <c r="A400" s="1743"/>
      <c r="B400" s="1504"/>
      <c r="C400" s="1159" t="s">
        <v>560</v>
      </c>
      <c r="D400" s="248" t="s">
        <v>251</v>
      </c>
      <c r="E400" s="249"/>
      <c r="F400" s="250"/>
      <c r="G400" s="250"/>
      <c r="H400" s="250"/>
      <c r="I400" s="250">
        <v>94</v>
      </c>
      <c r="J400" s="250">
        <v>126</v>
      </c>
      <c r="K400" s="794">
        <v>150</v>
      </c>
      <c r="L400" s="20"/>
    </row>
    <row r="401" spans="1:12" x14ac:dyDescent="0.25">
      <c r="A401" s="1743"/>
      <c r="B401" s="1504"/>
      <c r="C401" s="1160"/>
      <c r="D401" s="28" t="s">
        <v>257</v>
      </c>
      <c r="E401" s="94"/>
      <c r="F401" s="80"/>
      <c r="G401" s="80"/>
      <c r="H401" s="80"/>
      <c r="I401" s="80">
        <v>60</v>
      </c>
      <c r="J401" s="80">
        <v>85</v>
      </c>
      <c r="K401" s="759">
        <v>110</v>
      </c>
      <c r="L401" s="21"/>
    </row>
    <row r="402" spans="1:12" x14ac:dyDescent="0.25">
      <c r="A402" s="1743"/>
      <c r="B402" s="1504"/>
      <c r="C402" s="1160"/>
      <c r="D402" s="28" t="s">
        <v>263</v>
      </c>
      <c r="E402" s="94"/>
      <c r="F402" s="80"/>
      <c r="G402" s="80"/>
      <c r="H402" s="80"/>
      <c r="I402" s="80">
        <v>34</v>
      </c>
      <c r="J402" s="80">
        <v>41</v>
      </c>
      <c r="K402" s="759">
        <v>40</v>
      </c>
      <c r="L402" s="21"/>
    </row>
    <row r="403" spans="1:12" ht="16.5" thickBot="1" x14ac:dyDescent="0.3">
      <c r="A403" s="1743"/>
      <c r="B403" s="1504"/>
      <c r="C403" s="1161"/>
      <c r="D403" s="203" t="s">
        <v>270</v>
      </c>
      <c r="E403" s="106"/>
      <c r="F403" s="197"/>
      <c r="G403" s="197"/>
      <c r="H403" s="197"/>
      <c r="I403" s="253">
        <f>(I402*100)/I400</f>
        <v>36.170212765957444</v>
      </c>
      <c r="J403" s="253">
        <f>(J402*100)/J400</f>
        <v>32.539682539682538</v>
      </c>
      <c r="K403" s="795">
        <f>K402/K400*100</f>
        <v>26.666666666666668</v>
      </c>
      <c r="L403" s="22"/>
    </row>
    <row r="404" spans="1:12" ht="14.85" customHeight="1" x14ac:dyDescent="0.25">
      <c r="A404" s="1743"/>
      <c r="B404" s="1504"/>
      <c r="C404" s="1159" t="s">
        <v>562</v>
      </c>
      <c r="D404" s="248" t="s">
        <v>251</v>
      </c>
      <c r="E404" s="249"/>
      <c r="F404" s="250"/>
      <c r="G404" s="250"/>
      <c r="H404" s="250"/>
      <c r="I404" s="250">
        <v>40</v>
      </c>
      <c r="J404" s="250">
        <v>40</v>
      </c>
      <c r="K404" s="794">
        <v>40</v>
      </c>
      <c r="L404" s="20"/>
    </row>
    <row r="405" spans="1:12" x14ac:dyDescent="0.25">
      <c r="A405" s="1743"/>
      <c r="B405" s="1504"/>
      <c r="C405" s="1160"/>
      <c r="D405" s="28" t="s">
        <v>257</v>
      </c>
      <c r="E405" s="94"/>
      <c r="F405" s="80"/>
      <c r="G405" s="80"/>
      <c r="H405" s="80"/>
      <c r="I405" s="80">
        <v>37</v>
      </c>
      <c r="J405" s="80">
        <v>38</v>
      </c>
      <c r="K405" s="759">
        <v>38</v>
      </c>
      <c r="L405" s="21"/>
    </row>
    <row r="406" spans="1:12" x14ac:dyDescent="0.25">
      <c r="A406" s="1743"/>
      <c r="B406" s="1504"/>
      <c r="C406" s="1160"/>
      <c r="D406" s="28" t="s">
        <v>263</v>
      </c>
      <c r="E406" s="94"/>
      <c r="F406" s="80"/>
      <c r="G406" s="80"/>
      <c r="H406" s="80"/>
      <c r="I406" s="80">
        <v>3</v>
      </c>
      <c r="J406" s="80">
        <v>2</v>
      </c>
      <c r="K406" s="759">
        <v>2</v>
      </c>
      <c r="L406" s="21"/>
    </row>
    <row r="407" spans="1:12" ht="16.5" thickBot="1" x14ac:dyDescent="0.3">
      <c r="A407" s="1743"/>
      <c r="B407" s="1504"/>
      <c r="C407" s="1161"/>
      <c r="D407" s="203" t="s">
        <v>270</v>
      </c>
      <c r="E407" s="106"/>
      <c r="F407" s="197"/>
      <c r="G407" s="197"/>
      <c r="H407" s="197"/>
      <c r="I407" s="253">
        <f>(I406*100)/I404</f>
        <v>7.5</v>
      </c>
      <c r="J407" s="253">
        <f>(J406*100)/J404</f>
        <v>5</v>
      </c>
      <c r="K407" s="795">
        <f>K406/K404*100</f>
        <v>5</v>
      </c>
      <c r="L407" s="22"/>
    </row>
    <row r="408" spans="1:12" ht="14.85" customHeight="1" x14ac:dyDescent="0.25">
      <c r="A408" s="1743"/>
      <c r="B408" s="1504"/>
      <c r="C408" s="1159" t="s">
        <v>539</v>
      </c>
      <c r="D408" s="248" t="s">
        <v>251</v>
      </c>
      <c r="E408" s="249"/>
      <c r="F408" s="250"/>
      <c r="G408" s="250"/>
      <c r="H408" s="250"/>
      <c r="I408" s="250">
        <v>56</v>
      </c>
      <c r="J408" s="250">
        <v>101</v>
      </c>
      <c r="K408" s="250">
        <v>109</v>
      </c>
      <c r="L408" s="20"/>
    </row>
    <row r="409" spans="1:12" x14ac:dyDescent="0.25">
      <c r="A409" s="1743"/>
      <c r="B409" s="1504"/>
      <c r="C409" s="1160"/>
      <c r="D409" s="28" t="s">
        <v>257</v>
      </c>
      <c r="E409" s="94"/>
      <c r="F409" s="80"/>
      <c r="G409" s="80"/>
      <c r="H409" s="80"/>
      <c r="I409" s="80">
        <v>45</v>
      </c>
      <c r="J409" s="80">
        <v>76</v>
      </c>
      <c r="K409" s="80">
        <v>77</v>
      </c>
      <c r="L409" s="21"/>
    </row>
    <row r="410" spans="1:12" x14ac:dyDescent="0.25">
      <c r="A410" s="1743"/>
      <c r="B410" s="1504"/>
      <c r="C410" s="1160"/>
      <c r="D410" s="28" t="s">
        <v>263</v>
      </c>
      <c r="E410" s="94"/>
      <c r="F410" s="80"/>
      <c r="G410" s="80"/>
      <c r="H410" s="80"/>
      <c r="I410" s="80">
        <v>11</v>
      </c>
      <c r="J410" s="80">
        <v>25</v>
      </c>
      <c r="K410" s="80">
        <v>32</v>
      </c>
      <c r="L410" s="21"/>
    </row>
    <row r="411" spans="1:12" ht="16.5" thickBot="1" x14ac:dyDescent="0.3">
      <c r="A411" s="1743"/>
      <c r="B411" s="1504"/>
      <c r="C411" s="1161"/>
      <c r="D411" s="203" t="s">
        <v>270</v>
      </c>
      <c r="E411" s="106"/>
      <c r="F411" s="197"/>
      <c r="G411" s="197"/>
      <c r="H411" s="197"/>
      <c r="I411" s="253">
        <f>(I410*100)/I408</f>
        <v>19.642857142857142</v>
      </c>
      <c r="J411" s="253">
        <f>(J410*100)/J408</f>
        <v>24.752475247524753</v>
      </c>
      <c r="K411" s="253">
        <f>K410/K408*100</f>
        <v>29.357798165137616</v>
      </c>
      <c r="L411" s="22"/>
    </row>
    <row r="412" spans="1:12" ht="14.85" customHeight="1" x14ac:dyDescent="0.25">
      <c r="A412" s="1743"/>
      <c r="B412" s="1504"/>
      <c r="C412" s="1159" t="s">
        <v>468</v>
      </c>
      <c r="D412" s="248" t="s">
        <v>251</v>
      </c>
      <c r="E412" s="249"/>
      <c r="F412" s="250">
        <v>40</v>
      </c>
      <c r="G412" s="250">
        <v>48</v>
      </c>
      <c r="H412" s="250">
        <v>60</v>
      </c>
      <c r="I412" s="250">
        <v>52</v>
      </c>
      <c r="J412" s="250">
        <v>53</v>
      </c>
      <c r="K412" s="794">
        <v>45</v>
      </c>
      <c r="L412" s="20"/>
    </row>
    <row r="413" spans="1:12" x14ac:dyDescent="0.25">
      <c r="A413" s="1743"/>
      <c r="B413" s="1504"/>
      <c r="C413" s="1160"/>
      <c r="D413" s="28" t="s">
        <v>257</v>
      </c>
      <c r="E413" s="94"/>
      <c r="F413" s="80">
        <v>17</v>
      </c>
      <c r="G413" s="80">
        <v>21</v>
      </c>
      <c r="H413" s="80">
        <v>26</v>
      </c>
      <c r="I413" s="80">
        <v>23</v>
      </c>
      <c r="J413" s="80">
        <v>25</v>
      </c>
      <c r="K413" s="759">
        <v>23</v>
      </c>
      <c r="L413" s="21"/>
    </row>
    <row r="414" spans="1:12" x14ac:dyDescent="0.25">
      <c r="A414" s="1743"/>
      <c r="B414" s="1504"/>
      <c r="C414" s="1160"/>
      <c r="D414" s="28" t="s">
        <v>263</v>
      </c>
      <c r="E414" s="94"/>
      <c r="F414" s="80">
        <v>23</v>
      </c>
      <c r="G414" s="80">
        <v>27</v>
      </c>
      <c r="H414" s="80">
        <v>34</v>
      </c>
      <c r="I414" s="80">
        <v>29</v>
      </c>
      <c r="J414" s="80">
        <v>28</v>
      </c>
      <c r="K414" s="759">
        <v>22</v>
      </c>
      <c r="L414" s="21"/>
    </row>
    <row r="415" spans="1:12" ht="16.5" thickBot="1" x14ac:dyDescent="0.3">
      <c r="A415" s="1743"/>
      <c r="B415" s="1504"/>
      <c r="C415" s="1161"/>
      <c r="D415" s="203" t="s">
        <v>270</v>
      </c>
      <c r="E415" s="106"/>
      <c r="F415" s="252">
        <f>(F414*100)/F412</f>
        <v>57.5</v>
      </c>
      <c r="G415" s="252">
        <f t="shared" ref="G415:J415" si="34">(G414*100)/G412</f>
        <v>56.25</v>
      </c>
      <c r="H415" s="252">
        <f t="shared" si="34"/>
        <v>56.666666666666664</v>
      </c>
      <c r="I415" s="252">
        <f t="shared" si="34"/>
        <v>55.769230769230766</v>
      </c>
      <c r="J415" s="252">
        <f t="shared" si="34"/>
        <v>52.830188679245282</v>
      </c>
      <c r="K415" s="252">
        <f>K414/K412*100</f>
        <v>48.888888888888886</v>
      </c>
      <c r="L415" s="22"/>
    </row>
    <row r="416" spans="1:12" ht="14.85" customHeight="1" x14ac:dyDescent="0.25">
      <c r="A416" s="1743"/>
      <c r="B416" s="1504"/>
      <c r="C416" s="1159" t="s">
        <v>559</v>
      </c>
      <c r="D416" s="248" t="s">
        <v>251</v>
      </c>
      <c r="E416" s="249"/>
      <c r="F416" s="250">
        <v>150</v>
      </c>
      <c r="G416" s="250">
        <v>175</v>
      </c>
      <c r="H416" s="250">
        <v>240</v>
      </c>
      <c r="I416" s="250">
        <v>196</v>
      </c>
      <c r="J416" s="250">
        <v>186</v>
      </c>
      <c r="K416" s="794">
        <v>197</v>
      </c>
      <c r="L416" s="20"/>
    </row>
    <row r="417" spans="1:12" x14ac:dyDescent="0.25">
      <c r="A417" s="1743"/>
      <c r="B417" s="1504"/>
      <c r="C417" s="1160"/>
      <c r="D417" s="28" t="s">
        <v>257</v>
      </c>
      <c r="E417" s="94"/>
      <c r="F417" s="80">
        <v>147</v>
      </c>
      <c r="G417" s="80">
        <v>174</v>
      </c>
      <c r="H417" s="80">
        <v>233</v>
      </c>
      <c r="I417" s="80">
        <v>191</v>
      </c>
      <c r="J417" s="80">
        <v>176</v>
      </c>
      <c r="K417" s="759">
        <v>188</v>
      </c>
      <c r="L417" s="21"/>
    </row>
    <row r="418" spans="1:12" x14ac:dyDescent="0.25">
      <c r="A418" s="1743"/>
      <c r="B418" s="1504"/>
      <c r="C418" s="1160"/>
      <c r="D418" s="28" t="s">
        <v>263</v>
      </c>
      <c r="E418" s="94"/>
      <c r="F418" s="80">
        <v>3</v>
      </c>
      <c r="G418" s="80">
        <v>1</v>
      </c>
      <c r="H418" s="80">
        <v>7</v>
      </c>
      <c r="I418" s="80">
        <v>5</v>
      </c>
      <c r="J418" s="80">
        <v>10</v>
      </c>
      <c r="K418" s="759">
        <v>9</v>
      </c>
      <c r="L418" s="21"/>
    </row>
    <row r="419" spans="1:12" ht="16.5" thickBot="1" x14ac:dyDescent="0.3">
      <c r="A419" s="1743"/>
      <c r="B419" s="1504"/>
      <c r="C419" s="1161"/>
      <c r="D419" s="203" t="s">
        <v>270</v>
      </c>
      <c r="E419" s="106"/>
      <c r="F419" s="253">
        <f>(F418*100)/F416</f>
        <v>2</v>
      </c>
      <c r="G419" s="253">
        <f t="shared" ref="G419:J419" si="35">(G418*100)/G416</f>
        <v>0.5714285714285714</v>
      </c>
      <c r="H419" s="253">
        <f t="shared" si="35"/>
        <v>2.9166666666666665</v>
      </c>
      <c r="I419" s="253">
        <f t="shared" si="35"/>
        <v>2.5510204081632653</v>
      </c>
      <c r="J419" s="253">
        <f t="shared" si="35"/>
        <v>5.376344086021505</v>
      </c>
      <c r="K419" s="795">
        <f>K418/K416*100</f>
        <v>4.5685279187817258</v>
      </c>
      <c r="L419" s="22"/>
    </row>
    <row r="420" spans="1:12" ht="14.85" customHeight="1" x14ac:dyDescent="0.25">
      <c r="A420" s="1743"/>
      <c r="B420" s="1504"/>
      <c r="C420" s="1159" t="s">
        <v>522</v>
      </c>
      <c r="D420" s="248" t="s">
        <v>251</v>
      </c>
      <c r="E420" s="249"/>
      <c r="F420" s="250">
        <v>149</v>
      </c>
      <c r="G420" s="250">
        <v>106</v>
      </c>
      <c r="H420" s="250">
        <v>88</v>
      </c>
      <c r="I420" s="250">
        <v>84</v>
      </c>
      <c r="J420" s="250">
        <v>87</v>
      </c>
      <c r="K420" s="794">
        <v>86</v>
      </c>
      <c r="L420" s="20"/>
    </row>
    <row r="421" spans="1:12" x14ac:dyDescent="0.25">
      <c r="A421" s="1743"/>
      <c r="B421" s="1504"/>
      <c r="C421" s="1160"/>
      <c r="D421" s="28" t="s">
        <v>257</v>
      </c>
      <c r="E421" s="94"/>
      <c r="F421" s="80">
        <v>143</v>
      </c>
      <c r="G421" s="80">
        <v>101</v>
      </c>
      <c r="H421" s="80">
        <v>87</v>
      </c>
      <c r="I421" s="80">
        <v>82</v>
      </c>
      <c r="J421" s="80">
        <v>84</v>
      </c>
      <c r="K421" s="759">
        <v>83</v>
      </c>
      <c r="L421" s="21"/>
    </row>
    <row r="422" spans="1:12" x14ac:dyDescent="0.25">
      <c r="A422" s="1743"/>
      <c r="B422" s="1504"/>
      <c r="C422" s="1160"/>
      <c r="D422" s="28" t="s">
        <v>263</v>
      </c>
      <c r="E422" s="94"/>
      <c r="F422" s="80">
        <v>6</v>
      </c>
      <c r="G422" s="80">
        <v>5</v>
      </c>
      <c r="H422" s="80">
        <v>1</v>
      </c>
      <c r="I422" s="80">
        <v>2</v>
      </c>
      <c r="J422" s="80">
        <v>3</v>
      </c>
      <c r="K422" s="759">
        <v>3</v>
      </c>
      <c r="L422" s="21"/>
    </row>
    <row r="423" spans="1:12" ht="16.5" thickBot="1" x14ac:dyDescent="0.3">
      <c r="A423" s="1743"/>
      <c r="B423" s="1504"/>
      <c r="C423" s="1161"/>
      <c r="D423" s="203" t="s">
        <v>270</v>
      </c>
      <c r="E423" s="106"/>
      <c r="F423" s="253">
        <f>(F422*100)/F420</f>
        <v>4.026845637583893</v>
      </c>
      <c r="G423" s="253">
        <f t="shared" ref="G423:J423" si="36">(G422*100)/G420</f>
        <v>4.716981132075472</v>
      </c>
      <c r="H423" s="253">
        <f t="shared" si="36"/>
        <v>1.1363636363636365</v>
      </c>
      <c r="I423" s="253">
        <f t="shared" si="36"/>
        <v>2.3809523809523809</v>
      </c>
      <c r="J423" s="253">
        <f t="shared" si="36"/>
        <v>3.4482758620689653</v>
      </c>
      <c r="K423" s="253">
        <f>K422/K420*100</f>
        <v>3.4883720930232558</v>
      </c>
      <c r="L423" s="22"/>
    </row>
    <row r="424" spans="1:12" ht="14.85" customHeight="1" x14ac:dyDescent="0.25">
      <c r="A424" s="1743"/>
      <c r="B424" s="1504"/>
      <c r="C424" s="1159" t="s">
        <v>525</v>
      </c>
      <c r="D424" s="248" t="s">
        <v>251</v>
      </c>
      <c r="E424" s="249"/>
      <c r="F424" s="250">
        <v>88</v>
      </c>
      <c r="G424" s="250"/>
      <c r="H424" s="250">
        <v>29</v>
      </c>
      <c r="I424" s="250">
        <v>33</v>
      </c>
      <c r="J424" s="250"/>
      <c r="K424" s="794">
        <v>32</v>
      </c>
      <c r="L424" s="20"/>
    </row>
    <row r="425" spans="1:12" x14ac:dyDescent="0.25">
      <c r="A425" s="1743"/>
      <c r="B425" s="1504"/>
      <c r="C425" s="1160"/>
      <c r="D425" s="28" t="s">
        <v>257</v>
      </c>
      <c r="E425" s="94"/>
      <c r="F425" s="80">
        <v>86</v>
      </c>
      <c r="G425" s="80"/>
      <c r="H425" s="80">
        <v>28</v>
      </c>
      <c r="I425" s="80">
        <v>31</v>
      </c>
      <c r="J425" s="80"/>
      <c r="K425" s="759">
        <v>30</v>
      </c>
      <c r="L425" s="21"/>
    </row>
    <row r="426" spans="1:12" x14ac:dyDescent="0.25">
      <c r="A426" s="1743"/>
      <c r="B426" s="1504"/>
      <c r="C426" s="1160"/>
      <c r="D426" s="28" t="s">
        <v>263</v>
      </c>
      <c r="E426" s="94"/>
      <c r="F426" s="80">
        <v>2</v>
      </c>
      <c r="G426" s="80"/>
      <c r="H426" s="80">
        <v>1</v>
      </c>
      <c r="I426" s="80">
        <v>2</v>
      </c>
      <c r="J426" s="80"/>
      <c r="K426" s="759">
        <v>2</v>
      </c>
      <c r="L426" s="21"/>
    </row>
    <row r="427" spans="1:12" ht="15.95" customHeight="1" thickBot="1" x14ac:dyDescent="0.3">
      <c r="A427" s="1743"/>
      <c r="B427" s="1504"/>
      <c r="C427" s="1161"/>
      <c r="D427" s="203" t="s">
        <v>270</v>
      </c>
      <c r="E427" s="106"/>
      <c r="F427" s="253">
        <f t="shared" ref="F427:I427" si="37">(F426*100)/F424</f>
        <v>2.2727272727272729</v>
      </c>
      <c r="G427" s="197"/>
      <c r="H427" s="253">
        <f t="shared" si="37"/>
        <v>3.4482758620689653</v>
      </c>
      <c r="I427" s="253">
        <f t="shared" si="37"/>
        <v>6.0606060606060606</v>
      </c>
      <c r="J427" s="190"/>
      <c r="K427" s="795">
        <f>K426/K424*100</f>
        <v>6.25</v>
      </c>
      <c r="L427" s="22"/>
    </row>
    <row r="428" spans="1:12" ht="14.85" customHeight="1" x14ac:dyDescent="0.25">
      <c r="A428" s="1743"/>
      <c r="B428" s="1504"/>
      <c r="C428" s="1159" t="s">
        <v>564</v>
      </c>
      <c r="D428" s="248" t="s">
        <v>251</v>
      </c>
      <c r="E428" s="249"/>
      <c r="F428" s="344">
        <v>37</v>
      </c>
      <c r="G428" s="250">
        <v>45</v>
      </c>
      <c r="H428" s="250">
        <v>44</v>
      </c>
      <c r="I428" s="250">
        <v>38</v>
      </c>
      <c r="J428" s="250">
        <v>34</v>
      </c>
      <c r="K428" s="794">
        <v>36</v>
      </c>
      <c r="L428" s="20"/>
    </row>
    <row r="429" spans="1:12" x14ac:dyDescent="0.25">
      <c r="A429" s="1743"/>
      <c r="B429" s="1504"/>
      <c r="C429" s="1160"/>
      <c r="D429" s="28" t="s">
        <v>257</v>
      </c>
      <c r="E429" s="94"/>
      <c r="F429" s="181">
        <v>36</v>
      </c>
      <c r="G429" s="80">
        <v>40</v>
      </c>
      <c r="H429" s="80">
        <v>33</v>
      </c>
      <c r="I429" s="80">
        <v>31</v>
      </c>
      <c r="J429" s="80">
        <v>26</v>
      </c>
      <c r="K429" s="759">
        <v>26</v>
      </c>
      <c r="L429" s="21"/>
    </row>
    <row r="430" spans="1:12" x14ac:dyDescent="0.25">
      <c r="A430" s="1743"/>
      <c r="B430" s="1504"/>
      <c r="C430" s="1160"/>
      <c r="D430" s="28" t="s">
        <v>263</v>
      </c>
      <c r="E430" s="94"/>
      <c r="F430" s="181">
        <v>1</v>
      </c>
      <c r="G430" s="80">
        <v>5</v>
      </c>
      <c r="H430" s="80">
        <v>11</v>
      </c>
      <c r="I430" s="80">
        <v>7</v>
      </c>
      <c r="J430" s="80">
        <v>8</v>
      </c>
      <c r="K430" s="759">
        <v>10</v>
      </c>
      <c r="L430" s="21"/>
    </row>
    <row r="431" spans="1:12" ht="15.95" customHeight="1" thickBot="1" x14ac:dyDescent="0.3">
      <c r="A431" s="1743"/>
      <c r="B431" s="1504"/>
      <c r="C431" s="1161"/>
      <c r="D431" s="203" t="s">
        <v>270</v>
      </c>
      <c r="E431" s="106"/>
      <c r="F431" s="253">
        <f t="shared" ref="F431:J431" si="38">(F430*100)/F428</f>
        <v>2.7027027027027026</v>
      </c>
      <c r="G431" s="253">
        <f t="shared" si="38"/>
        <v>11.111111111111111</v>
      </c>
      <c r="H431" s="253">
        <f t="shared" si="38"/>
        <v>25</v>
      </c>
      <c r="I431" s="253">
        <f t="shared" si="38"/>
        <v>18.421052631578949</v>
      </c>
      <c r="J431" s="253">
        <f t="shared" si="38"/>
        <v>23.529411764705884</v>
      </c>
      <c r="K431" s="795">
        <f>K430/K428*100</f>
        <v>27.777777777777779</v>
      </c>
      <c r="L431" s="22"/>
    </row>
    <row r="432" spans="1:12" ht="14.85" customHeight="1" x14ac:dyDescent="0.25">
      <c r="A432" s="1743"/>
      <c r="B432" s="1504"/>
      <c r="C432" s="1159" t="s">
        <v>565</v>
      </c>
      <c r="D432" s="797" t="s">
        <v>251</v>
      </c>
      <c r="E432" s="798"/>
      <c r="F432" s="225"/>
      <c r="G432" s="225"/>
      <c r="H432" s="225"/>
      <c r="I432" s="28">
        <v>40</v>
      </c>
      <c r="J432" s="28">
        <v>35</v>
      </c>
      <c r="K432" s="28">
        <v>37</v>
      </c>
      <c r="L432" s="20"/>
    </row>
    <row r="433" spans="1:14" x14ac:dyDescent="0.25">
      <c r="A433" s="1743"/>
      <c r="B433" s="1504"/>
      <c r="C433" s="1160"/>
      <c r="D433" s="280" t="s">
        <v>257</v>
      </c>
      <c r="E433" s="799"/>
      <c r="F433" s="96"/>
      <c r="G433" s="96"/>
      <c r="H433" s="96"/>
      <c r="I433" s="28">
        <v>26</v>
      </c>
      <c r="J433" s="28">
        <v>21</v>
      </c>
      <c r="K433" s="28">
        <v>24</v>
      </c>
      <c r="L433" s="21"/>
    </row>
    <row r="434" spans="1:14" x14ac:dyDescent="0.25">
      <c r="A434" s="1743"/>
      <c r="B434" s="1504"/>
      <c r="C434" s="1160"/>
      <c r="D434" s="280" t="s">
        <v>263</v>
      </c>
      <c r="E434" s="799"/>
      <c r="F434" s="96"/>
      <c r="G434" s="96"/>
      <c r="H434" s="96"/>
      <c r="I434" s="28">
        <v>14</v>
      </c>
      <c r="J434" s="28">
        <v>14</v>
      </c>
      <c r="K434" s="28">
        <v>13</v>
      </c>
      <c r="L434" s="21"/>
    </row>
    <row r="435" spans="1:14" ht="16.5" thickBot="1" x14ac:dyDescent="0.3">
      <c r="A435" s="1743"/>
      <c r="B435" s="1504"/>
      <c r="C435" s="1161"/>
      <c r="D435" s="357" t="s">
        <v>270</v>
      </c>
      <c r="E435" s="800"/>
      <c r="F435" s="197"/>
      <c r="G435" s="197"/>
      <c r="H435" s="197"/>
      <c r="I435" s="766">
        <f>I434/I432*100</f>
        <v>35</v>
      </c>
      <c r="J435" s="252">
        <f>J434/J432*100</f>
        <v>40</v>
      </c>
      <c r="K435" s="766">
        <f>K434/K432*100</f>
        <v>35.135135135135137</v>
      </c>
      <c r="L435" s="22"/>
      <c r="N435" s="782"/>
    </row>
    <row r="436" spans="1:14" ht="14.85" customHeight="1" x14ac:dyDescent="0.25">
      <c r="A436" s="1743"/>
      <c r="B436" s="1504"/>
      <c r="C436" s="1159" t="s">
        <v>530</v>
      </c>
      <c r="D436" s="248" t="s">
        <v>251</v>
      </c>
      <c r="E436" s="249"/>
      <c r="F436" s="225"/>
      <c r="G436" s="225"/>
      <c r="H436" s="225"/>
      <c r="I436" s="225"/>
      <c r="J436" s="225">
        <v>43</v>
      </c>
      <c r="K436" s="794">
        <v>55</v>
      </c>
      <c r="L436" s="20"/>
    </row>
    <row r="437" spans="1:14" x14ac:dyDescent="0.25">
      <c r="A437" s="1743"/>
      <c r="B437" s="1504"/>
      <c r="C437" s="1160"/>
      <c r="D437" s="28" t="s">
        <v>257</v>
      </c>
      <c r="E437" s="94"/>
      <c r="F437" s="96"/>
      <c r="G437" s="96"/>
      <c r="H437" s="96"/>
      <c r="I437" s="96"/>
      <c r="J437" s="96">
        <v>24</v>
      </c>
      <c r="K437" s="759">
        <v>23</v>
      </c>
      <c r="L437" s="21"/>
    </row>
    <row r="438" spans="1:14" x14ac:dyDescent="0.25">
      <c r="A438" s="1743"/>
      <c r="B438" s="1504"/>
      <c r="C438" s="1160"/>
      <c r="D438" s="28" t="s">
        <v>263</v>
      </c>
      <c r="E438" s="94"/>
      <c r="F438" s="96"/>
      <c r="G438" s="96"/>
      <c r="H438" s="96"/>
      <c r="I438" s="96"/>
      <c r="J438" s="96">
        <v>19</v>
      </c>
      <c r="K438" s="759">
        <v>32</v>
      </c>
      <c r="L438" s="21"/>
    </row>
    <row r="439" spans="1:14" ht="16.5" thickBot="1" x14ac:dyDescent="0.3">
      <c r="A439" s="1743"/>
      <c r="B439" s="1504"/>
      <c r="C439" s="1161"/>
      <c r="D439" s="203" t="s">
        <v>270</v>
      </c>
      <c r="E439" s="106"/>
      <c r="F439" s="197"/>
      <c r="G439" s="197"/>
      <c r="H439" s="197"/>
      <c r="I439" s="34"/>
      <c r="J439" s="252">
        <f>(J438*100)/J436</f>
        <v>44.186046511627907</v>
      </c>
      <c r="K439" s="252">
        <f>K438/K436*100</f>
        <v>58.18181818181818</v>
      </c>
      <c r="L439" s="22"/>
    </row>
    <row r="440" spans="1:14" ht="15.6" customHeight="1" x14ac:dyDescent="0.25">
      <c r="A440" s="1743"/>
      <c r="B440" s="1504"/>
      <c r="C440" s="1166" t="s">
        <v>472</v>
      </c>
      <c r="D440" s="308" t="s">
        <v>473</v>
      </c>
      <c r="E440" s="249"/>
      <c r="F440" s="261">
        <f>8/11*100</f>
        <v>72.727272727272734</v>
      </c>
      <c r="G440" s="261">
        <f>7/10*100</f>
        <v>70</v>
      </c>
      <c r="H440" s="261">
        <f>8/11*100</f>
        <v>72.727272727272734</v>
      </c>
      <c r="I440" s="261">
        <f>11/15*100</f>
        <v>73.333333333333329</v>
      </c>
      <c r="J440" s="261">
        <f>9/15*100</f>
        <v>60</v>
      </c>
      <c r="K440" s="261">
        <f>10/16*100</f>
        <v>62.5</v>
      </c>
      <c r="L440" s="20"/>
    </row>
    <row r="441" spans="1:14" ht="16.5" customHeight="1" x14ac:dyDescent="0.25">
      <c r="A441" s="1743"/>
      <c r="B441" s="1504"/>
      <c r="C441" s="1167"/>
      <c r="D441" s="232" t="s">
        <v>474</v>
      </c>
      <c r="E441" s="94"/>
      <c r="F441" s="234">
        <f>1/11*100</f>
        <v>9.0909090909090917</v>
      </c>
      <c r="G441" s="234">
        <v>0</v>
      </c>
      <c r="H441" s="234">
        <f>1/11*100</f>
        <v>9.0909090909090917</v>
      </c>
      <c r="I441" s="234">
        <f>1/15*100</f>
        <v>6.666666666666667</v>
      </c>
      <c r="J441" s="234">
        <f>1/15*100</f>
        <v>6.666666666666667</v>
      </c>
      <c r="K441" s="234">
        <f>1/16*100</f>
        <v>6.25</v>
      </c>
      <c r="L441" s="21"/>
      <c r="N441" s="782"/>
    </row>
    <row r="442" spans="1:14" ht="16.5" thickBot="1" x14ac:dyDescent="0.3">
      <c r="A442" s="1743"/>
      <c r="B442" s="1504"/>
      <c r="C442" s="1255"/>
      <c r="D442" s="311" t="s">
        <v>475</v>
      </c>
      <c r="E442" s="104"/>
      <c r="F442" s="312">
        <f>2/11*100</f>
        <v>18.181818181818183</v>
      </c>
      <c r="G442" s="312">
        <f>3/10*100</f>
        <v>30</v>
      </c>
      <c r="H442" s="312">
        <f>2/11*100</f>
        <v>18.181818181818183</v>
      </c>
      <c r="I442" s="312">
        <f>3/15*100</f>
        <v>20</v>
      </c>
      <c r="J442" s="312">
        <f>5/15*100</f>
        <v>33.333333333333329</v>
      </c>
      <c r="K442" s="312">
        <f>5/16*100</f>
        <v>31.25</v>
      </c>
      <c r="L442" s="22"/>
    </row>
    <row r="443" spans="1:14" ht="16.5" thickBot="1" x14ac:dyDescent="0.3">
      <c r="A443" s="1699"/>
      <c r="B443" s="740" t="s">
        <v>249</v>
      </c>
      <c r="C443" s="1619"/>
      <c r="D443" s="1620"/>
      <c r="E443" s="622" t="s">
        <v>442</v>
      </c>
      <c r="F443" s="622" t="s">
        <v>443</v>
      </c>
      <c r="G443" s="622" t="s">
        <v>444</v>
      </c>
      <c r="H443" s="622" t="s">
        <v>445</v>
      </c>
      <c r="I443" s="622" t="s">
        <v>446</v>
      </c>
      <c r="J443" s="622" t="s">
        <v>447</v>
      </c>
      <c r="K443" s="622" t="s">
        <v>448</v>
      </c>
      <c r="L443" s="473" t="s">
        <v>449</v>
      </c>
    </row>
    <row r="444" spans="1:14" ht="15" customHeight="1" x14ac:dyDescent="0.25">
      <c r="A444" s="1699"/>
      <c r="B444" s="1150" t="s">
        <v>476</v>
      </c>
      <c r="C444" s="1109" t="s">
        <v>459</v>
      </c>
      <c r="D444" s="1110"/>
      <c r="E444" s="28"/>
      <c r="F444" s="157">
        <v>3038</v>
      </c>
      <c r="G444" s="157">
        <v>3278</v>
      </c>
      <c r="H444" s="157">
        <v>5040</v>
      </c>
      <c r="I444" s="157">
        <v>4949</v>
      </c>
      <c r="J444" s="157">
        <v>4840</v>
      </c>
      <c r="K444" s="157">
        <v>5045</v>
      </c>
      <c r="L444" s="21"/>
    </row>
    <row r="445" spans="1:14" x14ac:dyDescent="0.25">
      <c r="A445" s="1699"/>
      <c r="B445" s="1151"/>
      <c r="C445" s="1123" t="s">
        <v>436</v>
      </c>
      <c r="D445" s="1124"/>
      <c r="E445" s="96"/>
      <c r="F445" s="96">
        <v>1758</v>
      </c>
      <c r="G445" s="96">
        <v>2017</v>
      </c>
      <c r="H445" s="96">
        <v>2907</v>
      </c>
      <c r="I445" s="96">
        <v>2855</v>
      </c>
      <c r="J445" s="96">
        <v>2766</v>
      </c>
      <c r="K445" s="1077">
        <v>2859</v>
      </c>
      <c r="L445" s="21"/>
    </row>
    <row r="446" spans="1:14" x14ac:dyDescent="0.25">
      <c r="A446" s="1699"/>
      <c r="B446" s="1151"/>
      <c r="C446" s="1123" t="s">
        <v>437</v>
      </c>
      <c r="D446" s="1124"/>
      <c r="E446" s="96"/>
      <c r="F446" s="96">
        <v>1280</v>
      </c>
      <c r="G446" s="96">
        <v>1261</v>
      </c>
      <c r="H446" s="96">
        <v>2133</v>
      </c>
      <c r="I446" s="96">
        <v>2094</v>
      </c>
      <c r="J446" s="96">
        <v>2074</v>
      </c>
      <c r="K446" s="1077">
        <v>2186</v>
      </c>
      <c r="L446" s="21"/>
    </row>
    <row r="447" spans="1:14" ht="16.5" thickBot="1" x14ac:dyDescent="0.3">
      <c r="A447" s="1699"/>
      <c r="B447" s="1151"/>
      <c r="C447" s="1170" t="s">
        <v>270</v>
      </c>
      <c r="D447" s="1155"/>
      <c r="E447" s="190"/>
      <c r="F447" s="285">
        <f t="shared" ref="F447:H447" si="39">F446/F444*100</f>
        <v>42.132982225148126</v>
      </c>
      <c r="G447" s="285">
        <f t="shared" si="39"/>
        <v>38.468578401464306</v>
      </c>
      <c r="H447" s="285">
        <f t="shared" si="39"/>
        <v>42.321428571428569</v>
      </c>
      <c r="I447" s="285">
        <f>I446/I444*100</f>
        <v>42.311578096585166</v>
      </c>
      <c r="J447" s="285">
        <f t="shared" ref="J447:K447" si="40">J446/J444*100</f>
        <v>42.851239669421489</v>
      </c>
      <c r="K447" s="285">
        <f t="shared" si="40"/>
        <v>43.330029732408327</v>
      </c>
      <c r="L447" s="22"/>
    </row>
    <row r="448" spans="1:14" ht="14.85" customHeight="1" x14ac:dyDescent="0.25">
      <c r="A448" s="1699"/>
      <c r="B448" s="1151"/>
      <c r="C448" s="1159" t="s">
        <v>523</v>
      </c>
      <c r="D448" s="248" t="s">
        <v>251</v>
      </c>
      <c r="E448" s="249"/>
      <c r="F448" s="250">
        <v>263</v>
      </c>
      <c r="G448" s="250">
        <v>269</v>
      </c>
      <c r="H448" s="250">
        <v>394</v>
      </c>
      <c r="I448" s="250">
        <v>394</v>
      </c>
      <c r="J448" s="250">
        <v>336</v>
      </c>
      <c r="K448" s="36">
        <v>407</v>
      </c>
      <c r="L448" s="20"/>
    </row>
    <row r="449" spans="1:12" x14ac:dyDescent="0.25">
      <c r="A449" s="1699"/>
      <c r="B449" s="1151"/>
      <c r="C449" s="1160"/>
      <c r="D449" s="28" t="s">
        <v>257</v>
      </c>
      <c r="E449" s="94"/>
      <c r="F449" s="80">
        <v>105</v>
      </c>
      <c r="G449" s="80">
        <v>137</v>
      </c>
      <c r="H449" s="80">
        <v>201</v>
      </c>
      <c r="I449" s="80">
        <v>201</v>
      </c>
      <c r="J449" s="80">
        <v>163</v>
      </c>
      <c r="K449" s="28">
        <v>196</v>
      </c>
      <c r="L449" s="21"/>
    </row>
    <row r="450" spans="1:12" x14ac:dyDescent="0.25">
      <c r="A450" s="1699"/>
      <c r="B450" s="1151"/>
      <c r="C450" s="1160"/>
      <c r="D450" s="28" t="s">
        <v>263</v>
      </c>
      <c r="E450" s="94"/>
      <c r="F450" s="80">
        <v>158</v>
      </c>
      <c r="G450" s="80">
        <v>132</v>
      </c>
      <c r="H450" s="80">
        <v>193</v>
      </c>
      <c r="I450" s="80">
        <v>193</v>
      </c>
      <c r="J450" s="80">
        <v>173</v>
      </c>
      <c r="K450" s="28">
        <v>211</v>
      </c>
      <c r="L450" s="21"/>
    </row>
    <row r="451" spans="1:12" ht="16.5" thickBot="1" x14ac:dyDescent="0.3">
      <c r="A451" s="1699"/>
      <c r="B451" s="1151"/>
      <c r="C451" s="1161"/>
      <c r="D451" s="203" t="s">
        <v>270</v>
      </c>
      <c r="E451" s="104"/>
      <c r="F451" s="251">
        <f>(F450*100)/F448</f>
        <v>60.076045627376423</v>
      </c>
      <c r="G451" s="252">
        <f t="shared" ref="G451:K451" si="41">(G450*100)/G448</f>
        <v>49.070631970260223</v>
      </c>
      <c r="H451" s="252">
        <f t="shared" si="41"/>
        <v>48.984771573604064</v>
      </c>
      <c r="I451" s="252">
        <f t="shared" si="41"/>
        <v>48.984771573604064</v>
      </c>
      <c r="J451" s="252">
        <f t="shared" si="41"/>
        <v>51.488095238095241</v>
      </c>
      <c r="K451" s="252">
        <f t="shared" si="41"/>
        <v>51.842751842751845</v>
      </c>
      <c r="L451" s="22"/>
    </row>
    <row r="452" spans="1:12" ht="14.85" customHeight="1" x14ac:dyDescent="0.25">
      <c r="A452" s="1699"/>
      <c r="B452" s="1151"/>
      <c r="C452" s="1159" t="s">
        <v>465</v>
      </c>
      <c r="D452" s="248" t="s">
        <v>251</v>
      </c>
      <c r="E452" s="249"/>
      <c r="F452" s="250">
        <v>563</v>
      </c>
      <c r="G452" s="250">
        <v>196</v>
      </c>
      <c r="H452" s="250">
        <v>311</v>
      </c>
      <c r="I452" s="250">
        <v>311</v>
      </c>
      <c r="J452" s="250">
        <v>360</v>
      </c>
      <c r="K452" s="36">
        <v>350</v>
      </c>
      <c r="L452" s="20"/>
    </row>
    <row r="453" spans="1:12" x14ac:dyDescent="0.25">
      <c r="A453" s="1699"/>
      <c r="B453" s="1151"/>
      <c r="C453" s="1160"/>
      <c r="D453" s="28" t="s">
        <v>257</v>
      </c>
      <c r="E453" s="94"/>
      <c r="F453" s="80">
        <v>216</v>
      </c>
      <c r="G453" s="80">
        <v>69</v>
      </c>
      <c r="H453" s="80">
        <v>99</v>
      </c>
      <c r="I453" s="80">
        <v>99</v>
      </c>
      <c r="J453" s="80">
        <v>121</v>
      </c>
      <c r="K453" s="28">
        <v>104</v>
      </c>
      <c r="L453" s="21"/>
    </row>
    <row r="454" spans="1:12" x14ac:dyDescent="0.25">
      <c r="A454" s="1699"/>
      <c r="B454" s="1151"/>
      <c r="C454" s="1160"/>
      <c r="D454" s="28" t="s">
        <v>263</v>
      </c>
      <c r="E454" s="94"/>
      <c r="F454" s="80">
        <v>347</v>
      </c>
      <c r="G454" s="80">
        <v>127</v>
      </c>
      <c r="H454" s="80">
        <v>212</v>
      </c>
      <c r="I454" s="80">
        <v>212</v>
      </c>
      <c r="J454" s="80">
        <v>239</v>
      </c>
      <c r="K454" s="28">
        <v>246</v>
      </c>
      <c r="L454" s="21"/>
    </row>
    <row r="455" spans="1:12" ht="16.5" thickBot="1" x14ac:dyDescent="0.3">
      <c r="A455" s="1699"/>
      <c r="B455" s="1151"/>
      <c r="C455" s="1161"/>
      <c r="D455" s="203" t="s">
        <v>270</v>
      </c>
      <c r="E455" s="104"/>
      <c r="F455" s="251">
        <f>(F454*100)/F452</f>
        <v>61.634103019538188</v>
      </c>
      <c r="G455" s="251">
        <f t="shared" ref="G455:K455" si="42">(G454*100)/G452</f>
        <v>64.795918367346943</v>
      </c>
      <c r="H455" s="251">
        <f t="shared" si="42"/>
        <v>68.167202572347264</v>
      </c>
      <c r="I455" s="251">
        <f t="shared" si="42"/>
        <v>68.167202572347264</v>
      </c>
      <c r="J455" s="251">
        <f t="shared" si="42"/>
        <v>66.388888888888886</v>
      </c>
      <c r="K455" s="251">
        <f t="shared" si="42"/>
        <v>70.285714285714292</v>
      </c>
      <c r="L455" s="22"/>
    </row>
    <row r="456" spans="1:12" ht="14.85" customHeight="1" x14ac:dyDescent="0.25">
      <c r="A456" s="1699"/>
      <c r="B456" s="1151"/>
      <c r="C456" s="1159" t="s">
        <v>524</v>
      </c>
      <c r="D456" s="248" t="s">
        <v>251</v>
      </c>
      <c r="E456" s="249"/>
      <c r="F456" s="250">
        <v>263</v>
      </c>
      <c r="G456" s="250">
        <v>311</v>
      </c>
      <c r="H456" s="250">
        <v>579</v>
      </c>
      <c r="I456" s="250">
        <v>579</v>
      </c>
      <c r="J456" s="250">
        <v>570</v>
      </c>
      <c r="K456" s="36">
        <v>810</v>
      </c>
      <c r="L456" s="20"/>
    </row>
    <row r="457" spans="1:12" x14ac:dyDescent="0.25">
      <c r="A457" s="1699"/>
      <c r="B457" s="1151"/>
      <c r="C457" s="1160"/>
      <c r="D457" s="28" t="s">
        <v>257</v>
      </c>
      <c r="E457" s="94"/>
      <c r="F457" s="80">
        <v>105</v>
      </c>
      <c r="G457" s="80">
        <v>263</v>
      </c>
      <c r="H457" s="80">
        <v>498</v>
      </c>
      <c r="I457" s="80">
        <v>498</v>
      </c>
      <c r="J457" s="80">
        <v>497</v>
      </c>
      <c r="K457" s="28">
        <v>689</v>
      </c>
      <c r="L457" s="21"/>
    </row>
    <row r="458" spans="1:12" x14ac:dyDescent="0.25">
      <c r="A458" s="1699"/>
      <c r="B458" s="1151"/>
      <c r="C458" s="1160"/>
      <c r="D458" s="28" t="s">
        <v>263</v>
      </c>
      <c r="E458" s="94"/>
      <c r="F458" s="80">
        <v>158</v>
      </c>
      <c r="G458" s="80">
        <v>48</v>
      </c>
      <c r="H458" s="80">
        <v>81</v>
      </c>
      <c r="I458" s="80">
        <v>81</v>
      </c>
      <c r="J458" s="80">
        <v>73</v>
      </c>
      <c r="K458" s="28">
        <v>121</v>
      </c>
      <c r="L458" s="21"/>
    </row>
    <row r="459" spans="1:12" ht="16.5" thickBot="1" x14ac:dyDescent="0.3">
      <c r="A459" s="1699"/>
      <c r="B459" s="1151"/>
      <c r="C459" s="1161"/>
      <c r="D459" s="203" t="s">
        <v>270</v>
      </c>
      <c r="E459" s="104"/>
      <c r="F459" s="251">
        <f>(F458*100)/F456</f>
        <v>60.076045627376423</v>
      </c>
      <c r="G459" s="253">
        <f t="shared" ref="G459:K459" si="43">(G458*100)/G456</f>
        <v>15.434083601286174</v>
      </c>
      <c r="H459" s="253">
        <f t="shared" si="43"/>
        <v>13.989637305699482</v>
      </c>
      <c r="I459" s="253">
        <f t="shared" si="43"/>
        <v>13.989637305699482</v>
      </c>
      <c r="J459" s="253">
        <f t="shared" si="43"/>
        <v>12.807017543859649</v>
      </c>
      <c r="K459" s="253">
        <f t="shared" si="43"/>
        <v>14.938271604938272</v>
      </c>
      <c r="L459" s="22"/>
    </row>
    <row r="460" spans="1:12" ht="14.85" customHeight="1" x14ac:dyDescent="0.25">
      <c r="A460" s="1699"/>
      <c r="B460" s="1151"/>
      <c r="C460" s="1159" t="s">
        <v>556</v>
      </c>
      <c r="D460" s="248" t="s">
        <v>251</v>
      </c>
      <c r="E460" s="249"/>
      <c r="F460" s="250"/>
      <c r="G460" s="250"/>
      <c r="H460" s="250">
        <v>80</v>
      </c>
      <c r="I460" s="250">
        <v>80</v>
      </c>
      <c r="J460" s="250">
        <v>70</v>
      </c>
      <c r="K460" s="36">
        <v>73</v>
      </c>
      <c r="L460" s="20"/>
    </row>
    <row r="461" spans="1:12" x14ac:dyDescent="0.25">
      <c r="A461" s="1699"/>
      <c r="B461" s="1151"/>
      <c r="C461" s="1160"/>
      <c r="D461" s="28" t="s">
        <v>257</v>
      </c>
      <c r="E461" s="94"/>
      <c r="F461" s="80"/>
      <c r="G461" s="80"/>
      <c r="H461" s="80">
        <v>7</v>
      </c>
      <c r="I461" s="80">
        <v>7</v>
      </c>
      <c r="J461" s="80">
        <v>2</v>
      </c>
      <c r="K461" s="28">
        <v>8</v>
      </c>
      <c r="L461" s="21"/>
    </row>
    <row r="462" spans="1:12" x14ac:dyDescent="0.25">
      <c r="A462" s="1699"/>
      <c r="B462" s="1151"/>
      <c r="C462" s="1160"/>
      <c r="D462" s="28" t="s">
        <v>263</v>
      </c>
      <c r="E462" s="94"/>
      <c r="F462" s="80"/>
      <c r="G462" s="80"/>
      <c r="H462" s="80">
        <v>73</v>
      </c>
      <c r="I462" s="80">
        <v>73</v>
      </c>
      <c r="J462" s="80">
        <v>68</v>
      </c>
      <c r="K462" s="28">
        <v>65</v>
      </c>
      <c r="L462" s="21"/>
    </row>
    <row r="463" spans="1:12" ht="16.5" thickBot="1" x14ac:dyDescent="0.3">
      <c r="A463" s="1699"/>
      <c r="B463" s="1151"/>
      <c r="C463" s="1161"/>
      <c r="D463" s="203" t="s">
        <v>270</v>
      </c>
      <c r="E463" s="104"/>
      <c r="F463" s="190"/>
      <c r="G463" s="197"/>
      <c r="H463" s="251">
        <f>(H462*100)/H460</f>
        <v>91.25</v>
      </c>
      <c r="I463" s="251">
        <f>(I462*100)/I460</f>
        <v>91.25</v>
      </c>
      <c r="J463" s="251">
        <f>(J462*100)/J460</f>
        <v>97.142857142857139</v>
      </c>
      <c r="K463" s="251">
        <f>(K462*100)/K460</f>
        <v>89.041095890410958</v>
      </c>
      <c r="L463" s="22"/>
    </row>
    <row r="464" spans="1:12" ht="14.85" customHeight="1" x14ac:dyDescent="0.25">
      <c r="A464" s="1699"/>
      <c r="B464" s="1151"/>
      <c r="C464" s="1159" t="s">
        <v>526</v>
      </c>
      <c r="D464" s="248" t="s">
        <v>251</v>
      </c>
      <c r="E464" s="249"/>
      <c r="F464" s="344">
        <v>49</v>
      </c>
      <c r="G464" s="250">
        <v>50</v>
      </c>
      <c r="H464" s="250"/>
      <c r="I464" s="250"/>
      <c r="J464" s="250">
        <v>109</v>
      </c>
      <c r="K464" s="36">
        <v>107</v>
      </c>
      <c r="L464" s="20"/>
    </row>
    <row r="465" spans="1:16" x14ac:dyDescent="0.25">
      <c r="A465" s="1699"/>
      <c r="B465" s="1151"/>
      <c r="C465" s="1160"/>
      <c r="D465" s="28" t="s">
        <v>257</v>
      </c>
      <c r="E465" s="94"/>
      <c r="F465" s="181">
        <v>20</v>
      </c>
      <c r="G465" s="80">
        <v>28</v>
      </c>
      <c r="H465" s="80"/>
      <c r="I465" s="80"/>
      <c r="J465" s="80">
        <v>51</v>
      </c>
      <c r="K465" s="28">
        <v>47</v>
      </c>
      <c r="L465" s="21"/>
    </row>
    <row r="466" spans="1:16" x14ac:dyDescent="0.25">
      <c r="A466" s="1699"/>
      <c r="B466" s="1151"/>
      <c r="C466" s="1160"/>
      <c r="D466" s="28" t="s">
        <v>263</v>
      </c>
      <c r="E466" s="94"/>
      <c r="F466" s="181">
        <v>29</v>
      </c>
      <c r="G466" s="80">
        <v>22</v>
      </c>
      <c r="H466" s="80"/>
      <c r="I466" s="80"/>
      <c r="J466" s="80">
        <v>58</v>
      </c>
      <c r="K466" s="28">
        <v>60</v>
      </c>
      <c r="L466" s="21"/>
    </row>
    <row r="467" spans="1:16" ht="16.5" thickBot="1" x14ac:dyDescent="0.3">
      <c r="A467" s="1699"/>
      <c r="B467" s="1151"/>
      <c r="C467" s="1161"/>
      <c r="D467" s="203" t="s">
        <v>270</v>
      </c>
      <c r="E467" s="104"/>
      <c r="F467" s="252">
        <f>(F466*100)/F464</f>
        <v>59.183673469387756</v>
      </c>
      <c r="G467" s="252">
        <f t="shared" ref="G467:K467" si="44">(G466*100)/G464</f>
        <v>44</v>
      </c>
      <c r="H467" s="197"/>
      <c r="I467" s="197"/>
      <c r="J467" s="252">
        <f t="shared" si="44"/>
        <v>53.211009174311926</v>
      </c>
      <c r="K467" s="252">
        <f t="shared" si="44"/>
        <v>56.074766355140184</v>
      </c>
      <c r="L467" s="22"/>
    </row>
    <row r="468" spans="1:16" ht="14.85" customHeight="1" x14ac:dyDescent="0.25">
      <c r="A468" s="1699"/>
      <c r="B468" s="1151"/>
      <c r="C468" s="1159" t="s">
        <v>525</v>
      </c>
      <c r="D468" s="248" t="s">
        <v>251</v>
      </c>
      <c r="E468" s="249"/>
      <c r="F468" s="250">
        <v>146</v>
      </c>
      <c r="G468" s="250">
        <v>130</v>
      </c>
      <c r="H468" s="250">
        <v>148</v>
      </c>
      <c r="I468" s="250">
        <v>148</v>
      </c>
      <c r="J468" s="250">
        <v>114</v>
      </c>
      <c r="K468" s="36">
        <v>102</v>
      </c>
      <c r="L468" s="20"/>
    </row>
    <row r="469" spans="1:16" x14ac:dyDescent="0.25">
      <c r="A469" s="1699"/>
      <c r="B469" s="1151"/>
      <c r="C469" s="1160"/>
      <c r="D469" s="28" t="s">
        <v>257</v>
      </c>
      <c r="E469" s="94"/>
      <c r="F469" s="80">
        <v>112</v>
      </c>
      <c r="G469" s="80">
        <v>93</v>
      </c>
      <c r="H469" s="80">
        <v>102</v>
      </c>
      <c r="I469" s="80">
        <v>102</v>
      </c>
      <c r="J469" s="80">
        <v>87</v>
      </c>
      <c r="K469" s="28">
        <v>73</v>
      </c>
      <c r="L469" s="21"/>
      <c r="P469" s="782"/>
    </row>
    <row r="470" spans="1:16" x14ac:dyDescent="0.25">
      <c r="A470" s="1699"/>
      <c r="B470" s="1151"/>
      <c r="C470" s="1160"/>
      <c r="D470" s="28" t="s">
        <v>263</v>
      </c>
      <c r="E470" s="94"/>
      <c r="F470" s="80">
        <v>34</v>
      </c>
      <c r="G470" s="80">
        <v>37</v>
      </c>
      <c r="H470" s="80">
        <v>46</v>
      </c>
      <c r="I470" s="80">
        <v>46</v>
      </c>
      <c r="J470" s="80">
        <v>27</v>
      </c>
      <c r="K470" s="28">
        <v>29</v>
      </c>
      <c r="L470" s="21"/>
    </row>
    <row r="471" spans="1:16" ht="16.5" thickBot="1" x14ac:dyDescent="0.3">
      <c r="A471" s="1699"/>
      <c r="B471" s="1151"/>
      <c r="C471" s="1161"/>
      <c r="D471" s="203" t="s">
        <v>270</v>
      </c>
      <c r="E471" s="104"/>
      <c r="F471" s="253">
        <f>(F470*100)/F468</f>
        <v>23.287671232876711</v>
      </c>
      <c r="G471" s="253">
        <f t="shared" ref="G471:K471" si="45">(G470*100)/G468</f>
        <v>28.46153846153846</v>
      </c>
      <c r="H471" s="253">
        <f t="shared" si="45"/>
        <v>31.081081081081081</v>
      </c>
      <c r="I471" s="253">
        <f t="shared" si="45"/>
        <v>31.081081081081081</v>
      </c>
      <c r="J471" s="253">
        <f t="shared" si="45"/>
        <v>23.684210526315791</v>
      </c>
      <c r="K471" s="253">
        <f t="shared" si="45"/>
        <v>28.431372549019606</v>
      </c>
      <c r="L471" s="22"/>
    </row>
    <row r="472" spans="1:16" ht="14.85" customHeight="1" x14ac:dyDescent="0.25">
      <c r="A472" s="1699"/>
      <c r="B472" s="1151"/>
      <c r="C472" s="1159" t="s">
        <v>482</v>
      </c>
      <c r="D472" s="248" t="s">
        <v>251</v>
      </c>
      <c r="E472" s="249"/>
      <c r="F472" s="250">
        <v>144</v>
      </c>
      <c r="G472" s="250">
        <v>175</v>
      </c>
      <c r="H472" s="250">
        <v>177</v>
      </c>
      <c r="I472" s="250">
        <v>177</v>
      </c>
      <c r="J472" s="250">
        <v>196</v>
      </c>
      <c r="K472" s="36">
        <v>208</v>
      </c>
      <c r="L472" s="20"/>
    </row>
    <row r="473" spans="1:16" x14ac:dyDescent="0.25">
      <c r="A473" s="1699"/>
      <c r="B473" s="1151"/>
      <c r="C473" s="1160"/>
      <c r="D473" s="28" t="s">
        <v>257</v>
      </c>
      <c r="E473" s="94"/>
      <c r="F473" s="80">
        <v>97</v>
      </c>
      <c r="G473" s="80">
        <v>126</v>
      </c>
      <c r="H473" s="80">
        <v>120</v>
      </c>
      <c r="I473" s="80">
        <v>120</v>
      </c>
      <c r="J473" s="80">
        <v>133</v>
      </c>
      <c r="K473" s="28">
        <v>135</v>
      </c>
      <c r="L473" s="21"/>
    </row>
    <row r="474" spans="1:16" x14ac:dyDescent="0.25">
      <c r="A474" s="1699"/>
      <c r="B474" s="1151"/>
      <c r="C474" s="1160"/>
      <c r="D474" s="28" t="s">
        <v>263</v>
      </c>
      <c r="E474" s="94"/>
      <c r="F474" s="80">
        <v>47</v>
      </c>
      <c r="G474" s="80">
        <v>49</v>
      </c>
      <c r="H474" s="80">
        <v>57</v>
      </c>
      <c r="I474" s="80">
        <v>57</v>
      </c>
      <c r="J474" s="80">
        <v>63</v>
      </c>
      <c r="K474" s="28">
        <v>73</v>
      </c>
      <c r="L474" s="21"/>
    </row>
    <row r="475" spans="1:16" ht="16.5" thickBot="1" x14ac:dyDescent="0.3">
      <c r="A475" s="1699"/>
      <c r="B475" s="1151"/>
      <c r="C475" s="1161"/>
      <c r="D475" s="203" t="s">
        <v>270</v>
      </c>
      <c r="E475" s="104"/>
      <c r="F475" s="253">
        <f t="shared" ref="F475:K475" si="46">(F474*100)/F472</f>
        <v>32.638888888888886</v>
      </c>
      <c r="G475" s="253">
        <f t="shared" si="46"/>
        <v>28</v>
      </c>
      <c r="H475" s="253">
        <f t="shared" si="46"/>
        <v>32.203389830508478</v>
      </c>
      <c r="I475" s="253">
        <f t="shared" si="46"/>
        <v>32.203389830508478</v>
      </c>
      <c r="J475" s="253">
        <f t="shared" si="46"/>
        <v>32.142857142857146</v>
      </c>
      <c r="K475" s="253">
        <f t="shared" si="46"/>
        <v>35.096153846153847</v>
      </c>
      <c r="L475" s="22"/>
    </row>
    <row r="476" spans="1:16" ht="14.85" customHeight="1" x14ac:dyDescent="0.25">
      <c r="A476" s="1699"/>
      <c r="B476" s="1151"/>
      <c r="C476" s="1159" t="s">
        <v>552</v>
      </c>
      <c r="D476" s="248" t="s">
        <v>251</v>
      </c>
      <c r="E476" s="249"/>
      <c r="F476" s="81">
        <v>44</v>
      </c>
      <c r="G476" s="81">
        <v>75</v>
      </c>
      <c r="H476" s="81">
        <v>332</v>
      </c>
      <c r="I476" s="81">
        <v>332</v>
      </c>
      <c r="J476" s="81">
        <v>387</v>
      </c>
      <c r="K476" s="36">
        <v>364</v>
      </c>
      <c r="L476" s="20"/>
    </row>
    <row r="477" spans="1:16" x14ac:dyDescent="0.25">
      <c r="A477" s="1699"/>
      <c r="B477" s="1151"/>
      <c r="C477" s="1160"/>
      <c r="D477" s="28" t="s">
        <v>257</v>
      </c>
      <c r="E477" s="94"/>
      <c r="F477" s="80">
        <v>10</v>
      </c>
      <c r="G477" s="80">
        <v>4</v>
      </c>
      <c r="H477" s="80">
        <v>64</v>
      </c>
      <c r="I477" s="80">
        <v>64</v>
      </c>
      <c r="J477" s="80">
        <v>87</v>
      </c>
      <c r="K477" s="28">
        <v>69</v>
      </c>
      <c r="L477" s="21"/>
    </row>
    <row r="478" spans="1:16" x14ac:dyDescent="0.25">
      <c r="A478" s="1699"/>
      <c r="B478" s="1151"/>
      <c r="C478" s="1160"/>
      <c r="D478" s="28" t="s">
        <v>263</v>
      </c>
      <c r="E478" s="94"/>
      <c r="F478" s="80">
        <v>34</v>
      </c>
      <c r="G478" s="80">
        <v>71</v>
      </c>
      <c r="H478" s="80">
        <v>268</v>
      </c>
      <c r="I478" s="80">
        <v>268</v>
      </c>
      <c r="J478" s="80">
        <v>300</v>
      </c>
      <c r="K478" s="28">
        <v>295</v>
      </c>
      <c r="L478" s="21"/>
    </row>
    <row r="479" spans="1:16" ht="16.5" thickBot="1" x14ac:dyDescent="0.3">
      <c r="A479" s="1699"/>
      <c r="B479" s="1151"/>
      <c r="C479" s="1161"/>
      <c r="D479" s="203" t="s">
        <v>270</v>
      </c>
      <c r="E479" s="104"/>
      <c r="F479" s="251">
        <f t="shared" ref="F479:H479" si="47">(F478*100)/F476</f>
        <v>77.272727272727266</v>
      </c>
      <c r="G479" s="251">
        <f t="shared" si="47"/>
        <v>94.666666666666671</v>
      </c>
      <c r="H479" s="251">
        <f t="shared" si="47"/>
        <v>80.722891566265062</v>
      </c>
      <c r="I479" s="251">
        <f t="shared" ref="I479:K479" si="48">(I478*100)/I476</f>
        <v>80.722891566265062</v>
      </c>
      <c r="J479" s="251">
        <f t="shared" si="48"/>
        <v>77.519379844961236</v>
      </c>
      <c r="K479" s="251">
        <f t="shared" si="48"/>
        <v>81.043956043956044</v>
      </c>
      <c r="L479" s="22"/>
    </row>
    <row r="480" spans="1:16" ht="14.85" customHeight="1" x14ac:dyDescent="0.25">
      <c r="A480" s="1699"/>
      <c r="B480" s="1151"/>
      <c r="C480" s="1159" t="s">
        <v>480</v>
      </c>
      <c r="D480" s="248" t="s">
        <v>251</v>
      </c>
      <c r="E480" s="249"/>
      <c r="F480" s="250">
        <v>540</v>
      </c>
      <c r="G480" s="250">
        <v>676</v>
      </c>
      <c r="H480" s="250">
        <v>1146</v>
      </c>
      <c r="I480" s="250">
        <v>1146</v>
      </c>
      <c r="J480" s="250">
        <v>934</v>
      </c>
      <c r="K480" s="36">
        <v>857</v>
      </c>
      <c r="L480" s="20"/>
    </row>
    <row r="481" spans="1:12" x14ac:dyDescent="0.25">
      <c r="A481" s="1699"/>
      <c r="B481" s="1151"/>
      <c r="C481" s="1160"/>
      <c r="D481" s="28" t="s">
        <v>257</v>
      </c>
      <c r="E481" s="94"/>
      <c r="F481" s="80">
        <v>226</v>
      </c>
      <c r="G481" s="80">
        <v>262</v>
      </c>
      <c r="H481" s="80">
        <v>484</v>
      </c>
      <c r="I481" s="80">
        <v>484</v>
      </c>
      <c r="J481" s="80">
        <v>394</v>
      </c>
      <c r="K481" s="28">
        <v>343</v>
      </c>
      <c r="L481" s="21"/>
    </row>
    <row r="482" spans="1:12" x14ac:dyDescent="0.25">
      <c r="A482" s="1699"/>
      <c r="B482" s="1151"/>
      <c r="C482" s="1160"/>
      <c r="D482" s="28" t="s">
        <v>263</v>
      </c>
      <c r="E482" s="94"/>
      <c r="F482" s="80">
        <v>314</v>
      </c>
      <c r="G482" s="80">
        <v>414</v>
      </c>
      <c r="H482" s="80">
        <v>662</v>
      </c>
      <c r="I482" s="80">
        <v>662</v>
      </c>
      <c r="J482" s="80">
        <v>540</v>
      </c>
      <c r="K482" s="28">
        <v>514</v>
      </c>
      <c r="L482" s="21"/>
    </row>
    <row r="483" spans="1:12" ht="16.5" thickBot="1" x14ac:dyDescent="0.3">
      <c r="A483" s="1699"/>
      <c r="B483" s="1151"/>
      <c r="C483" s="1161"/>
      <c r="D483" s="203" t="s">
        <v>270</v>
      </c>
      <c r="E483" s="104"/>
      <c r="F483" s="252">
        <f t="shared" ref="F483:H483" si="49">(F482*100)/F480</f>
        <v>58.148148148148145</v>
      </c>
      <c r="G483" s="251">
        <f t="shared" si="49"/>
        <v>61.242603550295861</v>
      </c>
      <c r="H483" s="252">
        <f t="shared" si="49"/>
        <v>57.766143106457243</v>
      </c>
      <c r="I483" s="252">
        <f t="shared" ref="I483:K483" si="50">(I482*100)/I480</f>
        <v>57.766143106457243</v>
      </c>
      <c r="J483" s="252">
        <f t="shared" si="50"/>
        <v>57.815845824411134</v>
      </c>
      <c r="K483" s="252">
        <f t="shared" si="50"/>
        <v>59.976662777129519</v>
      </c>
      <c r="L483" s="22"/>
    </row>
    <row r="484" spans="1:12" ht="14.85" customHeight="1" x14ac:dyDescent="0.25">
      <c r="A484" s="1699"/>
      <c r="B484" s="1151"/>
      <c r="C484" s="1159" t="s">
        <v>530</v>
      </c>
      <c r="D484" s="248" t="s">
        <v>251</v>
      </c>
      <c r="E484" s="249"/>
      <c r="F484" s="250">
        <v>139</v>
      </c>
      <c r="G484" s="250">
        <v>100</v>
      </c>
      <c r="H484" s="250"/>
      <c r="I484" s="250"/>
      <c r="J484" s="250">
        <v>72</v>
      </c>
      <c r="K484" s="36">
        <v>82</v>
      </c>
      <c r="L484" s="20"/>
    </row>
    <row r="485" spans="1:12" x14ac:dyDescent="0.25">
      <c r="A485" s="1699"/>
      <c r="B485" s="1151"/>
      <c r="C485" s="1160"/>
      <c r="D485" s="28" t="s">
        <v>257</v>
      </c>
      <c r="E485" s="94"/>
      <c r="F485" s="80">
        <v>93</v>
      </c>
      <c r="G485" s="80">
        <v>64</v>
      </c>
      <c r="H485" s="80"/>
      <c r="I485" s="80"/>
      <c r="J485" s="80">
        <v>42</v>
      </c>
      <c r="K485" s="28">
        <v>44</v>
      </c>
      <c r="L485" s="21"/>
    </row>
    <row r="486" spans="1:12" x14ac:dyDescent="0.25">
      <c r="A486" s="1699"/>
      <c r="B486" s="1151"/>
      <c r="C486" s="1160"/>
      <c r="D486" s="28" t="s">
        <v>263</v>
      </c>
      <c r="E486" s="94"/>
      <c r="F486" s="80">
        <v>46</v>
      </c>
      <c r="G486" s="80">
        <v>36</v>
      </c>
      <c r="H486" s="80"/>
      <c r="I486" s="80"/>
      <c r="J486" s="80">
        <v>30</v>
      </c>
      <c r="K486" s="28">
        <v>38</v>
      </c>
      <c r="L486" s="21"/>
    </row>
    <row r="487" spans="1:12" ht="16.5" thickBot="1" x14ac:dyDescent="0.3">
      <c r="A487" s="1699"/>
      <c r="B487" s="1151"/>
      <c r="C487" s="1161"/>
      <c r="D487" s="203" t="s">
        <v>270</v>
      </c>
      <c r="E487" s="104"/>
      <c r="F487" s="253">
        <f>(F486*100)/F484</f>
        <v>33.093525179856115</v>
      </c>
      <c r="G487" s="253">
        <f t="shared" ref="G487:K487" si="51">(G486*100)/G484</f>
        <v>36</v>
      </c>
      <c r="H487" s="197"/>
      <c r="I487" s="197"/>
      <c r="J487" s="252">
        <f t="shared" si="51"/>
        <v>41.666666666666664</v>
      </c>
      <c r="K487" s="252">
        <f t="shared" si="51"/>
        <v>46.341463414634148</v>
      </c>
      <c r="L487" s="22"/>
    </row>
    <row r="488" spans="1:12" ht="14.85" customHeight="1" x14ac:dyDescent="0.25">
      <c r="A488" s="1699"/>
      <c r="B488" s="1151"/>
      <c r="C488" s="1159" t="s">
        <v>532</v>
      </c>
      <c r="D488" s="248" t="s">
        <v>251</v>
      </c>
      <c r="E488" s="249"/>
      <c r="F488" s="250">
        <v>203</v>
      </c>
      <c r="G488" s="250">
        <v>226</v>
      </c>
      <c r="H488" s="250">
        <v>452</v>
      </c>
      <c r="I488" s="250">
        <v>452</v>
      </c>
      <c r="J488" s="250">
        <v>404</v>
      </c>
      <c r="K488" s="36">
        <v>423</v>
      </c>
      <c r="L488" s="20"/>
    </row>
    <row r="489" spans="1:12" x14ac:dyDescent="0.25">
      <c r="A489" s="1699"/>
      <c r="B489" s="1151"/>
      <c r="C489" s="1160"/>
      <c r="D489" s="28" t="s">
        <v>257</v>
      </c>
      <c r="E489" s="94"/>
      <c r="F489" s="80">
        <v>109</v>
      </c>
      <c r="G489" s="80">
        <v>125</v>
      </c>
      <c r="H489" s="80">
        <v>233</v>
      </c>
      <c r="I489" s="80">
        <v>233</v>
      </c>
      <c r="J489" s="80">
        <v>210</v>
      </c>
      <c r="K489" s="28">
        <v>203</v>
      </c>
      <c r="L489" s="21"/>
    </row>
    <row r="490" spans="1:12" x14ac:dyDescent="0.25">
      <c r="A490" s="1699"/>
      <c r="B490" s="1151"/>
      <c r="C490" s="1160"/>
      <c r="D490" s="28" t="s">
        <v>263</v>
      </c>
      <c r="E490" s="94"/>
      <c r="F490" s="80">
        <v>94</v>
      </c>
      <c r="G490" s="80">
        <v>101</v>
      </c>
      <c r="H490" s="80">
        <v>219</v>
      </c>
      <c r="I490" s="80">
        <v>219</v>
      </c>
      <c r="J490" s="80">
        <v>194</v>
      </c>
      <c r="K490" s="28">
        <v>220</v>
      </c>
      <c r="L490" s="21"/>
    </row>
    <row r="491" spans="1:12" ht="16.5" thickBot="1" x14ac:dyDescent="0.3">
      <c r="A491" s="1699"/>
      <c r="B491" s="1151"/>
      <c r="C491" s="1161"/>
      <c r="D491" s="203" t="s">
        <v>270</v>
      </c>
      <c r="E491" s="104"/>
      <c r="F491" s="252">
        <f>(F490*100)/F488</f>
        <v>46.305418719211822</v>
      </c>
      <c r="G491" s="252">
        <f t="shared" ref="G491:K491" si="52">(G490*100)/G488</f>
        <v>44.690265486725664</v>
      </c>
      <c r="H491" s="252">
        <f t="shared" si="52"/>
        <v>48.451327433628322</v>
      </c>
      <c r="I491" s="252">
        <f t="shared" si="52"/>
        <v>48.451327433628322</v>
      </c>
      <c r="J491" s="252">
        <f t="shared" si="52"/>
        <v>48.019801980198018</v>
      </c>
      <c r="K491" s="252">
        <f t="shared" si="52"/>
        <v>52.009456264775416</v>
      </c>
      <c r="L491" s="22"/>
    </row>
    <row r="492" spans="1:12" ht="14.85" customHeight="1" x14ac:dyDescent="0.25">
      <c r="A492" s="1699"/>
      <c r="B492" s="1151"/>
      <c r="C492" s="1159" t="s">
        <v>539</v>
      </c>
      <c r="D492" s="248" t="s">
        <v>251</v>
      </c>
      <c r="E492" s="249"/>
      <c r="F492" s="250">
        <v>194</v>
      </c>
      <c r="G492" s="250">
        <v>353</v>
      </c>
      <c r="H492" s="250">
        <v>295</v>
      </c>
      <c r="I492" s="250">
        <v>295</v>
      </c>
      <c r="J492" s="250">
        <v>283</v>
      </c>
      <c r="K492" s="36">
        <v>246</v>
      </c>
      <c r="L492" s="20"/>
    </row>
    <row r="493" spans="1:12" x14ac:dyDescent="0.25">
      <c r="A493" s="1699"/>
      <c r="B493" s="1151"/>
      <c r="C493" s="1160"/>
      <c r="D493" s="28" t="s">
        <v>257</v>
      </c>
      <c r="E493" s="94"/>
      <c r="F493" s="80">
        <v>148</v>
      </c>
      <c r="G493" s="80">
        <v>285</v>
      </c>
      <c r="H493" s="80">
        <v>218</v>
      </c>
      <c r="I493" s="80">
        <v>218</v>
      </c>
      <c r="J493" s="80">
        <v>218</v>
      </c>
      <c r="K493" s="28">
        <v>193</v>
      </c>
      <c r="L493" s="21"/>
    </row>
    <row r="494" spans="1:12" x14ac:dyDescent="0.25">
      <c r="A494" s="1699"/>
      <c r="B494" s="1151"/>
      <c r="C494" s="1160"/>
      <c r="D494" s="28" t="s">
        <v>263</v>
      </c>
      <c r="E494" s="94"/>
      <c r="F494" s="80">
        <v>46</v>
      </c>
      <c r="G494" s="80">
        <v>68</v>
      </c>
      <c r="H494" s="80">
        <v>77</v>
      </c>
      <c r="I494" s="80">
        <v>77</v>
      </c>
      <c r="J494" s="80">
        <v>65</v>
      </c>
      <c r="K494" s="28">
        <v>53</v>
      </c>
      <c r="L494" s="21"/>
    </row>
    <row r="495" spans="1:12" ht="16.5" thickBot="1" x14ac:dyDescent="0.3">
      <c r="A495" s="1699"/>
      <c r="B495" s="1151"/>
      <c r="C495" s="1161"/>
      <c r="D495" s="203" t="s">
        <v>270</v>
      </c>
      <c r="E495" s="106"/>
      <c r="F495" s="253">
        <f>(F494*100)/F492</f>
        <v>23.711340206185568</v>
      </c>
      <c r="G495" s="253">
        <f t="shared" ref="G495:K495" si="53">(G494*100)/G492</f>
        <v>19.263456090651559</v>
      </c>
      <c r="H495" s="253">
        <f t="shared" si="53"/>
        <v>26.101694915254239</v>
      </c>
      <c r="I495" s="253">
        <f t="shared" si="53"/>
        <v>26.101694915254239</v>
      </c>
      <c r="J495" s="253">
        <f t="shared" si="53"/>
        <v>22.968197879858657</v>
      </c>
      <c r="K495" s="253">
        <f t="shared" si="53"/>
        <v>21.54471544715447</v>
      </c>
      <c r="L495" s="22"/>
    </row>
    <row r="496" spans="1:12" ht="14.85" customHeight="1" x14ac:dyDescent="0.25">
      <c r="A496" s="1699"/>
      <c r="B496" s="1678"/>
      <c r="C496" s="1159" t="s">
        <v>468</v>
      </c>
      <c r="D496" s="248" t="s">
        <v>251</v>
      </c>
      <c r="E496" s="249"/>
      <c r="F496" s="250">
        <v>97</v>
      </c>
      <c r="G496" s="250">
        <v>204</v>
      </c>
      <c r="H496" s="250">
        <v>206</v>
      </c>
      <c r="I496" s="250">
        <v>206</v>
      </c>
      <c r="J496" s="250">
        <v>153</v>
      </c>
      <c r="K496" s="36">
        <v>138</v>
      </c>
      <c r="L496" s="20"/>
    </row>
    <row r="497" spans="1:12" x14ac:dyDescent="0.25">
      <c r="A497" s="1699"/>
      <c r="B497" s="1678"/>
      <c r="C497" s="1160"/>
      <c r="D497" s="28" t="s">
        <v>257</v>
      </c>
      <c r="E497" s="94"/>
      <c r="F497" s="80">
        <v>38</v>
      </c>
      <c r="G497" s="80">
        <v>92</v>
      </c>
      <c r="H497" s="80">
        <v>105</v>
      </c>
      <c r="I497" s="80">
        <v>105</v>
      </c>
      <c r="J497" s="80">
        <v>68</v>
      </c>
      <c r="K497" s="28">
        <v>57</v>
      </c>
      <c r="L497" s="21"/>
    </row>
    <row r="498" spans="1:12" x14ac:dyDescent="0.25">
      <c r="A498" s="1699"/>
      <c r="B498" s="1678"/>
      <c r="C498" s="1160"/>
      <c r="D498" s="28" t="s">
        <v>263</v>
      </c>
      <c r="E498" s="94"/>
      <c r="F498" s="80">
        <v>59</v>
      </c>
      <c r="G498" s="80">
        <v>112</v>
      </c>
      <c r="H498" s="80">
        <v>101</v>
      </c>
      <c r="I498" s="80">
        <v>101</v>
      </c>
      <c r="J498" s="80">
        <v>85</v>
      </c>
      <c r="K498" s="28">
        <v>81</v>
      </c>
      <c r="L498" s="21"/>
    </row>
    <row r="499" spans="1:12" ht="16.5" thickBot="1" x14ac:dyDescent="0.3">
      <c r="A499" s="1699"/>
      <c r="B499" s="1678"/>
      <c r="C499" s="1161"/>
      <c r="D499" s="203" t="s">
        <v>270</v>
      </c>
      <c r="E499" s="106"/>
      <c r="F499" s="251">
        <f>(F498*100)/F496</f>
        <v>60.824742268041234</v>
      </c>
      <c r="G499" s="252">
        <f>(G498*100)/G496</f>
        <v>54.901960784313722</v>
      </c>
      <c r="H499" s="252">
        <f t="shared" ref="H499:K499" si="54">(H498*100)/H496</f>
        <v>49.029126213592235</v>
      </c>
      <c r="I499" s="252">
        <f t="shared" si="54"/>
        <v>49.029126213592235</v>
      </c>
      <c r="J499" s="252">
        <f t="shared" si="54"/>
        <v>55.555555555555557</v>
      </c>
      <c r="K499" s="252">
        <f t="shared" si="54"/>
        <v>58.695652173913047</v>
      </c>
      <c r="L499" s="22"/>
    </row>
    <row r="500" spans="1:12" ht="14.85" customHeight="1" x14ac:dyDescent="0.25">
      <c r="A500" s="1699"/>
      <c r="B500" s="1678"/>
      <c r="C500" s="1159" t="s">
        <v>559</v>
      </c>
      <c r="D500" s="248" t="s">
        <v>251</v>
      </c>
      <c r="E500" s="249"/>
      <c r="F500" s="344">
        <v>54</v>
      </c>
      <c r="G500" s="250">
        <v>51</v>
      </c>
      <c r="H500" s="250">
        <v>110</v>
      </c>
      <c r="I500" s="250">
        <v>110</v>
      </c>
      <c r="J500" s="250">
        <v>116</v>
      </c>
      <c r="K500" s="36">
        <v>128</v>
      </c>
      <c r="L500" s="20"/>
    </row>
    <row r="501" spans="1:12" x14ac:dyDescent="0.25">
      <c r="A501" s="1699"/>
      <c r="B501" s="1678"/>
      <c r="C501" s="1160"/>
      <c r="D501" s="28" t="s">
        <v>257</v>
      </c>
      <c r="E501" s="94"/>
      <c r="F501" s="181">
        <v>54</v>
      </c>
      <c r="G501" s="80">
        <v>51</v>
      </c>
      <c r="H501" s="80">
        <v>107</v>
      </c>
      <c r="I501" s="80">
        <v>107</v>
      </c>
      <c r="J501" s="80">
        <v>114</v>
      </c>
      <c r="K501" s="28">
        <v>124</v>
      </c>
      <c r="L501" s="21"/>
    </row>
    <row r="502" spans="1:12" x14ac:dyDescent="0.25">
      <c r="A502" s="1699"/>
      <c r="B502" s="1678"/>
      <c r="C502" s="1160"/>
      <c r="D502" s="28" t="s">
        <v>263</v>
      </c>
      <c r="E502" s="94"/>
      <c r="F502" s="181">
        <v>0</v>
      </c>
      <c r="G502" s="80">
        <v>0</v>
      </c>
      <c r="H502" s="80">
        <v>3</v>
      </c>
      <c r="I502" s="80">
        <v>3</v>
      </c>
      <c r="J502" s="80">
        <v>2</v>
      </c>
      <c r="K502" s="28">
        <v>4</v>
      </c>
      <c r="L502" s="21"/>
    </row>
    <row r="503" spans="1:12" ht="16.5" thickBot="1" x14ac:dyDescent="0.3">
      <c r="A503" s="1699"/>
      <c r="B503" s="1678"/>
      <c r="C503" s="1161"/>
      <c r="D503" s="203" t="s">
        <v>270</v>
      </c>
      <c r="E503" s="106"/>
      <c r="F503" s="253">
        <f>(F502*100)/F500</f>
        <v>0</v>
      </c>
      <c r="G503" s="253">
        <f t="shared" ref="G503:K503" si="55">(G502*100)/G500</f>
        <v>0</v>
      </c>
      <c r="H503" s="253">
        <f t="shared" si="55"/>
        <v>2.7272727272727271</v>
      </c>
      <c r="I503" s="253">
        <f t="shared" si="55"/>
        <v>2.7272727272727271</v>
      </c>
      <c r="J503" s="253">
        <f t="shared" si="55"/>
        <v>1.7241379310344827</v>
      </c>
      <c r="K503" s="253">
        <f t="shared" si="55"/>
        <v>3.125</v>
      </c>
      <c r="L503" s="22"/>
    </row>
    <row r="504" spans="1:12" ht="14.85" customHeight="1" x14ac:dyDescent="0.25">
      <c r="A504" s="1699"/>
      <c r="B504" s="1678"/>
      <c r="C504" s="1159" t="s">
        <v>522</v>
      </c>
      <c r="D504" s="248" t="s">
        <v>251</v>
      </c>
      <c r="E504" s="249"/>
      <c r="F504" s="344">
        <v>200</v>
      </c>
      <c r="G504" s="250">
        <v>204</v>
      </c>
      <c r="H504" s="250">
        <v>283</v>
      </c>
      <c r="I504" s="250">
        <v>283</v>
      </c>
      <c r="J504" s="250">
        <v>174</v>
      </c>
      <c r="K504" s="36">
        <v>176</v>
      </c>
      <c r="L504" s="20"/>
    </row>
    <row r="505" spans="1:12" x14ac:dyDescent="0.25">
      <c r="A505" s="1699"/>
      <c r="B505" s="1678"/>
      <c r="C505" s="1160"/>
      <c r="D505" s="28" t="s">
        <v>257</v>
      </c>
      <c r="E505" s="94"/>
      <c r="F505" s="181">
        <v>185</v>
      </c>
      <c r="G505" s="80">
        <v>194</v>
      </c>
      <c r="H505" s="80">
        <v>263</v>
      </c>
      <c r="I505" s="80">
        <v>263</v>
      </c>
      <c r="J505" s="80">
        <v>162</v>
      </c>
      <c r="K505" s="28">
        <v>161</v>
      </c>
      <c r="L505" s="21"/>
    </row>
    <row r="506" spans="1:12" x14ac:dyDescent="0.25">
      <c r="A506" s="1699"/>
      <c r="B506" s="1678"/>
      <c r="C506" s="1160"/>
      <c r="D506" s="28" t="s">
        <v>263</v>
      </c>
      <c r="E506" s="94"/>
      <c r="F506" s="181">
        <v>15</v>
      </c>
      <c r="G506" s="80">
        <v>10</v>
      </c>
      <c r="H506" s="80">
        <v>20</v>
      </c>
      <c r="I506" s="80">
        <v>20</v>
      </c>
      <c r="J506" s="80">
        <v>12</v>
      </c>
      <c r="K506" s="28">
        <v>15</v>
      </c>
      <c r="L506" s="21"/>
    </row>
    <row r="507" spans="1:12" ht="16.5" thickBot="1" x14ac:dyDescent="0.3">
      <c r="A507" s="1699"/>
      <c r="B507" s="1678"/>
      <c r="C507" s="1161"/>
      <c r="D507" s="203" t="s">
        <v>270</v>
      </c>
      <c r="E507" s="106"/>
      <c r="F507" s="253">
        <f t="shared" ref="F507:K507" si="56">(F506*100)/F504</f>
        <v>7.5</v>
      </c>
      <c r="G507" s="253">
        <f t="shared" si="56"/>
        <v>4.9019607843137258</v>
      </c>
      <c r="H507" s="253">
        <f t="shared" si="56"/>
        <v>7.0671378091872787</v>
      </c>
      <c r="I507" s="253">
        <f t="shared" si="56"/>
        <v>7.0671378091872787</v>
      </c>
      <c r="J507" s="253">
        <f t="shared" si="56"/>
        <v>6.8965517241379306</v>
      </c>
      <c r="K507" s="253">
        <f t="shared" si="56"/>
        <v>8.5227272727272734</v>
      </c>
      <c r="L507" s="22"/>
    </row>
    <row r="508" spans="1:12" ht="14.85" customHeight="1" x14ac:dyDescent="0.25">
      <c r="A508" s="1699"/>
      <c r="B508" s="1678"/>
      <c r="C508" s="1159" t="s">
        <v>564</v>
      </c>
      <c r="D508" s="248" t="s">
        <v>251</v>
      </c>
      <c r="E508" s="249"/>
      <c r="F508" s="250">
        <v>43</v>
      </c>
      <c r="G508" s="250">
        <v>45</v>
      </c>
      <c r="H508" s="250"/>
      <c r="I508" s="250"/>
      <c r="J508" s="250">
        <v>45</v>
      </c>
      <c r="K508" s="36">
        <v>48</v>
      </c>
      <c r="L508" s="20"/>
    </row>
    <row r="509" spans="1:12" x14ac:dyDescent="0.25">
      <c r="A509" s="1699"/>
      <c r="B509" s="1678"/>
      <c r="C509" s="1160"/>
      <c r="D509" s="28" t="s">
        <v>257</v>
      </c>
      <c r="E509" s="94"/>
      <c r="F509" s="80">
        <v>36</v>
      </c>
      <c r="G509" s="80">
        <v>32</v>
      </c>
      <c r="H509" s="80"/>
      <c r="I509" s="80"/>
      <c r="J509" s="80">
        <v>30</v>
      </c>
      <c r="K509" s="28">
        <v>33</v>
      </c>
      <c r="L509" s="21"/>
    </row>
    <row r="510" spans="1:12" x14ac:dyDescent="0.25">
      <c r="A510" s="1699"/>
      <c r="B510" s="1678"/>
      <c r="C510" s="1160"/>
      <c r="D510" s="28" t="s">
        <v>263</v>
      </c>
      <c r="E510" s="94"/>
      <c r="F510" s="80">
        <v>7</v>
      </c>
      <c r="G510" s="80">
        <v>13</v>
      </c>
      <c r="H510" s="80"/>
      <c r="I510" s="80"/>
      <c r="J510" s="80">
        <v>15</v>
      </c>
      <c r="K510" s="28">
        <v>15</v>
      </c>
      <c r="L510" s="21"/>
    </row>
    <row r="511" spans="1:12" ht="16.5" thickBot="1" x14ac:dyDescent="0.3">
      <c r="A511" s="1699"/>
      <c r="B511" s="1678"/>
      <c r="C511" s="1161"/>
      <c r="D511" s="203" t="s">
        <v>270</v>
      </c>
      <c r="E511" s="106"/>
      <c r="F511" s="253">
        <f>(F510*100)/F508</f>
        <v>16.279069767441861</v>
      </c>
      <c r="G511" s="253">
        <f t="shared" ref="G511:K511" si="57">(G510*100)/G508</f>
        <v>28.888888888888889</v>
      </c>
      <c r="H511" s="197"/>
      <c r="I511" s="197"/>
      <c r="J511" s="253">
        <f t="shared" si="57"/>
        <v>33.333333333333336</v>
      </c>
      <c r="K511" s="253">
        <f t="shared" si="57"/>
        <v>31.25</v>
      </c>
      <c r="L511" s="22"/>
    </row>
    <row r="512" spans="1:12" ht="14.85" customHeight="1" x14ac:dyDescent="0.25">
      <c r="A512" s="1699"/>
      <c r="B512" s="1678"/>
      <c r="C512" s="1159" t="s">
        <v>527</v>
      </c>
      <c r="D512" s="248" t="s">
        <v>251</v>
      </c>
      <c r="E512" s="249"/>
      <c r="F512" s="250">
        <v>96</v>
      </c>
      <c r="G512" s="250">
        <v>213</v>
      </c>
      <c r="H512" s="250">
        <v>267</v>
      </c>
      <c r="I512" s="250">
        <v>267</v>
      </c>
      <c r="J512" s="250">
        <v>216</v>
      </c>
      <c r="K512" s="36">
        <v>224</v>
      </c>
      <c r="L512" s="20"/>
    </row>
    <row r="513" spans="1:12" x14ac:dyDescent="0.25">
      <c r="A513" s="1699"/>
      <c r="B513" s="1678"/>
      <c r="C513" s="1160"/>
      <c r="D513" s="28" t="s">
        <v>257</v>
      </c>
      <c r="E513" s="94"/>
      <c r="F513" s="80">
        <v>80</v>
      </c>
      <c r="G513" s="80">
        <v>192</v>
      </c>
      <c r="H513" s="80">
        <v>235</v>
      </c>
      <c r="I513" s="80">
        <v>235</v>
      </c>
      <c r="J513" s="80">
        <v>183</v>
      </c>
      <c r="K513" s="28">
        <v>189</v>
      </c>
      <c r="L513" s="21"/>
    </row>
    <row r="514" spans="1:12" x14ac:dyDescent="0.25">
      <c r="A514" s="1699"/>
      <c r="B514" s="1678"/>
      <c r="C514" s="1160"/>
      <c r="D514" s="28" t="s">
        <v>263</v>
      </c>
      <c r="E514" s="94"/>
      <c r="F514" s="80">
        <v>16</v>
      </c>
      <c r="G514" s="80">
        <v>21</v>
      </c>
      <c r="H514" s="80">
        <v>32</v>
      </c>
      <c r="I514" s="80">
        <v>32</v>
      </c>
      <c r="J514" s="80">
        <v>33</v>
      </c>
      <c r="K514" s="28">
        <v>35</v>
      </c>
      <c r="L514" s="21"/>
    </row>
    <row r="515" spans="1:12" ht="16.5" thickBot="1" x14ac:dyDescent="0.3">
      <c r="A515" s="1699"/>
      <c r="B515" s="1678"/>
      <c r="C515" s="1161"/>
      <c r="D515" s="203" t="s">
        <v>270</v>
      </c>
      <c r="E515" s="106"/>
      <c r="F515" s="253">
        <f>(F514*100)/F512</f>
        <v>16.666666666666668</v>
      </c>
      <c r="G515" s="253">
        <f t="shared" ref="G515:K515" si="58">(G514*100)/G512</f>
        <v>9.8591549295774641</v>
      </c>
      <c r="H515" s="253">
        <f t="shared" si="58"/>
        <v>11.985018726591761</v>
      </c>
      <c r="I515" s="253">
        <f t="shared" si="58"/>
        <v>11.985018726591761</v>
      </c>
      <c r="J515" s="253">
        <f t="shared" si="58"/>
        <v>15.277777777777779</v>
      </c>
      <c r="K515" s="253">
        <f t="shared" si="58"/>
        <v>15.625</v>
      </c>
      <c r="L515" s="22"/>
    </row>
    <row r="516" spans="1:12" ht="14.85" customHeight="1" x14ac:dyDescent="0.25">
      <c r="A516" s="1699"/>
      <c r="B516" s="1678"/>
      <c r="C516" s="1159" t="s">
        <v>562</v>
      </c>
      <c r="D516" s="248" t="s">
        <v>251</v>
      </c>
      <c r="E516" s="249"/>
      <c r="F516" s="250"/>
      <c r="G516" s="250"/>
      <c r="H516" s="250"/>
      <c r="I516" s="250">
        <v>74</v>
      </c>
      <c r="J516" s="250">
        <v>118</v>
      </c>
      <c r="K516" s="36">
        <v>102</v>
      </c>
      <c r="L516" s="20"/>
    </row>
    <row r="517" spans="1:12" x14ac:dyDescent="0.25">
      <c r="A517" s="1699"/>
      <c r="B517" s="1678"/>
      <c r="C517" s="1160"/>
      <c r="D517" s="28" t="s">
        <v>257</v>
      </c>
      <c r="E517" s="94"/>
      <c r="F517" s="80"/>
      <c r="G517" s="80"/>
      <c r="H517" s="80"/>
      <c r="I517" s="80">
        <v>62</v>
      </c>
      <c r="J517" s="80">
        <v>106</v>
      </c>
      <c r="K517" s="28">
        <v>87</v>
      </c>
      <c r="L517" s="21"/>
    </row>
    <row r="518" spans="1:12" x14ac:dyDescent="0.25">
      <c r="A518" s="1699"/>
      <c r="B518" s="1678"/>
      <c r="C518" s="1160"/>
      <c r="D518" s="28" t="s">
        <v>263</v>
      </c>
      <c r="E518" s="94"/>
      <c r="F518" s="80"/>
      <c r="G518" s="80"/>
      <c r="H518" s="80"/>
      <c r="I518" s="80">
        <v>12</v>
      </c>
      <c r="J518" s="80">
        <v>12</v>
      </c>
      <c r="K518" s="28">
        <v>15</v>
      </c>
      <c r="L518" s="21"/>
    </row>
    <row r="519" spans="1:12" ht="16.5" thickBot="1" x14ac:dyDescent="0.3">
      <c r="A519" s="1699"/>
      <c r="B519" s="1678"/>
      <c r="C519" s="1161"/>
      <c r="D519" s="203" t="s">
        <v>270</v>
      </c>
      <c r="E519" s="106"/>
      <c r="F519" s="197"/>
      <c r="G519" s="197"/>
      <c r="H519" s="197"/>
      <c r="I519" s="253">
        <f>(I518*100)/I516</f>
        <v>16.216216216216218</v>
      </c>
      <c r="J519" s="253">
        <f t="shared" ref="J519:K519" si="59">(J518*100)/J516</f>
        <v>10.169491525423728</v>
      </c>
      <c r="K519" s="253">
        <f t="shared" si="59"/>
        <v>14.705882352941176</v>
      </c>
      <c r="L519" s="22"/>
    </row>
    <row r="520" spans="1:12" ht="14.85" customHeight="1" x14ac:dyDescent="0.25">
      <c r="A520" s="1699"/>
      <c r="B520" s="1678"/>
      <c r="C520" s="1159" t="s">
        <v>561</v>
      </c>
      <c r="D520" s="248" t="s">
        <v>251</v>
      </c>
      <c r="E520" s="249"/>
      <c r="F520" s="250"/>
      <c r="G520" s="250"/>
      <c r="H520" s="250"/>
      <c r="I520" s="250"/>
      <c r="J520" s="250">
        <v>47</v>
      </c>
      <c r="K520" s="36">
        <v>53</v>
      </c>
      <c r="L520" s="20"/>
    </row>
    <row r="521" spans="1:12" x14ac:dyDescent="0.25">
      <c r="A521" s="1699"/>
      <c r="B521" s="1678"/>
      <c r="C521" s="1160"/>
      <c r="D521" s="28" t="s">
        <v>257</v>
      </c>
      <c r="E521" s="94"/>
      <c r="F521" s="80"/>
      <c r="G521" s="80"/>
      <c r="H521" s="80"/>
      <c r="I521" s="80"/>
      <c r="J521" s="80">
        <v>32</v>
      </c>
      <c r="K521" s="28">
        <v>39</v>
      </c>
      <c r="L521" s="21"/>
    </row>
    <row r="522" spans="1:12" x14ac:dyDescent="0.25">
      <c r="A522" s="1699"/>
      <c r="B522" s="1678"/>
      <c r="C522" s="1160"/>
      <c r="D522" s="28" t="s">
        <v>263</v>
      </c>
      <c r="E522" s="94"/>
      <c r="F522" s="80"/>
      <c r="G522" s="80"/>
      <c r="H522" s="80"/>
      <c r="I522" s="80"/>
      <c r="J522" s="80">
        <v>15</v>
      </c>
      <c r="K522" s="28">
        <v>14</v>
      </c>
      <c r="L522" s="21"/>
    </row>
    <row r="523" spans="1:12" ht="16.5" thickBot="1" x14ac:dyDescent="0.3">
      <c r="A523" s="1699"/>
      <c r="B523" s="1678"/>
      <c r="C523" s="1519"/>
      <c r="D523" s="336" t="s">
        <v>270</v>
      </c>
      <c r="E523" s="128"/>
      <c r="F523" s="441"/>
      <c r="G523" s="441"/>
      <c r="H523" s="441"/>
      <c r="I523" s="441"/>
      <c r="J523" s="596">
        <f>(J522*100)/J520</f>
        <v>31.914893617021278</v>
      </c>
      <c r="K523" s="596">
        <f>(K522*100)/K520</f>
        <v>26.415094339622641</v>
      </c>
      <c r="L523" s="53"/>
    </row>
    <row r="524" spans="1:12" ht="14.85" customHeight="1" x14ac:dyDescent="0.25">
      <c r="A524" s="1699"/>
      <c r="B524" s="1678"/>
      <c r="C524" s="1159" t="s">
        <v>566</v>
      </c>
      <c r="D524" s="248" t="s">
        <v>251</v>
      </c>
      <c r="E524" s="249"/>
      <c r="F524" s="225"/>
      <c r="G524" s="225"/>
      <c r="H524" s="225"/>
      <c r="I524" s="225"/>
      <c r="J524" s="225">
        <v>136</v>
      </c>
      <c r="K524" s="36">
        <v>126</v>
      </c>
      <c r="L524" s="20"/>
    </row>
    <row r="525" spans="1:12" x14ac:dyDescent="0.25">
      <c r="A525" s="1699"/>
      <c r="B525" s="1678"/>
      <c r="C525" s="1160"/>
      <c r="D525" s="28" t="s">
        <v>257</v>
      </c>
      <c r="E525" s="94"/>
      <c r="F525" s="96"/>
      <c r="G525" s="96"/>
      <c r="H525" s="96"/>
      <c r="I525" s="96"/>
      <c r="J525" s="96">
        <v>66</v>
      </c>
      <c r="K525" s="28">
        <v>53</v>
      </c>
      <c r="L525" s="21"/>
    </row>
    <row r="526" spans="1:12" x14ac:dyDescent="0.25">
      <c r="A526" s="1699"/>
      <c r="B526" s="1678"/>
      <c r="C526" s="1160"/>
      <c r="D526" s="28" t="s">
        <v>263</v>
      </c>
      <c r="E526" s="94"/>
      <c r="F526" s="96"/>
      <c r="G526" s="96"/>
      <c r="H526" s="96"/>
      <c r="I526" s="96"/>
      <c r="J526" s="96">
        <v>70</v>
      </c>
      <c r="K526" s="28">
        <v>73</v>
      </c>
      <c r="L526" s="21"/>
    </row>
    <row r="527" spans="1:12" ht="16.5" thickBot="1" x14ac:dyDescent="0.3">
      <c r="A527" s="1699"/>
      <c r="B527" s="1678"/>
      <c r="C527" s="1161"/>
      <c r="D527" s="203" t="s">
        <v>270</v>
      </c>
      <c r="E527" s="106"/>
      <c r="F527" s="197"/>
      <c r="G527" s="197"/>
      <c r="H527" s="197"/>
      <c r="I527" s="197"/>
      <c r="J527" s="256">
        <f>(J526*100)/J524</f>
        <v>51.470588235294116</v>
      </c>
      <c r="K527" s="256">
        <f>(K526*100)/K524</f>
        <v>57.936507936507937</v>
      </c>
      <c r="L527" s="22"/>
    </row>
    <row r="528" spans="1:12" x14ac:dyDescent="0.25">
      <c r="A528" s="1699"/>
      <c r="B528" s="1678"/>
      <c r="C528" s="1587" t="s">
        <v>548</v>
      </c>
      <c r="D528" s="254" t="s">
        <v>473</v>
      </c>
      <c r="E528" s="242"/>
      <c r="F528" s="255">
        <f>8/16*100</f>
        <v>50</v>
      </c>
      <c r="G528" s="255">
        <f>9/16*100</f>
        <v>56.25</v>
      </c>
      <c r="H528" s="255">
        <f>7/14*100</f>
        <v>50</v>
      </c>
      <c r="I528" s="255">
        <f>8/15*100</f>
        <v>53.333333333333336</v>
      </c>
      <c r="J528" s="255">
        <f>10/20*100</f>
        <v>50</v>
      </c>
      <c r="K528" s="255">
        <f>10/20*100</f>
        <v>50</v>
      </c>
      <c r="L528" s="87"/>
    </row>
    <row r="529" spans="1:12" x14ac:dyDescent="0.25">
      <c r="A529" s="1699"/>
      <c r="B529" s="1678"/>
      <c r="C529" s="1167"/>
      <c r="D529" s="232" t="s">
        <v>474</v>
      </c>
      <c r="E529" s="94"/>
      <c r="F529" s="234">
        <f>5/16*100</f>
        <v>31.25</v>
      </c>
      <c r="G529" s="234">
        <f>3/16*100</f>
        <v>18.75</v>
      </c>
      <c r="H529" s="234">
        <f>3/14*100</f>
        <v>21.428571428571427</v>
      </c>
      <c r="I529" s="234">
        <f>3/15*100</f>
        <v>20</v>
      </c>
      <c r="J529" s="234">
        <f>3/20*100</f>
        <v>15</v>
      </c>
      <c r="K529" s="234">
        <f>3/20*100</f>
        <v>15</v>
      </c>
      <c r="L529" s="21"/>
    </row>
    <row r="530" spans="1:12" ht="16.5" thickBot="1" x14ac:dyDescent="0.3">
      <c r="A530" s="1699"/>
      <c r="B530" s="1745"/>
      <c r="C530" s="1255"/>
      <c r="D530" s="311" t="s">
        <v>475</v>
      </c>
      <c r="E530" s="104"/>
      <c r="F530" s="312">
        <f>3/16*100</f>
        <v>18.75</v>
      </c>
      <c r="G530" s="312">
        <f>4/16*100</f>
        <v>25</v>
      </c>
      <c r="H530" s="312">
        <f>4/14*100</f>
        <v>28.571428571428569</v>
      </c>
      <c r="I530" s="312">
        <f>4/15*100</f>
        <v>26.666666666666668</v>
      </c>
      <c r="J530" s="312">
        <f>7/20*100</f>
        <v>35</v>
      </c>
      <c r="K530" s="312">
        <f>7/20*100</f>
        <v>35</v>
      </c>
      <c r="L530" s="22"/>
    </row>
    <row r="531" spans="1:12" ht="16.5" thickBot="1" x14ac:dyDescent="0.3">
      <c r="A531" s="1743"/>
      <c r="B531" s="939" t="s">
        <v>249</v>
      </c>
      <c r="C531" s="1603"/>
      <c r="D531" s="1603"/>
      <c r="E531" s="613" t="s">
        <v>442</v>
      </c>
      <c r="F531" s="613" t="s">
        <v>443</v>
      </c>
      <c r="G531" s="613" t="s">
        <v>444</v>
      </c>
      <c r="H531" s="613" t="s">
        <v>445</v>
      </c>
      <c r="I531" s="613" t="s">
        <v>446</v>
      </c>
      <c r="J531" s="613" t="s">
        <v>447</v>
      </c>
      <c r="K531" s="274" t="s">
        <v>448</v>
      </c>
      <c r="L531" s="284" t="s">
        <v>449</v>
      </c>
    </row>
    <row r="532" spans="1:12" x14ac:dyDescent="0.25">
      <c r="A532" s="1699"/>
      <c r="B532" s="1746" t="s">
        <v>219</v>
      </c>
      <c r="C532" s="1251" t="s">
        <v>459</v>
      </c>
      <c r="D532" s="1206"/>
      <c r="E532" s="36"/>
      <c r="F532" s="259"/>
      <c r="G532" s="259"/>
      <c r="H532" s="359">
        <v>128</v>
      </c>
      <c r="I532" s="359">
        <v>415</v>
      </c>
      <c r="J532" s="359">
        <v>459</v>
      </c>
      <c r="K532" s="359">
        <v>448</v>
      </c>
      <c r="L532" s="20"/>
    </row>
    <row r="533" spans="1:12" x14ac:dyDescent="0.25">
      <c r="A533" s="1699"/>
      <c r="B533" s="1746"/>
      <c r="C533" s="1123" t="s">
        <v>436</v>
      </c>
      <c r="D533" s="1124"/>
      <c r="E533" s="28"/>
      <c r="F533" s="187"/>
      <c r="G533" s="187"/>
      <c r="H533" s="358">
        <v>69</v>
      </c>
      <c r="I533" s="358">
        <v>234</v>
      </c>
      <c r="J533" s="358">
        <v>292</v>
      </c>
      <c r="K533" s="358">
        <v>275</v>
      </c>
      <c r="L533" s="21"/>
    </row>
    <row r="534" spans="1:12" x14ac:dyDescent="0.25">
      <c r="A534" s="1699"/>
      <c r="B534" s="1746"/>
      <c r="C534" s="1123" t="s">
        <v>437</v>
      </c>
      <c r="D534" s="1124"/>
      <c r="E534" s="96"/>
      <c r="F534" s="96"/>
      <c r="G534" s="96"/>
      <c r="H534" s="358">
        <v>59</v>
      </c>
      <c r="I534" s="358">
        <v>181</v>
      </c>
      <c r="J534" s="358">
        <v>167</v>
      </c>
      <c r="K534" s="358">
        <v>173</v>
      </c>
      <c r="L534" s="21"/>
    </row>
    <row r="535" spans="1:12" x14ac:dyDescent="0.25">
      <c r="A535" s="1699"/>
      <c r="B535" s="1746"/>
      <c r="C535" s="1111" t="s">
        <v>353</v>
      </c>
      <c r="D535" s="1112"/>
      <c r="E535" s="157"/>
      <c r="F535" s="157"/>
      <c r="G535" s="157"/>
      <c r="H535" s="157">
        <f>H534-H533</f>
        <v>-10</v>
      </c>
      <c r="I535" s="157">
        <f>I534-I533</f>
        <v>-53</v>
      </c>
      <c r="J535" s="157">
        <f>J534-J533</f>
        <v>-125</v>
      </c>
      <c r="K535" s="157">
        <f>K534-K533</f>
        <v>-102</v>
      </c>
      <c r="L535" s="21"/>
    </row>
    <row r="536" spans="1:12" ht="16.5" thickBot="1" x14ac:dyDescent="0.3">
      <c r="A536" s="1699"/>
      <c r="B536" s="1746"/>
      <c r="C536" s="1125" t="s">
        <v>270</v>
      </c>
      <c r="D536" s="1126"/>
      <c r="E536" s="190"/>
      <c r="F536" s="190"/>
      <c r="G536" s="190"/>
      <c r="H536" s="34">
        <f>H534/H532*100</f>
        <v>46.09375</v>
      </c>
      <c r="I536" s="34">
        <f>I534/I532*100</f>
        <v>43.614457831325304</v>
      </c>
      <c r="J536" s="34">
        <f>J534/J532*100</f>
        <v>36.38344226579521</v>
      </c>
      <c r="K536" s="34">
        <f>K534/K532*100</f>
        <v>38.616071428571431</v>
      </c>
      <c r="L536" s="22"/>
    </row>
    <row r="537" spans="1:12" x14ac:dyDescent="0.25">
      <c r="A537" s="1699"/>
      <c r="B537" s="1746"/>
      <c r="C537" s="1406" t="s">
        <v>484</v>
      </c>
      <c r="D537" s="1405"/>
      <c r="E537" s="225"/>
      <c r="F537" s="225"/>
      <c r="G537" s="225"/>
      <c r="H537" s="261">
        <v>0</v>
      </c>
      <c r="I537" s="261">
        <f>2/8*100</f>
        <v>25</v>
      </c>
      <c r="J537" s="261">
        <f>5/8*100</f>
        <v>62.5</v>
      </c>
      <c r="K537" s="315">
        <v>70</v>
      </c>
      <c r="L537" s="20"/>
    </row>
    <row r="538" spans="1:12" x14ac:dyDescent="0.25">
      <c r="A538" s="1699"/>
      <c r="B538" s="1746"/>
      <c r="C538" s="1111" t="s">
        <v>485</v>
      </c>
      <c r="D538" s="1112"/>
      <c r="E538" s="96"/>
      <c r="F538" s="96"/>
      <c r="G538" s="96"/>
      <c r="H538" s="235">
        <v>20</v>
      </c>
      <c r="I538" s="235">
        <f>6/8*100</f>
        <v>75</v>
      </c>
      <c r="J538" s="235">
        <v>0</v>
      </c>
      <c r="K538" s="237">
        <v>10</v>
      </c>
      <c r="L538" s="21"/>
    </row>
    <row r="539" spans="1:12" x14ac:dyDescent="0.25">
      <c r="A539" s="1699"/>
      <c r="B539" s="1747"/>
      <c r="C539" s="1277" t="s">
        <v>486</v>
      </c>
      <c r="D539" s="1142"/>
      <c r="E539" s="360"/>
      <c r="F539" s="360"/>
      <c r="G539" s="360"/>
      <c r="H539" s="356">
        <v>80</v>
      </c>
      <c r="I539" s="356">
        <v>0</v>
      </c>
      <c r="J539" s="356">
        <f>3/8*100</f>
        <v>37.5</v>
      </c>
      <c r="K539" s="361">
        <v>20</v>
      </c>
      <c r="L539" s="53"/>
    </row>
    <row r="540" spans="1:12" ht="16.5" thickBot="1" x14ac:dyDescent="0.3">
      <c r="A540" s="338" t="s">
        <v>248</v>
      </c>
      <c r="B540" s="463" t="s">
        <v>249</v>
      </c>
      <c r="C540" s="1433"/>
      <c r="D540" s="1433"/>
      <c r="E540" s="616">
        <v>2005</v>
      </c>
      <c r="F540" s="616">
        <v>2010</v>
      </c>
      <c r="G540" s="616">
        <v>2015</v>
      </c>
      <c r="H540" s="616">
        <v>2020</v>
      </c>
      <c r="I540" s="616">
        <v>2021</v>
      </c>
      <c r="J540" s="616">
        <v>2022</v>
      </c>
      <c r="K540" s="616">
        <v>2023</v>
      </c>
      <c r="L540" s="616">
        <v>2024</v>
      </c>
    </row>
    <row r="541" spans="1:12" ht="15" customHeight="1" x14ac:dyDescent="0.25">
      <c r="A541" s="1735" t="s">
        <v>487</v>
      </c>
      <c r="B541" s="1692" t="s">
        <v>227</v>
      </c>
      <c r="C541" s="1206" t="s">
        <v>435</v>
      </c>
      <c r="D541" s="1206"/>
      <c r="E541" s="36"/>
      <c r="F541" s="36"/>
      <c r="G541" s="36"/>
      <c r="H541" s="36"/>
      <c r="I541" s="36"/>
      <c r="J541" s="36"/>
      <c r="K541" s="195">
        <v>674</v>
      </c>
      <c r="L541" s="325">
        <v>725</v>
      </c>
    </row>
    <row r="542" spans="1:12" x14ac:dyDescent="0.25">
      <c r="A542" s="1736"/>
      <c r="B542" s="1693"/>
      <c r="C542" s="1124" t="s">
        <v>533</v>
      </c>
      <c r="D542" s="1124"/>
      <c r="E542" s="28"/>
      <c r="F542" s="28"/>
      <c r="G542" s="28"/>
      <c r="H542" s="28"/>
      <c r="I542" s="28"/>
      <c r="J542" s="28"/>
      <c r="K542" s="28">
        <v>223</v>
      </c>
      <c r="L542" s="21">
        <v>238</v>
      </c>
    </row>
    <row r="543" spans="1:12" x14ac:dyDescent="0.25">
      <c r="A543" s="1736"/>
      <c r="B543" s="1693"/>
      <c r="C543" s="1124" t="s">
        <v>534</v>
      </c>
      <c r="D543" s="1124"/>
      <c r="E543" s="28"/>
      <c r="F543" s="28"/>
      <c r="G543" s="28"/>
      <c r="H543" s="28"/>
      <c r="I543" s="28"/>
      <c r="J543" s="28"/>
      <c r="K543" s="28">
        <v>451</v>
      </c>
      <c r="L543" s="21">
        <v>487</v>
      </c>
    </row>
    <row r="544" spans="1:12" x14ac:dyDescent="0.25">
      <c r="A544" s="1736"/>
      <c r="B544" s="1693"/>
      <c r="C544" s="1128" t="s">
        <v>353</v>
      </c>
      <c r="D544" s="1128"/>
      <c r="E544" s="28"/>
      <c r="F544" s="28"/>
      <c r="G544" s="28"/>
      <c r="H544" s="28"/>
      <c r="I544" s="28"/>
      <c r="J544" s="28"/>
      <c r="K544" s="262">
        <f t="shared" ref="K544" si="60">K543-K542</f>
        <v>228</v>
      </c>
      <c r="L544" s="317">
        <v>249</v>
      </c>
    </row>
    <row r="545" spans="1:12" ht="16.5" thickBot="1" x14ac:dyDescent="0.3">
      <c r="A545" s="1736"/>
      <c r="B545" s="1694"/>
      <c r="C545" s="1126" t="s">
        <v>270</v>
      </c>
      <c r="D545" s="1126"/>
      <c r="E545" s="197"/>
      <c r="F545" s="197"/>
      <c r="G545" s="197"/>
      <c r="H545" s="197"/>
      <c r="I545" s="197"/>
      <c r="J545" s="197"/>
      <c r="K545" s="161">
        <f t="shared" ref="K545" si="61">K543/K541*100</f>
        <v>66.913946587537083</v>
      </c>
      <c r="L545" s="162">
        <v>67.172413793103445</v>
      </c>
    </row>
    <row r="546" spans="1:12" x14ac:dyDescent="0.25">
      <c r="A546" s="1736"/>
      <c r="B546" s="1692" t="s">
        <v>488</v>
      </c>
      <c r="C546" s="1206" t="s">
        <v>489</v>
      </c>
      <c r="D546" s="1206"/>
      <c r="E546" s="40"/>
      <c r="F546" s="40">
        <v>71</v>
      </c>
      <c r="G546" s="40">
        <v>79</v>
      </c>
      <c r="H546" s="40">
        <v>99</v>
      </c>
      <c r="I546" s="40"/>
      <c r="J546" s="40"/>
      <c r="K546" s="40">
        <v>122</v>
      </c>
      <c r="L546" s="1072">
        <v>31</v>
      </c>
    </row>
    <row r="547" spans="1:12" x14ac:dyDescent="0.25">
      <c r="A547" s="1736"/>
      <c r="B547" s="1693"/>
      <c r="C547" s="1110" t="s">
        <v>490</v>
      </c>
      <c r="D547" s="1110"/>
      <c r="E547" s="44"/>
      <c r="F547" s="44">
        <v>2</v>
      </c>
      <c r="G547" s="44">
        <v>2</v>
      </c>
      <c r="H547" s="44">
        <v>5</v>
      </c>
      <c r="I547" s="44"/>
      <c r="J547" s="44"/>
      <c r="K547" s="44">
        <v>5</v>
      </c>
      <c r="L547" s="1072">
        <v>3</v>
      </c>
    </row>
    <row r="548" spans="1:12" ht="16.5" thickBot="1" x14ac:dyDescent="0.3">
      <c r="A548" s="1737"/>
      <c r="B548" s="1694"/>
      <c r="C548" s="1225" t="s">
        <v>491</v>
      </c>
      <c r="D548" s="1225"/>
      <c r="E548" s="203"/>
      <c r="F548" s="161">
        <f>F547/F546*100</f>
        <v>2.8169014084507045</v>
      </c>
      <c r="G548" s="161">
        <f t="shared" ref="G548:H548" si="62">G547/G546*100</f>
        <v>2.5316455696202533</v>
      </c>
      <c r="H548" s="161">
        <f t="shared" si="62"/>
        <v>5.0505050505050502</v>
      </c>
      <c r="I548" s="203"/>
      <c r="J548" s="203"/>
      <c r="K548" s="161">
        <f>K547/K546*100</f>
        <v>4.0983606557377046</v>
      </c>
      <c r="L548" s="859">
        <v>9.67741935483871</v>
      </c>
    </row>
    <row r="549" spans="1:12" ht="16.5" thickBot="1" x14ac:dyDescent="0.3">
      <c r="A549" s="767" t="s">
        <v>248</v>
      </c>
      <c r="B549" s="852" t="s">
        <v>249</v>
      </c>
      <c r="C549" s="1681"/>
      <c r="D549" s="1681"/>
      <c r="E549" s="774">
        <v>2005</v>
      </c>
      <c r="F549" s="774">
        <v>2010</v>
      </c>
      <c r="G549" s="774">
        <v>2015</v>
      </c>
      <c r="H549" s="774">
        <v>2020</v>
      </c>
      <c r="I549" s="774">
        <v>2021</v>
      </c>
      <c r="J549" s="774">
        <v>2022</v>
      </c>
      <c r="K549" s="112">
        <v>2023</v>
      </c>
      <c r="L549" s="112">
        <v>2024</v>
      </c>
    </row>
    <row r="550" spans="1:12" ht="15" customHeight="1" x14ac:dyDescent="0.25">
      <c r="A550" s="1621" t="s">
        <v>492</v>
      </c>
      <c r="B550" s="1624" t="s">
        <v>493</v>
      </c>
      <c r="C550" s="1251" t="s">
        <v>459</v>
      </c>
      <c r="D550" s="1206"/>
      <c r="E550" s="36"/>
      <c r="F550" s="195">
        <v>1595</v>
      </c>
      <c r="G550" s="195">
        <v>1512</v>
      </c>
      <c r="H550" s="195">
        <v>1756</v>
      </c>
      <c r="I550" s="195">
        <v>2305</v>
      </c>
      <c r="J550" s="195">
        <v>2651</v>
      </c>
      <c r="K550" s="195">
        <v>2359</v>
      </c>
      <c r="L550" s="20">
        <v>2376</v>
      </c>
    </row>
    <row r="551" spans="1:12" x14ac:dyDescent="0.25">
      <c r="A551" s="1622"/>
      <c r="B551" s="1625"/>
      <c r="C551" s="1160" t="s">
        <v>436</v>
      </c>
      <c r="D551" s="28" t="s">
        <v>494</v>
      </c>
      <c r="E551" s="28"/>
      <c r="F551" s="96">
        <v>757</v>
      </c>
      <c r="G551" s="96">
        <v>698</v>
      </c>
      <c r="H551" s="96">
        <v>918</v>
      </c>
      <c r="I551" s="96">
        <v>1148</v>
      </c>
      <c r="J551" s="96">
        <v>1371</v>
      </c>
      <c r="K551" s="96">
        <v>1266</v>
      </c>
      <c r="L551" s="21">
        <v>1255</v>
      </c>
    </row>
    <row r="552" spans="1:12" x14ac:dyDescent="0.25">
      <c r="A552" s="1622"/>
      <c r="B552" s="1625"/>
      <c r="C552" s="1160"/>
      <c r="D552" s="28" t="s">
        <v>495</v>
      </c>
      <c r="E552" s="28"/>
      <c r="F552" s="96">
        <v>104</v>
      </c>
      <c r="G552" s="96">
        <v>112</v>
      </c>
      <c r="H552" s="96">
        <v>109</v>
      </c>
      <c r="I552" s="96">
        <v>177</v>
      </c>
      <c r="J552" s="96">
        <v>218</v>
      </c>
      <c r="K552" s="96">
        <v>173</v>
      </c>
      <c r="L552" s="21">
        <v>152</v>
      </c>
    </row>
    <row r="553" spans="1:12" x14ac:dyDescent="0.25">
      <c r="A553" s="1622"/>
      <c r="B553" s="1625"/>
      <c r="C553" s="1160" t="s">
        <v>437</v>
      </c>
      <c r="D553" s="28" t="s">
        <v>496</v>
      </c>
      <c r="E553" s="28"/>
      <c r="F553" s="96">
        <v>221</v>
      </c>
      <c r="G553" s="96">
        <v>251</v>
      </c>
      <c r="H553" s="96">
        <v>388</v>
      </c>
      <c r="I553" s="96">
        <v>494</v>
      </c>
      <c r="J553" s="96">
        <f>491/J550*100</f>
        <v>18.521312712184081</v>
      </c>
      <c r="K553" s="96">
        <v>427</v>
      </c>
      <c r="L553" s="21">
        <v>473</v>
      </c>
    </row>
    <row r="554" spans="1:12" ht="16.5" thickBot="1" x14ac:dyDescent="0.3">
      <c r="A554" s="1622"/>
      <c r="B554" s="1625"/>
      <c r="C554" s="1519"/>
      <c r="D554" s="110" t="s">
        <v>497</v>
      </c>
      <c r="E554" s="110"/>
      <c r="F554" s="360">
        <v>176</v>
      </c>
      <c r="G554" s="360">
        <v>161</v>
      </c>
      <c r="H554" s="360">
        <v>157</v>
      </c>
      <c r="I554" s="360">
        <v>243</v>
      </c>
      <c r="J554" s="360">
        <v>281</v>
      </c>
      <c r="K554" s="360">
        <v>214</v>
      </c>
      <c r="L554" s="53">
        <v>219</v>
      </c>
    </row>
    <row r="555" spans="1:12" x14ac:dyDescent="0.25">
      <c r="A555" s="1622"/>
      <c r="B555" s="1625"/>
      <c r="C555" s="1263" t="s">
        <v>353</v>
      </c>
      <c r="D555" s="40" t="s">
        <v>498</v>
      </c>
      <c r="E555" s="40"/>
      <c r="F555" s="81">
        <f t="shared" ref="F555:L555" si="63">+F553-F551</f>
        <v>-536</v>
      </c>
      <c r="G555" s="81">
        <f t="shared" si="63"/>
        <v>-447</v>
      </c>
      <c r="H555" s="81">
        <f t="shared" si="63"/>
        <v>-530</v>
      </c>
      <c r="I555" s="81">
        <f t="shared" si="63"/>
        <v>-654</v>
      </c>
      <c r="J555" s="81">
        <f t="shared" si="63"/>
        <v>-1352.478687287816</v>
      </c>
      <c r="K555" s="81">
        <f t="shared" si="63"/>
        <v>-839</v>
      </c>
      <c r="L555" s="81">
        <f t="shared" si="63"/>
        <v>-782</v>
      </c>
    </row>
    <row r="556" spans="1:12" x14ac:dyDescent="0.25">
      <c r="A556" s="1622"/>
      <c r="B556" s="1625"/>
      <c r="C556" s="1256"/>
      <c r="D556" s="44" t="s">
        <v>499</v>
      </c>
      <c r="E556" s="44"/>
      <c r="F556" s="79">
        <f t="shared" ref="F556:L556" si="64">F554-F552</f>
        <v>72</v>
      </c>
      <c r="G556" s="79">
        <f t="shared" si="64"/>
        <v>49</v>
      </c>
      <c r="H556" s="79">
        <f t="shared" si="64"/>
        <v>48</v>
      </c>
      <c r="I556" s="79">
        <f t="shared" si="64"/>
        <v>66</v>
      </c>
      <c r="J556" s="79">
        <f t="shared" si="64"/>
        <v>63</v>
      </c>
      <c r="K556" s="79">
        <f t="shared" si="64"/>
        <v>41</v>
      </c>
      <c r="L556" s="79">
        <f t="shared" si="64"/>
        <v>67</v>
      </c>
    </row>
    <row r="557" spans="1:12" ht="16.5" customHeight="1" x14ac:dyDescent="0.25">
      <c r="A557" s="1622"/>
      <c r="B557" s="1625"/>
      <c r="C557" s="1256" t="s">
        <v>270</v>
      </c>
      <c r="D557" s="44" t="s">
        <v>500</v>
      </c>
      <c r="E557" s="44"/>
      <c r="F557" s="263">
        <f>+F553/(F553+F551)*100</f>
        <v>22.597137014314928</v>
      </c>
      <c r="G557" s="263">
        <f t="shared" ref="G557:L558" si="65">+G553/(G553+G551)*100</f>
        <v>26.448893572181241</v>
      </c>
      <c r="H557" s="263">
        <f t="shared" si="65"/>
        <v>29.709035222052066</v>
      </c>
      <c r="I557" s="263">
        <f t="shared" si="65"/>
        <v>30.085261875761265</v>
      </c>
      <c r="J557" s="263">
        <f t="shared" si="65"/>
        <v>1.332927573167815</v>
      </c>
      <c r="K557" s="263">
        <f t="shared" si="65"/>
        <v>25.221500295333726</v>
      </c>
      <c r="L557" s="263">
        <f t="shared" si="65"/>
        <v>27.372685185185187</v>
      </c>
    </row>
    <row r="558" spans="1:12" ht="16.5" thickBot="1" x14ac:dyDescent="0.3">
      <c r="A558" s="1623"/>
      <c r="B558" s="1626"/>
      <c r="C558" s="1257"/>
      <c r="D558" s="203" t="s">
        <v>501</v>
      </c>
      <c r="E558" s="203"/>
      <c r="F558" s="230">
        <f>+F554/(F554+F552)*100</f>
        <v>62.857142857142854</v>
      </c>
      <c r="G558" s="230">
        <f t="shared" si="65"/>
        <v>58.974358974358978</v>
      </c>
      <c r="H558" s="230">
        <f t="shared" si="65"/>
        <v>59.022556390977442</v>
      </c>
      <c r="I558" s="230">
        <f t="shared" si="65"/>
        <v>57.857142857142861</v>
      </c>
      <c r="J558" s="230">
        <f t="shared" si="65"/>
        <v>56.312625250501</v>
      </c>
      <c r="K558" s="230">
        <f t="shared" si="65"/>
        <v>55.297157622739014</v>
      </c>
      <c r="L558" s="230">
        <f t="shared" si="65"/>
        <v>59.029649595687331</v>
      </c>
    </row>
  </sheetData>
  <mergeCells count="250">
    <mergeCell ref="C452:C455"/>
    <mergeCell ref="C456:C459"/>
    <mergeCell ref="C460:C463"/>
    <mergeCell ref="C557:C558"/>
    <mergeCell ref="A550:A558"/>
    <mergeCell ref="B550:B558"/>
    <mergeCell ref="C369:D369"/>
    <mergeCell ref="C370:D370"/>
    <mergeCell ref="C446:D446"/>
    <mergeCell ref="C531:D531"/>
    <mergeCell ref="C532:D532"/>
    <mergeCell ref="C533:D533"/>
    <mergeCell ref="C534:D534"/>
    <mergeCell ref="C376:C379"/>
    <mergeCell ref="C380:C383"/>
    <mergeCell ref="C384:C387"/>
    <mergeCell ref="C388:C391"/>
    <mergeCell ref="C392:C395"/>
    <mergeCell ref="C396:C399"/>
    <mergeCell ref="C400:C403"/>
    <mergeCell ref="C404:C407"/>
    <mergeCell ref="C549:D549"/>
    <mergeCell ref="C550:D550"/>
    <mergeCell ref="C540:D540"/>
    <mergeCell ref="A541:A548"/>
    <mergeCell ref="B541:B545"/>
    <mergeCell ref="C371:D371"/>
    <mergeCell ref="A351:A360"/>
    <mergeCell ref="B351:B360"/>
    <mergeCell ref="C354:C356"/>
    <mergeCell ref="A362:A539"/>
    <mergeCell ref="B362:B370"/>
    <mergeCell ref="C362:C364"/>
    <mergeCell ref="C365:C367"/>
    <mergeCell ref="C443:D443"/>
    <mergeCell ref="C444:D444"/>
    <mergeCell ref="C445:D445"/>
    <mergeCell ref="B532:B539"/>
    <mergeCell ref="C536:D536"/>
    <mergeCell ref="C537:D537"/>
    <mergeCell ref="C528:C530"/>
    <mergeCell ref="B444:B530"/>
    <mergeCell ref="B372:B442"/>
    <mergeCell ref="C447:D447"/>
    <mergeCell ref="C538:D538"/>
    <mergeCell ref="C357:D357"/>
    <mergeCell ref="C516:C519"/>
    <mergeCell ref="C520:C523"/>
    <mergeCell ref="C464:C467"/>
    <mergeCell ref="C480:C483"/>
    <mergeCell ref="C542:D542"/>
    <mergeCell ref="C543:D543"/>
    <mergeCell ref="C545:D545"/>
    <mergeCell ref="B546:B548"/>
    <mergeCell ref="C546:D546"/>
    <mergeCell ref="C548:D548"/>
    <mergeCell ref="C547:D547"/>
    <mergeCell ref="C488:C491"/>
    <mergeCell ref="C468:C471"/>
    <mergeCell ref="C472:C475"/>
    <mergeCell ref="C476:C479"/>
    <mergeCell ref="C551:C552"/>
    <mergeCell ref="C541:D541"/>
    <mergeCell ref="C539:D539"/>
    <mergeCell ref="C492:C495"/>
    <mergeCell ref="C496:C499"/>
    <mergeCell ref="C500:C503"/>
    <mergeCell ref="C504:C507"/>
    <mergeCell ref="C508:C511"/>
    <mergeCell ref="C512:C515"/>
    <mergeCell ref="C524:C527"/>
    <mergeCell ref="C535:D535"/>
    <mergeCell ref="C553:C554"/>
    <mergeCell ref="C555:C556"/>
    <mergeCell ref="C544:D544"/>
    <mergeCell ref="B322:B325"/>
    <mergeCell ref="C316:D316"/>
    <mergeCell ref="C341:D341"/>
    <mergeCell ref="A342:A349"/>
    <mergeCell ref="B342:B345"/>
    <mergeCell ref="C342:D342"/>
    <mergeCell ref="C343:D343"/>
    <mergeCell ref="C344:D344"/>
    <mergeCell ref="C345:D345"/>
    <mergeCell ref="B346:B349"/>
    <mergeCell ref="C346:D346"/>
    <mergeCell ref="C347:D347"/>
    <mergeCell ref="C348:D348"/>
    <mergeCell ref="C349:D349"/>
    <mergeCell ref="B326:B335"/>
    <mergeCell ref="C326:C330"/>
    <mergeCell ref="C350:D350"/>
    <mergeCell ref="C358:D358"/>
    <mergeCell ref="C359:D359"/>
    <mergeCell ref="C360:D360"/>
    <mergeCell ref="C484:C487"/>
    <mergeCell ref="A317:A340"/>
    <mergeCell ref="B317:B321"/>
    <mergeCell ref="C317:D317"/>
    <mergeCell ref="C318:D318"/>
    <mergeCell ref="C319:D319"/>
    <mergeCell ref="C320:D320"/>
    <mergeCell ref="C321:D321"/>
    <mergeCell ref="C322:D322"/>
    <mergeCell ref="C323:D323"/>
    <mergeCell ref="C324:D324"/>
    <mergeCell ref="C325:D325"/>
    <mergeCell ref="C331:C335"/>
    <mergeCell ref="B336:B340"/>
    <mergeCell ref="C336:D336"/>
    <mergeCell ref="C337:D337"/>
    <mergeCell ref="C338:D338"/>
    <mergeCell ref="C339:D339"/>
    <mergeCell ref="C113:C116"/>
    <mergeCell ref="C117:C120"/>
    <mergeCell ref="C121:C124"/>
    <mergeCell ref="C125:C128"/>
    <mergeCell ref="C129:C132"/>
    <mergeCell ref="C440:C442"/>
    <mergeCell ref="C61:D61"/>
    <mergeCell ref="B62:B315"/>
    <mergeCell ref="C62:C64"/>
    <mergeCell ref="C65:C68"/>
    <mergeCell ref="C69:C72"/>
    <mergeCell ref="C73:C76"/>
    <mergeCell ref="C372:D372"/>
    <mergeCell ref="C373:D373"/>
    <mergeCell ref="C374:D374"/>
    <mergeCell ref="C375:D375"/>
    <mergeCell ref="C420:C423"/>
    <mergeCell ref="C424:C427"/>
    <mergeCell ref="C361:D361"/>
    <mergeCell ref="C368:D368"/>
    <mergeCell ref="C408:C411"/>
    <mergeCell ref="C412:C415"/>
    <mergeCell ref="C416:C419"/>
    <mergeCell ref="C436:C439"/>
    <mergeCell ref="C77:C80"/>
    <mergeCell ref="C81:C84"/>
    <mergeCell ref="C85:C88"/>
    <mergeCell ref="C89:C92"/>
    <mergeCell ref="C93:C96"/>
    <mergeCell ref="C97:C100"/>
    <mergeCell ref="C101:C104"/>
    <mergeCell ref="C105:C108"/>
    <mergeCell ref="C109:C112"/>
    <mergeCell ref="C53:D53"/>
    <mergeCell ref="C54:D54"/>
    <mergeCell ref="C55:D55"/>
    <mergeCell ref="B56:B60"/>
    <mergeCell ref="C56:D56"/>
    <mergeCell ref="C57:D57"/>
    <mergeCell ref="C58:D58"/>
    <mergeCell ref="C59:D59"/>
    <mergeCell ref="C60:D60"/>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301:C304"/>
    <mergeCell ref="C340:D340"/>
    <mergeCell ref="C205:C208"/>
    <mergeCell ref="C209:C212"/>
    <mergeCell ref="C213:C216"/>
    <mergeCell ref="C217:C220"/>
    <mergeCell ref="C305:C308"/>
    <mergeCell ref="C309:C312"/>
    <mergeCell ref="C313:D313"/>
    <mergeCell ref="C314:D314"/>
    <mergeCell ref="C315:D315"/>
    <mergeCell ref="C253:C256"/>
    <mergeCell ref="C221:C224"/>
    <mergeCell ref="C225:C228"/>
    <mergeCell ref="C229:C232"/>
    <mergeCell ref="C233:C236"/>
    <mergeCell ref="C237:C240"/>
    <mergeCell ref="C241:C244"/>
    <mergeCell ref="C293:C296"/>
    <mergeCell ref="C297:C300"/>
    <mergeCell ref="C428:C431"/>
    <mergeCell ref="C448:C451"/>
    <mergeCell ref="C432:C435"/>
    <mergeCell ref="A47:A315"/>
    <mergeCell ref="B47:B51"/>
    <mergeCell ref="C47:D47"/>
    <mergeCell ref="C48:D48"/>
    <mergeCell ref="C49:D49"/>
    <mergeCell ref="C50:D50"/>
    <mergeCell ref="C51:D51"/>
    <mergeCell ref="B52:B55"/>
    <mergeCell ref="C52:D52"/>
    <mergeCell ref="C257:C260"/>
    <mergeCell ref="C261:C264"/>
    <mergeCell ref="C265:C268"/>
    <mergeCell ref="C269:C272"/>
    <mergeCell ref="C273:C276"/>
    <mergeCell ref="C277:C280"/>
    <mergeCell ref="C281:C284"/>
    <mergeCell ref="C285:C288"/>
    <mergeCell ref="C289:C292"/>
    <mergeCell ref="C351:C353"/>
    <mergeCell ref="C245:C248"/>
    <mergeCell ref="C249:C252"/>
  </mergeCells>
  <conditionalFormatting sqref="E349:F349">
    <cfRule type="cellIs" dxfId="828" priority="193" operator="lessThan">
      <formula>0</formula>
    </cfRule>
    <cfRule type="cellIs" dxfId="827" priority="194" operator="greaterThan">
      <formula>0</formula>
    </cfRule>
  </conditionalFormatting>
  <conditionalFormatting sqref="E39:L39">
    <cfRule type="cellIs" dxfId="826" priority="415" operator="greaterThan">
      <formula>1</formula>
    </cfRule>
    <cfRule type="cellIs" dxfId="825" priority="414" operator="lessThan">
      <formula>1</formula>
    </cfRule>
    <cfRule type="cellIs" dxfId="824" priority="413" operator="greaterThan">
      <formula>1</formula>
    </cfRule>
    <cfRule type="cellIs" dxfId="823" priority="412" operator="greaterThan">
      <formula>1</formula>
    </cfRule>
  </conditionalFormatting>
  <conditionalFormatting sqref="E40:L40">
    <cfRule type="cellIs" dxfId="822" priority="417" operator="greaterThan">
      <formula>50</formula>
    </cfRule>
    <cfRule type="cellIs" dxfId="821" priority="416" operator="lessThan">
      <formula>50</formula>
    </cfRule>
    <cfRule type="cellIs" dxfId="820" priority="411" operator="greaterThan">
      <formula>50</formula>
    </cfRule>
  </conditionalFormatting>
  <conditionalFormatting sqref="E44:L44">
    <cfRule type="cellIs" dxfId="819" priority="410" operator="greaterThan">
      <formula>1</formula>
    </cfRule>
    <cfRule type="cellIs" dxfId="818" priority="409" operator="lessThan">
      <formula>1</formula>
    </cfRule>
    <cfRule type="cellIs" dxfId="817" priority="408" operator="greaterThan">
      <formula>1</formula>
    </cfRule>
    <cfRule type="cellIs" dxfId="816" priority="407" operator="greaterThan">
      <formula>1</formula>
    </cfRule>
  </conditionalFormatting>
  <conditionalFormatting sqref="E45:L45">
    <cfRule type="cellIs" dxfId="815" priority="405" operator="lessThan">
      <formula>50</formula>
    </cfRule>
    <cfRule type="cellIs" dxfId="814" priority="406" operator="greaterThan">
      <formula>50</formula>
    </cfRule>
    <cfRule type="cellIs" dxfId="813" priority="404" operator="greaterThan">
      <formula>50</formula>
    </cfRule>
  </conditionalFormatting>
  <conditionalFormatting sqref="E50:L50">
    <cfRule type="cellIs" dxfId="812" priority="266" operator="lessThan">
      <formula>1</formula>
    </cfRule>
    <cfRule type="cellIs" dxfId="811" priority="267" operator="greaterThan">
      <formula>1</formula>
    </cfRule>
    <cfRule type="cellIs" dxfId="810" priority="268" operator="greaterThan">
      <formula>1</formula>
    </cfRule>
    <cfRule type="cellIs" dxfId="809" priority="269" operator="lessThan">
      <formula>1</formula>
    </cfRule>
    <cfRule type="cellIs" dxfId="808" priority="270" operator="greaterThan">
      <formula>1</formula>
    </cfRule>
  </conditionalFormatting>
  <conditionalFormatting sqref="E51:L51">
    <cfRule type="cellIs" dxfId="807" priority="277" operator="greaterThan">
      <formula>50</formula>
    </cfRule>
    <cfRule type="cellIs" dxfId="806" priority="278" operator="lessThan">
      <formula>50</formula>
    </cfRule>
    <cfRule type="cellIs" dxfId="805" priority="279" operator="greaterThan">
      <formula>50</formula>
    </cfRule>
  </conditionalFormatting>
  <conditionalFormatting sqref="F370:K370">
    <cfRule type="cellIs" dxfId="804" priority="189" operator="lessThan">
      <formula>0</formula>
    </cfRule>
  </conditionalFormatting>
  <conditionalFormatting sqref="F320:L321">
    <cfRule type="cellIs" dxfId="803" priority="297" operator="lessThan">
      <formula>1</formula>
    </cfRule>
  </conditionalFormatting>
  <conditionalFormatting sqref="F555:L555">
    <cfRule type="cellIs" dxfId="802" priority="13" operator="lessThan">
      <formula>0</formula>
    </cfRule>
  </conditionalFormatting>
  <conditionalFormatting sqref="F556:L558">
    <cfRule type="cellIs" dxfId="801" priority="11" operator="greaterThan">
      <formula>0</formula>
    </cfRule>
  </conditionalFormatting>
  <conditionalFormatting sqref="F558:L558">
    <cfRule type="cellIs" dxfId="800" priority="16" operator="lessThan">
      <formula>0</formula>
    </cfRule>
    <cfRule type="cellIs" dxfId="799" priority="15" operator="greaterThan">
      <formula>0</formula>
    </cfRule>
  </conditionalFormatting>
  <conditionalFormatting sqref="G325:L325">
    <cfRule type="cellIs" dxfId="798" priority="303" operator="greaterThan">
      <formula>0</formula>
    </cfRule>
    <cfRule type="cellIs" dxfId="797" priority="304" operator="lessThan">
      <formula>1</formula>
    </cfRule>
  </conditionalFormatting>
  <conditionalFormatting sqref="H535:J535">
    <cfRule type="cellIs" dxfId="796" priority="2" operator="greaterThan">
      <formula>0</formula>
    </cfRule>
  </conditionalFormatting>
  <conditionalFormatting sqref="H59:K59">
    <cfRule type="cellIs" dxfId="795" priority="273" operator="greaterThan">
      <formula>0</formula>
    </cfRule>
  </conditionalFormatting>
  <conditionalFormatting sqref="H60:K60">
    <cfRule type="cellIs" dxfId="794" priority="272" operator="greaterThan">
      <formula>50</formula>
    </cfRule>
    <cfRule type="cellIs" dxfId="793" priority="275" operator="greaterThan">
      <formula>50</formula>
    </cfRule>
    <cfRule type="cellIs" dxfId="792" priority="274" operator="lessThan">
      <formula>50</formula>
    </cfRule>
    <cfRule type="cellIs" dxfId="791" priority="271" operator="lessThan">
      <formula>50</formula>
    </cfRule>
  </conditionalFormatting>
  <conditionalFormatting sqref="H339:K339">
    <cfRule type="cellIs" dxfId="790" priority="306" operator="lessThan">
      <formula>0</formula>
    </cfRule>
    <cfRule type="cellIs" dxfId="789" priority="312" operator="greaterThan">
      <formula>0</formula>
    </cfRule>
    <cfRule type="cellIs" dxfId="788" priority="313" operator="lessThan">
      <formula>0</formula>
    </cfRule>
    <cfRule type="cellIs" dxfId="787" priority="314" operator="greaterThan">
      <formula>0</formula>
    </cfRule>
  </conditionalFormatting>
  <conditionalFormatting sqref="H535:K535">
    <cfRule type="cellIs" dxfId="786" priority="1" operator="lessThan">
      <formula>0</formula>
    </cfRule>
  </conditionalFormatting>
  <conditionalFormatting sqref="H536:K536">
    <cfRule type="cellIs" dxfId="785" priority="3" operator="lessThan">
      <formula>50</formula>
    </cfRule>
    <cfRule type="cellIs" dxfId="784" priority="4" operator="greaterThan">
      <formula>50</formula>
    </cfRule>
  </conditionalFormatting>
  <conditionalFormatting sqref="H55:L55">
    <cfRule type="cellIs" dxfId="783" priority="276" operator="greaterThan">
      <formula>0</formula>
    </cfRule>
  </conditionalFormatting>
  <conditionalFormatting sqref="I329 K329">
    <cfRule type="cellIs" dxfId="782" priority="299" operator="greaterThan">
      <formula>0</formula>
    </cfRule>
    <cfRule type="cellIs" dxfId="781" priority="300" operator="lessThan">
      <formula>1</formula>
    </cfRule>
  </conditionalFormatting>
  <conditionalFormatting sqref="I330 K330">
    <cfRule type="cellIs" dxfId="780" priority="298" operator="greaterThan">
      <formula>50</formula>
    </cfRule>
    <cfRule type="cellIs" dxfId="779" priority="301" operator="lessThan">
      <formula>50</formula>
    </cfRule>
  </conditionalFormatting>
  <conditionalFormatting sqref="I334:K334">
    <cfRule type="cellIs" dxfId="778" priority="307" operator="greaterThan">
      <formula>0</formula>
    </cfRule>
    <cfRule type="cellIs" dxfId="777" priority="308" operator="lessThan">
      <formula>1</formula>
    </cfRule>
  </conditionalFormatting>
  <conditionalFormatting sqref="I335:K335">
    <cfRule type="cellIs" dxfId="776" priority="423" operator="lessThan">
      <formula>50</formula>
    </cfRule>
    <cfRule type="cellIs" dxfId="775" priority="423" operator="greaterThan">
      <formula>50</formula>
    </cfRule>
  </conditionalFormatting>
  <conditionalFormatting sqref="I360:K360">
    <cfRule type="cellIs" dxfId="774" priority="26" operator="greaterThan">
      <formula>0</formula>
    </cfRule>
    <cfRule type="cellIs" dxfId="773" priority="25" operator="lessThan">
      <formula>0</formula>
    </cfRule>
  </conditionalFormatting>
  <conditionalFormatting sqref="K545">
    <cfRule type="cellIs" dxfId="772" priority="10" operator="greaterThan">
      <formula>50</formula>
    </cfRule>
    <cfRule type="cellIs" dxfId="771" priority="9" operator="lessThan">
      <formula>50</formula>
    </cfRule>
    <cfRule type="cellIs" dxfId="770" priority="8" operator="lessThan">
      <formula>50</formula>
    </cfRule>
  </conditionalFormatting>
  <hyperlinks>
    <hyperlink ref="M1" location="INDICADORES!A1" display="INDICADORES" xr:uid="{34F0BDFB-AEFB-4888-BD20-FE82875C4949}"/>
    <hyperlink ref="O1" location="DISTRITOS!A1" display="DISTRITOS" xr:uid="{2CA5E10D-8DE6-43C8-B3BC-C7DFF173C501}"/>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894DC-A65D-4037-9583-8B43C382D88C}">
  <sheetPr codeName="Hoja13">
    <tabColor theme="8" tint="-0.249977111117893"/>
  </sheetPr>
  <dimension ref="A1:O510"/>
  <sheetViews>
    <sheetView showGridLines="0" topLeftCell="C1" zoomScale="70" zoomScaleNormal="70" workbookViewId="0">
      <pane ySplit="2" topLeftCell="A488" activePane="bottomLeft" state="frozen"/>
      <selection activeCell="F334" sqref="F334"/>
      <selection pane="bottomLeft" activeCell="L497" sqref="L497"/>
    </sheetView>
  </sheetViews>
  <sheetFormatPr baseColWidth="10" defaultColWidth="11.42578125" defaultRowHeight="15.75" x14ac:dyDescent="0.25"/>
  <cols>
    <col min="1" max="1" width="26.5703125" style="11" customWidth="1"/>
    <col min="2" max="2" width="50.5703125" style="205" customWidth="1"/>
    <col min="3" max="4" width="30.5703125" style="11" customWidth="1"/>
    <col min="5" max="12" width="13.5703125" style="11" customWidth="1"/>
    <col min="13" max="13" width="14.5703125" style="11" customWidth="1"/>
    <col min="14" max="14" width="3.42578125" style="11" customWidth="1"/>
    <col min="15" max="15" width="14.5703125" style="11" customWidth="1"/>
    <col min="16" max="16384" width="11.42578125" style="11"/>
  </cols>
  <sheetData>
    <row r="1" spans="1:15" ht="30" customHeight="1" thickTop="1" thickBot="1" x14ac:dyDescent="0.3">
      <c r="A1" s="1020" t="s">
        <v>567</v>
      </c>
      <c r="B1" s="1020"/>
      <c r="C1" s="1020"/>
      <c r="D1" s="1020"/>
      <c r="E1" s="1020"/>
      <c r="F1" s="1020"/>
      <c r="G1" s="1020"/>
      <c r="H1" s="1020"/>
      <c r="I1" s="1020"/>
      <c r="J1" s="1020"/>
      <c r="K1" s="1020"/>
      <c r="M1" s="479" t="s">
        <v>246</v>
      </c>
      <c r="N1" s="480"/>
      <c r="O1" s="481" t="s">
        <v>247</v>
      </c>
    </row>
    <row r="2" spans="1:15" ht="18" customHeight="1" thickTop="1" thickBot="1" x14ac:dyDescent="0.3">
      <c r="A2" s="362" t="s">
        <v>248</v>
      </c>
      <c r="B2" s="785" t="s">
        <v>249</v>
      </c>
      <c r="C2" s="1542"/>
      <c r="D2" s="1542"/>
      <c r="E2" s="625">
        <v>2005</v>
      </c>
      <c r="F2" s="625">
        <v>2010</v>
      </c>
      <c r="G2" s="625">
        <v>2015</v>
      </c>
      <c r="H2" s="625">
        <v>2020</v>
      </c>
      <c r="I2" s="625">
        <v>2021</v>
      </c>
      <c r="J2" s="625">
        <v>2022</v>
      </c>
      <c r="K2" s="625">
        <v>2023</v>
      </c>
      <c r="L2" s="284">
        <v>2024</v>
      </c>
    </row>
    <row r="3" spans="1:15" ht="15" customHeight="1" x14ac:dyDescent="0.25">
      <c r="A3" s="1669" t="s">
        <v>26</v>
      </c>
      <c r="B3" s="1759" t="s">
        <v>568</v>
      </c>
      <c r="C3" s="1537" t="s">
        <v>251</v>
      </c>
      <c r="D3" s="1211"/>
      <c r="E3" s="81">
        <v>257342</v>
      </c>
      <c r="F3" s="81">
        <v>255402</v>
      </c>
      <c r="G3" s="81">
        <v>234222</v>
      </c>
      <c r="H3" s="81">
        <v>242139</v>
      </c>
      <c r="I3" s="81">
        <v>240155</v>
      </c>
      <c r="J3" s="81">
        <v>237048</v>
      </c>
      <c r="K3" s="81">
        <v>241672</v>
      </c>
      <c r="L3" s="82">
        <v>250396</v>
      </c>
    </row>
    <row r="4" spans="1:15" ht="15" customHeight="1" x14ac:dyDescent="0.25">
      <c r="A4" s="1670"/>
      <c r="B4" s="1760"/>
      <c r="C4" s="1304" t="s">
        <v>257</v>
      </c>
      <c r="D4" s="1213"/>
      <c r="E4" s="80">
        <v>122689</v>
      </c>
      <c r="F4" s="80">
        <v>121564</v>
      </c>
      <c r="G4" s="80">
        <v>109172</v>
      </c>
      <c r="H4" s="80">
        <v>112282</v>
      </c>
      <c r="I4" s="80">
        <v>111209</v>
      </c>
      <c r="J4" s="80">
        <v>109928</v>
      </c>
      <c r="K4" s="80">
        <v>112093</v>
      </c>
      <c r="L4" s="83">
        <v>116437</v>
      </c>
    </row>
    <row r="5" spans="1:15" ht="15" customHeight="1" thickBot="1" x14ac:dyDescent="0.3">
      <c r="A5" s="1670"/>
      <c r="B5" s="1760"/>
      <c r="C5" s="1539" t="s">
        <v>263</v>
      </c>
      <c r="D5" s="1763"/>
      <c r="E5" s="372">
        <v>134653</v>
      </c>
      <c r="F5" s="372">
        <v>133838</v>
      </c>
      <c r="G5" s="372">
        <v>125050</v>
      </c>
      <c r="H5" s="372">
        <v>129857</v>
      </c>
      <c r="I5" s="372">
        <v>128946</v>
      </c>
      <c r="J5" s="372">
        <v>127120</v>
      </c>
      <c r="K5" s="372">
        <v>129579</v>
      </c>
      <c r="L5" s="373">
        <v>133959</v>
      </c>
    </row>
    <row r="6" spans="1:15" ht="15" customHeight="1" x14ac:dyDescent="0.25">
      <c r="A6" s="1670"/>
      <c r="B6" s="1761"/>
      <c r="C6" s="1537" t="s">
        <v>269</v>
      </c>
      <c r="D6" s="1211"/>
      <c r="E6" s="375">
        <f>+E5-E4</f>
        <v>11964</v>
      </c>
      <c r="F6" s="375">
        <f t="shared" ref="F6:L6" si="0">+F5-F4</f>
        <v>12274</v>
      </c>
      <c r="G6" s="375">
        <f t="shared" si="0"/>
        <v>15878</v>
      </c>
      <c r="H6" s="375">
        <f t="shared" si="0"/>
        <v>17575</v>
      </c>
      <c r="I6" s="375">
        <f t="shared" si="0"/>
        <v>17737</v>
      </c>
      <c r="J6" s="375">
        <f t="shared" si="0"/>
        <v>17192</v>
      </c>
      <c r="K6" s="375">
        <f t="shared" si="0"/>
        <v>17486</v>
      </c>
      <c r="L6" s="376">
        <f t="shared" si="0"/>
        <v>17522</v>
      </c>
    </row>
    <row r="7" spans="1:15" ht="15" customHeight="1" thickBot="1" x14ac:dyDescent="0.3">
      <c r="A7" s="1670"/>
      <c r="B7" s="1762"/>
      <c r="C7" s="1125" t="s">
        <v>270</v>
      </c>
      <c r="D7" s="1126"/>
      <c r="E7" s="366">
        <f>E5/E3*100</f>
        <v>52.324533111579143</v>
      </c>
      <c r="F7" s="366">
        <f t="shared" ref="F7:L7" si="1">F5/F3*100</f>
        <v>52.40287859922789</v>
      </c>
      <c r="G7" s="366">
        <f t="shared" si="1"/>
        <v>53.389519344895007</v>
      </c>
      <c r="H7" s="366">
        <f t="shared" si="1"/>
        <v>53.629113856090925</v>
      </c>
      <c r="I7" s="366">
        <f t="shared" si="1"/>
        <v>53.69282338489726</v>
      </c>
      <c r="J7" s="366">
        <f t="shared" si="1"/>
        <v>53.626269785022437</v>
      </c>
      <c r="K7" s="366">
        <f t="shared" si="1"/>
        <v>53.617713264258995</v>
      </c>
      <c r="L7" s="367">
        <f t="shared" si="1"/>
        <v>53.498857809230181</v>
      </c>
    </row>
    <row r="8" spans="1:15" ht="15" customHeight="1" x14ac:dyDescent="0.25">
      <c r="A8" s="1670"/>
      <c r="B8" s="1759" t="s">
        <v>569</v>
      </c>
      <c r="C8" s="1300" t="s">
        <v>257</v>
      </c>
      <c r="D8" s="168" t="s">
        <v>272</v>
      </c>
      <c r="E8" s="81">
        <v>122689</v>
      </c>
      <c r="F8" s="81">
        <v>121564</v>
      </c>
      <c r="G8" s="81">
        <v>109172</v>
      </c>
      <c r="H8" s="81">
        <v>112282</v>
      </c>
      <c r="I8" s="81">
        <v>111209</v>
      </c>
      <c r="J8" s="81">
        <v>109928</v>
      </c>
      <c r="K8" s="81">
        <v>112093</v>
      </c>
      <c r="L8" s="82">
        <v>116437</v>
      </c>
    </row>
    <row r="9" spans="1:15" ht="15" customHeight="1" x14ac:dyDescent="0.25">
      <c r="A9" s="1670"/>
      <c r="B9" s="1760"/>
      <c r="C9" s="1301"/>
      <c r="D9" s="164" t="s">
        <v>275</v>
      </c>
      <c r="E9" s="80">
        <v>15602</v>
      </c>
      <c r="F9" s="80">
        <v>16342</v>
      </c>
      <c r="G9" s="80">
        <v>15167</v>
      </c>
      <c r="H9" s="80">
        <v>15262</v>
      </c>
      <c r="I9" s="80">
        <v>14814</v>
      </c>
      <c r="J9" s="80">
        <v>14485</v>
      </c>
      <c r="K9" s="80">
        <v>14588</v>
      </c>
      <c r="L9" s="83">
        <v>13708</v>
      </c>
    </row>
    <row r="10" spans="1:15" ht="15" customHeight="1" x14ac:dyDescent="0.25">
      <c r="A10" s="1670"/>
      <c r="B10" s="1760"/>
      <c r="C10" s="1301"/>
      <c r="D10" s="164" t="s">
        <v>282</v>
      </c>
      <c r="E10" s="80">
        <v>85334</v>
      </c>
      <c r="F10" s="80">
        <v>81462</v>
      </c>
      <c r="G10" s="80">
        <v>70095</v>
      </c>
      <c r="H10" s="80">
        <v>73494</v>
      </c>
      <c r="I10" s="80">
        <v>73475</v>
      </c>
      <c r="J10" s="80">
        <v>72711</v>
      </c>
      <c r="K10" s="80">
        <v>74833</v>
      </c>
      <c r="L10" s="83">
        <v>79770</v>
      </c>
    </row>
    <row r="11" spans="1:15" ht="15" customHeight="1" x14ac:dyDescent="0.25">
      <c r="A11" s="1670"/>
      <c r="B11" s="1760"/>
      <c r="C11" s="1301"/>
      <c r="D11" s="164" t="s">
        <v>288</v>
      </c>
      <c r="E11" s="80">
        <v>21749</v>
      </c>
      <c r="F11" s="80">
        <v>23760</v>
      </c>
      <c r="G11" s="80">
        <v>23910</v>
      </c>
      <c r="H11" s="80">
        <v>23526</v>
      </c>
      <c r="I11" s="80">
        <v>22920</v>
      </c>
      <c r="J11" s="80">
        <v>22732</v>
      </c>
      <c r="K11" s="80">
        <v>22672</v>
      </c>
      <c r="L11" s="83">
        <v>22959</v>
      </c>
    </row>
    <row r="12" spans="1:15" ht="15" customHeight="1" x14ac:dyDescent="0.25">
      <c r="A12" s="1670"/>
      <c r="B12" s="1760"/>
      <c r="C12" s="1301"/>
      <c r="D12" s="164" t="s">
        <v>295</v>
      </c>
      <c r="E12" s="80">
        <v>4125</v>
      </c>
      <c r="F12" s="80">
        <v>5426</v>
      </c>
      <c r="G12" s="80">
        <v>7017</v>
      </c>
      <c r="H12" s="80">
        <v>8276</v>
      </c>
      <c r="I12" s="80">
        <v>8428</v>
      </c>
      <c r="J12" s="80">
        <v>8459</v>
      </c>
      <c r="K12" s="80">
        <v>8509</v>
      </c>
      <c r="L12" s="83">
        <v>8731</v>
      </c>
    </row>
    <row r="13" spans="1:15" ht="15" customHeight="1" thickBot="1" x14ac:dyDescent="0.3">
      <c r="A13" s="1670"/>
      <c r="B13" s="1760"/>
      <c r="C13" s="1302"/>
      <c r="D13" s="169" t="s">
        <v>296</v>
      </c>
      <c r="E13" s="381">
        <v>4</v>
      </c>
      <c r="F13" s="381">
        <v>0</v>
      </c>
      <c r="G13" s="381">
        <v>0</v>
      </c>
      <c r="H13" s="381">
        <v>0</v>
      </c>
      <c r="I13" s="381">
        <v>0</v>
      </c>
      <c r="J13" s="381">
        <v>0</v>
      </c>
      <c r="K13" s="381">
        <v>0</v>
      </c>
      <c r="L13" s="756">
        <v>0</v>
      </c>
    </row>
    <row r="14" spans="1:15" ht="15" customHeight="1" x14ac:dyDescent="0.25">
      <c r="A14" s="1670"/>
      <c r="B14" s="1760"/>
      <c r="C14" s="1303" t="s">
        <v>263</v>
      </c>
      <c r="D14" s="168" t="s">
        <v>272</v>
      </c>
      <c r="E14" s="81">
        <v>134653</v>
      </c>
      <c r="F14" s="81">
        <v>133838</v>
      </c>
      <c r="G14" s="81">
        <v>125050</v>
      </c>
      <c r="H14" s="81">
        <v>129857</v>
      </c>
      <c r="I14" s="81">
        <v>128946</v>
      </c>
      <c r="J14" s="81">
        <v>127120</v>
      </c>
      <c r="K14" s="81">
        <v>129579</v>
      </c>
      <c r="L14" s="82">
        <v>133959</v>
      </c>
    </row>
    <row r="15" spans="1:15" ht="15" customHeight="1" x14ac:dyDescent="0.25">
      <c r="A15" s="1670"/>
      <c r="B15" s="1760"/>
      <c r="C15" s="1304"/>
      <c r="D15" s="164" t="s">
        <v>275</v>
      </c>
      <c r="E15" s="80">
        <v>14944</v>
      </c>
      <c r="F15" s="80">
        <v>15632</v>
      </c>
      <c r="G15" s="80">
        <v>14533</v>
      </c>
      <c r="H15" s="80">
        <v>14459</v>
      </c>
      <c r="I15" s="80">
        <v>14132</v>
      </c>
      <c r="J15" s="80">
        <v>13661</v>
      </c>
      <c r="K15" s="80">
        <v>13649</v>
      </c>
      <c r="L15" s="83">
        <v>13015</v>
      </c>
    </row>
    <row r="16" spans="1:15" ht="15" customHeight="1" x14ac:dyDescent="0.25">
      <c r="A16" s="1670"/>
      <c r="B16" s="1760"/>
      <c r="C16" s="1304"/>
      <c r="D16" s="164" t="s">
        <v>282</v>
      </c>
      <c r="E16" s="80">
        <v>89330</v>
      </c>
      <c r="F16" s="80">
        <v>84506</v>
      </c>
      <c r="G16" s="80">
        <v>75088</v>
      </c>
      <c r="H16" s="80">
        <v>79957</v>
      </c>
      <c r="I16" s="80">
        <v>79708</v>
      </c>
      <c r="J16" s="80">
        <v>78554</v>
      </c>
      <c r="K16" s="80">
        <v>80964</v>
      </c>
      <c r="L16" s="83">
        <v>85462</v>
      </c>
    </row>
    <row r="17" spans="1:12" ht="15" customHeight="1" x14ac:dyDescent="0.25">
      <c r="A17" s="1670"/>
      <c r="B17" s="1760"/>
      <c r="C17" s="1304"/>
      <c r="D17" s="164" t="s">
        <v>288</v>
      </c>
      <c r="E17" s="80">
        <v>30375</v>
      </c>
      <c r="F17" s="80">
        <v>33699</v>
      </c>
      <c r="G17" s="80">
        <v>35429</v>
      </c>
      <c r="H17" s="80">
        <v>35441</v>
      </c>
      <c r="I17" s="80">
        <v>35106</v>
      </c>
      <c r="J17" s="80">
        <v>34905</v>
      </c>
      <c r="K17" s="80">
        <v>34966</v>
      </c>
      <c r="L17" s="83">
        <v>35482</v>
      </c>
    </row>
    <row r="18" spans="1:12" ht="15" customHeight="1" x14ac:dyDescent="0.25">
      <c r="A18" s="1670"/>
      <c r="B18" s="1760"/>
      <c r="C18" s="1304"/>
      <c r="D18" s="164" t="s">
        <v>295</v>
      </c>
      <c r="E18" s="80">
        <v>8240</v>
      </c>
      <c r="F18" s="80">
        <v>9905</v>
      </c>
      <c r="G18" s="80">
        <v>11864</v>
      </c>
      <c r="H18" s="80">
        <v>13304</v>
      </c>
      <c r="I18" s="80">
        <v>13775</v>
      </c>
      <c r="J18" s="80">
        <v>13932</v>
      </c>
      <c r="K18" s="80">
        <v>14128</v>
      </c>
      <c r="L18" s="83">
        <v>14836</v>
      </c>
    </row>
    <row r="19" spans="1:12" ht="15" customHeight="1" thickBot="1" x14ac:dyDescent="0.3">
      <c r="A19" s="1670"/>
      <c r="B19" s="1760"/>
      <c r="C19" s="1305"/>
      <c r="D19" s="169" t="s">
        <v>296</v>
      </c>
      <c r="E19" s="381">
        <v>4</v>
      </c>
      <c r="F19" s="381">
        <v>1</v>
      </c>
      <c r="G19" s="381">
        <v>0</v>
      </c>
      <c r="H19" s="381">
        <v>0</v>
      </c>
      <c r="I19" s="381">
        <v>0</v>
      </c>
      <c r="J19" s="381">
        <v>0</v>
      </c>
      <c r="K19" s="381">
        <v>0</v>
      </c>
      <c r="L19" s="756">
        <v>0</v>
      </c>
    </row>
    <row r="20" spans="1:12" ht="15" customHeight="1" x14ac:dyDescent="0.25">
      <c r="A20" s="1670"/>
      <c r="B20" s="1760"/>
      <c r="C20" s="1306" t="s">
        <v>269</v>
      </c>
      <c r="D20" s="535" t="s">
        <v>272</v>
      </c>
      <c r="E20" s="375">
        <f>E14-E8</f>
        <v>11964</v>
      </c>
      <c r="F20" s="375">
        <f t="shared" ref="F20:L20" si="2">F14-F8</f>
        <v>12274</v>
      </c>
      <c r="G20" s="375">
        <f t="shared" si="2"/>
        <v>15878</v>
      </c>
      <c r="H20" s="375">
        <f t="shared" si="2"/>
        <v>17575</v>
      </c>
      <c r="I20" s="375">
        <f t="shared" si="2"/>
        <v>17737</v>
      </c>
      <c r="J20" s="375">
        <f t="shared" si="2"/>
        <v>17192</v>
      </c>
      <c r="K20" s="375">
        <f t="shared" si="2"/>
        <v>17486</v>
      </c>
      <c r="L20" s="376">
        <f t="shared" si="2"/>
        <v>17522</v>
      </c>
    </row>
    <row r="21" spans="1:12" ht="15" customHeight="1" x14ac:dyDescent="0.25">
      <c r="A21" s="1670"/>
      <c r="B21" s="1760"/>
      <c r="C21" s="1307"/>
      <c r="D21" s="527" t="s">
        <v>275</v>
      </c>
      <c r="E21" s="157">
        <f t="shared" ref="E21:L24" si="3">E15-E9</f>
        <v>-658</v>
      </c>
      <c r="F21" s="157">
        <f t="shared" si="3"/>
        <v>-710</v>
      </c>
      <c r="G21" s="157">
        <f t="shared" si="3"/>
        <v>-634</v>
      </c>
      <c r="H21" s="157">
        <f t="shared" si="3"/>
        <v>-803</v>
      </c>
      <c r="I21" s="157">
        <f t="shared" si="3"/>
        <v>-682</v>
      </c>
      <c r="J21" s="157">
        <f t="shared" si="3"/>
        <v>-824</v>
      </c>
      <c r="K21" s="157">
        <f t="shared" si="3"/>
        <v>-939</v>
      </c>
      <c r="L21" s="160">
        <f t="shared" si="3"/>
        <v>-693</v>
      </c>
    </row>
    <row r="22" spans="1:12" ht="15" customHeight="1" x14ac:dyDescent="0.25">
      <c r="A22" s="1670"/>
      <c r="B22" s="1760"/>
      <c r="C22" s="1307"/>
      <c r="D22" s="527" t="s">
        <v>282</v>
      </c>
      <c r="E22" s="363">
        <f t="shared" si="3"/>
        <v>3996</v>
      </c>
      <c r="F22" s="363">
        <f t="shared" si="3"/>
        <v>3044</v>
      </c>
      <c r="G22" s="363">
        <f t="shared" si="3"/>
        <v>4993</v>
      </c>
      <c r="H22" s="363">
        <f t="shared" si="3"/>
        <v>6463</v>
      </c>
      <c r="I22" s="363">
        <f t="shared" si="3"/>
        <v>6233</v>
      </c>
      <c r="J22" s="363">
        <f t="shared" si="3"/>
        <v>5843</v>
      </c>
      <c r="K22" s="363">
        <f t="shared" si="3"/>
        <v>6131</v>
      </c>
      <c r="L22" s="365">
        <f t="shared" si="3"/>
        <v>5692</v>
      </c>
    </row>
    <row r="23" spans="1:12" ht="15" customHeight="1" x14ac:dyDescent="0.25">
      <c r="A23" s="1670"/>
      <c r="B23" s="1760"/>
      <c r="C23" s="1307"/>
      <c r="D23" s="527" t="s">
        <v>288</v>
      </c>
      <c r="E23" s="363">
        <f t="shared" si="3"/>
        <v>8626</v>
      </c>
      <c r="F23" s="363">
        <f t="shared" si="3"/>
        <v>9939</v>
      </c>
      <c r="G23" s="363">
        <f t="shared" si="3"/>
        <v>11519</v>
      </c>
      <c r="H23" s="363">
        <f t="shared" si="3"/>
        <v>11915</v>
      </c>
      <c r="I23" s="363">
        <f t="shared" si="3"/>
        <v>12186</v>
      </c>
      <c r="J23" s="363">
        <f t="shared" si="3"/>
        <v>12173</v>
      </c>
      <c r="K23" s="363">
        <f t="shared" si="3"/>
        <v>12294</v>
      </c>
      <c r="L23" s="365">
        <f t="shared" si="3"/>
        <v>12523</v>
      </c>
    </row>
    <row r="24" spans="1:12" ht="15" customHeight="1" thickBot="1" x14ac:dyDescent="0.3">
      <c r="A24" s="1670"/>
      <c r="B24" s="1760"/>
      <c r="C24" s="1308"/>
      <c r="D24" s="538" t="s">
        <v>295</v>
      </c>
      <c r="E24" s="382">
        <f t="shared" si="3"/>
        <v>4115</v>
      </c>
      <c r="F24" s="382">
        <f t="shared" si="3"/>
        <v>4479</v>
      </c>
      <c r="G24" s="382">
        <f t="shared" si="3"/>
        <v>4847</v>
      </c>
      <c r="H24" s="382">
        <f t="shared" si="3"/>
        <v>5028</v>
      </c>
      <c r="I24" s="382">
        <f t="shared" si="3"/>
        <v>5347</v>
      </c>
      <c r="J24" s="382">
        <f t="shared" si="3"/>
        <v>5473</v>
      </c>
      <c r="K24" s="382">
        <f t="shared" si="3"/>
        <v>5619</v>
      </c>
      <c r="L24" s="383">
        <f t="shared" si="3"/>
        <v>6105</v>
      </c>
    </row>
    <row r="25" spans="1:12" ht="15" customHeight="1" x14ac:dyDescent="0.25">
      <c r="A25" s="1670"/>
      <c r="B25" s="1760"/>
      <c r="C25" s="1265" t="s">
        <v>270</v>
      </c>
      <c r="D25" s="535" t="s">
        <v>272</v>
      </c>
      <c r="E25" s="384">
        <f>E14/E3*100</f>
        <v>52.324533111579143</v>
      </c>
      <c r="F25" s="384">
        <f t="shared" ref="F25:L25" si="4">F14/F3*100</f>
        <v>52.40287859922789</v>
      </c>
      <c r="G25" s="384">
        <f t="shared" si="4"/>
        <v>53.389519344895007</v>
      </c>
      <c r="H25" s="384">
        <f t="shared" si="4"/>
        <v>53.629113856090925</v>
      </c>
      <c r="I25" s="384">
        <f t="shared" si="4"/>
        <v>53.69282338489726</v>
      </c>
      <c r="J25" s="384">
        <f t="shared" si="4"/>
        <v>53.626269785022437</v>
      </c>
      <c r="K25" s="384">
        <f t="shared" si="4"/>
        <v>53.617713264258995</v>
      </c>
      <c r="L25" s="385">
        <f t="shared" si="4"/>
        <v>53.498857809230181</v>
      </c>
    </row>
    <row r="26" spans="1:12" ht="15" customHeight="1" x14ac:dyDescent="0.25">
      <c r="A26" s="1670"/>
      <c r="B26" s="1760"/>
      <c r="C26" s="1360"/>
      <c r="D26" s="527" t="s">
        <v>275</v>
      </c>
      <c r="E26" s="158">
        <f>(E15/(E15+E9))*100</f>
        <v>48.922935899954169</v>
      </c>
      <c r="F26" s="158">
        <f t="shared" ref="F26:L27" si="5">(F15/(F15+F9))*100</f>
        <v>48.889722899856132</v>
      </c>
      <c r="G26" s="158">
        <f t="shared" si="5"/>
        <v>48.932659932659931</v>
      </c>
      <c r="H26" s="158">
        <f t="shared" si="5"/>
        <v>48.649103327613474</v>
      </c>
      <c r="I26" s="158">
        <f t="shared" si="5"/>
        <v>48.821944310094665</v>
      </c>
      <c r="J26" s="158">
        <f t="shared" si="5"/>
        <v>48.536204078732325</v>
      </c>
      <c r="K26" s="158">
        <f t="shared" si="5"/>
        <v>48.337287955519351</v>
      </c>
      <c r="L26" s="330">
        <f t="shared" si="5"/>
        <v>48.703364143247391</v>
      </c>
    </row>
    <row r="27" spans="1:12" ht="15" customHeight="1" x14ac:dyDescent="0.25">
      <c r="A27" s="1670"/>
      <c r="B27" s="1760"/>
      <c r="C27" s="1360"/>
      <c r="D27" s="527" t="s">
        <v>282</v>
      </c>
      <c r="E27" s="364">
        <f>(E16/(E16+E10))*100</f>
        <v>51.143910594054873</v>
      </c>
      <c r="F27" s="364">
        <f t="shared" si="5"/>
        <v>50.917044249493884</v>
      </c>
      <c r="G27" s="364">
        <f t="shared" si="5"/>
        <v>51.719553942265975</v>
      </c>
      <c r="H27" s="364">
        <f t="shared" si="5"/>
        <v>52.105883962958856</v>
      </c>
      <c r="I27" s="364">
        <f t="shared" si="5"/>
        <v>52.034494689358482</v>
      </c>
      <c r="J27" s="364">
        <f t="shared" si="5"/>
        <v>51.931378706244011</v>
      </c>
      <c r="K27" s="364">
        <f t="shared" si="5"/>
        <v>51.96762453705783</v>
      </c>
      <c r="L27" s="386">
        <f t="shared" si="5"/>
        <v>51.722426648591068</v>
      </c>
    </row>
    <row r="28" spans="1:12" ht="15" customHeight="1" x14ac:dyDescent="0.25">
      <c r="A28" s="1670"/>
      <c r="B28" s="1760"/>
      <c r="C28" s="1360"/>
      <c r="D28" s="527" t="s">
        <v>288</v>
      </c>
      <c r="E28" s="364">
        <f t="shared" ref="E28:L29" si="6">(E17/(E17+E11))*100</f>
        <v>58.27449927096923</v>
      </c>
      <c r="F28" s="364">
        <f t="shared" si="6"/>
        <v>58.648775648723436</v>
      </c>
      <c r="G28" s="364">
        <f t="shared" si="6"/>
        <v>59.706095485262644</v>
      </c>
      <c r="H28" s="364">
        <f t="shared" si="6"/>
        <v>60.103108518323808</v>
      </c>
      <c r="I28" s="364">
        <f t="shared" si="6"/>
        <v>60.500465308654739</v>
      </c>
      <c r="J28" s="364">
        <f t="shared" si="6"/>
        <v>60.560056907889027</v>
      </c>
      <c r="K28" s="364">
        <f t="shared" si="6"/>
        <v>60.664839168604047</v>
      </c>
      <c r="L28" s="386">
        <f t="shared" si="6"/>
        <v>60.714224602590647</v>
      </c>
    </row>
    <row r="29" spans="1:12" ht="15" customHeight="1" x14ac:dyDescent="0.25">
      <c r="A29" s="1670"/>
      <c r="B29" s="1764"/>
      <c r="C29" s="1419"/>
      <c r="D29" s="545" t="s">
        <v>295</v>
      </c>
      <c r="E29" s="378">
        <f t="shared" si="6"/>
        <v>66.639708855640919</v>
      </c>
      <c r="F29" s="378">
        <f t="shared" si="6"/>
        <v>64.607657687039335</v>
      </c>
      <c r="G29" s="378">
        <f t="shared" si="6"/>
        <v>62.835654891160431</v>
      </c>
      <c r="H29" s="378">
        <f t="shared" si="6"/>
        <v>61.649675625579235</v>
      </c>
      <c r="I29" s="378">
        <f t="shared" si="6"/>
        <v>62.041165608251134</v>
      </c>
      <c r="J29" s="378">
        <f t="shared" si="6"/>
        <v>62.221428252422854</v>
      </c>
      <c r="K29" s="378">
        <f t="shared" si="6"/>
        <v>62.411096876794623</v>
      </c>
      <c r="L29" s="379">
        <f t="shared" si="6"/>
        <v>62.952433487503711</v>
      </c>
    </row>
    <row r="30" spans="1:12" ht="16.5" thickBot="1" x14ac:dyDescent="0.3">
      <c r="A30" s="1193"/>
      <c r="B30" s="463" t="s">
        <v>249</v>
      </c>
      <c r="C30" s="1642"/>
      <c r="D30" s="1642"/>
      <c r="E30" s="621">
        <v>2005</v>
      </c>
      <c r="F30" s="621">
        <v>2010</v>
      </c>
      <c r="G30" s="621">
        <v>2015</v>
      </c>
      <c r="H30" s="621">
        <v>2020</v>
      </c>
      <c r="I30" s="621">
        <v>2021</v>
      </c>
      <c r="J30" s="621">
        <v>2022</v>
      </c>
      <c r="K30" s="621">
        <v>2023</v>
      </c>
      <c r="L30" s="621">
        <v>2024</v>
      </c>
    </row>
    <row r="31" spans="1:12" ht="15" customHeight="1" x14ac:dyDescent="0.25">
      <c r="A31" s="1670"/>
      <c r="B31" s="1194" t="s">
        <v>570</v>
      </c>
      <c r="C31" s="1319" t="s">
        <v>272</v>
      </c>
      <c r="D31" s="1217"/>
      <c r="E31" s="130">
        <v>36470</v>
      </c>
      <c r="F31" s="130">
        <v>48914</v>
      </c>
      <c r="G31" s="130">
        <v>31094</v>
      </c>
      <c r="H31" s="130">
        <v>41331</v>
      </c>
      <c r="I31" s="130">
        <v>42591</v>
      </c>
      <c r="J31" s="130">
        <v>41444</v>
      </c>
      <c r="K31" s="130">
        <v>46045</v>
      </c>
      <c r="L31" s="132">
        <f>L32+L33</f>
        <v>52963</v>
      </c>
    </row>
    <row r="32" spans="1:12" ht="15" customHeight="1" x14ac:dyDescent="0.25">
      <c r="A32" s="1670"/>
      <c r="B32" s="1195"/>
      <c r="C32" s="1123" t="s">
        <v>257</v>
      </c>
      <c r="D32" s="1124"/>
      <c r="E32" s="80">
        <v>18468</v>
      </c>
      <c r="F32" s="80">
        <v>24987</v>
      </c>
      <c r="G32" s="80">
        <v>14662</v>
      </c>
      <c r="H32" s="80">
        <v>18908</v>
      </c>
      <c r="I32" s="80">
        <v>19667</v>
      </c>
      <c r="J32" s="80">
        <v>19274</v>
      </c>
      <c r="K32" s="80">
        <v>21410</v>
      </c>
      <c r="L32" s="83">
        <v>24959</v>
      </c>
    </row>
    <row r="33" spans="1:12" ht="15" customHeight="1" x14ac:dyDescent="0.25">
      <c r="A33" s="1670"/>
      <c r="B33" s="1195"/>
      <c r="C33" s="1123" t="s">
        <v>263</v>
      </c>
      <c r="D33" s="1124"/>
      <c r="E33" s="80">
        <v>18002</v>
      </c>
      <c r="F33" s="80">
        <v>23927</v>
      </c>
      <c r="G33" s="80">
        <v>16432</v>
      </c>
      <c r="H33" s="80">
        <v>22423</v>
      </c>
      <c r="I33" s="80">
        <v>22924</v>
      </c>
      <c r="J33" s="80">
        <v>22170</v>
      </c>
      <c r="K33" s="80">
        <v>24635</v>
      </c>
      <c r="L33" s="83">
        <v>28004</v>
      </c>
    </row>
    <row r="34" spans="1:12" ht="15" customHeight="1" x14ac:dyDescent="0.25">
      <c r="A34" s="1670"/>
      <c r="B34" s="1195"/>
      <c r="C34" s="1111" t="s">
        <v>269</v>
      </c>
      <c r="D34" s="1112"/>
      <c r="E34" s="157">
        <f>+E33-E32</f>
        <v>-466</v>
      </c>
      <c r="F34" s="157">
        <f t="shared" ref="F34:L34" si="7">+F33-F32</f>
        <v>-1060</v>
      </c>
      <c r="G34" s="363">
        <f t="shared" si="7"/>
        <v>1770</v>
      </c>
      <c r="H34" s="363">
        <f t="shared" si="7"/>
        <v>3515</v>
      </c>
      <c r="I34" s="363">
        <f t="shared" si="7"/>
        <v>3257</v>
      </c>
      <c r="J34" s="363">
        <f t="shared" si="7"/>
        <v>2896</v>
      </c>
      <c r="K34" s="363">
        <f t="shared" si="7"/>
        <v>3225</v>
      </c>
      <c r="L34" s="365">
        <f t="shared" si="7"/>
        <v>3045</v>
      </c>
    </row>
    <row r="35" spans="1:12" ht="15" customHeight="1" thickBot="1" x14ac:dyDescent="0.3">
      <c r="A35" s="1670"/>
      <c r="B35" s="1595"/>
      <c r="C35" s="1125" t="s">
        <v>270</v>
      </c>
      <c r="D35" s="1126"/>
      <c r="E35" s="161">
        <f>E33/E31*100</f>
        <v>49.361118727721411</v>
      </c>
      <c r="F35" s="161">
        <f t="shared" ref="F35:L35" si="8">F33/F31*100</f>
        <v>48.916465633560946</v>
      </c>
      <c r="G35" s="366">
        <f t="shared" si="8"/>
        <v>52.846208271692284</v>
      </c>
      <c r="H35" s="366">
        <f t="shared" si="8"/>
        <v>54.252256175751853</v>
      </c>
      <c r="I35" s="366">
        <f t="shared" si="8"/>
        <v>53.823577751168081</v>
      </c>
      <c r="J35" s="366">
        <f t="shared" si="8"/>
        <v>53.493871247949045</v>
      </c>
      <c r="K35" s="366">
        <f t="shared" si="8"/>
        <v>53.502008904332719</v>
      </c>
      <c r="L35" s="367">
        <f t="shared" si="8"/>
        <v>52.874648339406761</v>
      </c>
    </row>
    <row r="36" spans="1:12" ht="15" customHeight="1" x14ac:dyDescent="0.25">
      <c r="A36" s="1670"/>
      <c r="B36" s="1194" t="s">
        <v>342</v>
      </c>
      <c r="C36" s="1146" t="s">
        <v>343</v>
      </c>
      <c r="D36" s="1147"/>
      <c r="E36" s="195">
        <f>E37+E38</f>
        <v>10197</v>
      </c>
      <c r="F36" s="195">
        <f t="shared" ref="F36:L36" si="9">F37+F38</f>
        <v>11869</v>
      </c>
      <c r="G36" s="195">
        <f t="shared" si="9"/>
        <v>13585</v>
      </c>
      <c r="H36" s="195">
        <f t="shared" si="9"/>
        <v>14343</v>
      </c>
      <c r="I36" s="195">
        <f t="shared" si="9"/>
        <v>14715</v>
      </c>
      <c r="J36" s="195">
        <f t="shared" si="9"/>
        <v>14800</v>
      </c>
      <c r="K36" s="195">
        <f t="shared" si="9"/>
        <v>14969</v>
      </c>
      <c r="L36" s="196">
        <f t="shared" si="9"/>
        <v>15416</v>
      </c>
    </row>
    <row r="37" spans="1:12" ht="15" customHeight="1" x14ac:dyDescent="0.25">
      <c r="A37" s="1670"/>
      <c r="B37" s="1195"/>
      <c r="C37" s="1148" t="s">
        <v>344</v>
      </c>
      <c r="D37" s="1124"/>
      <c r="E37" s="80">
        <v>1895</v>
      </c>
      <c r="F37" s="80">
        <v>2413</v>
      </c>
      <c r="G37" s="80">
        <v>2915</v>
      </c>
      <c r="H37" s="80">
        <v>3170</v>
      </c>
      <c r="I37" s="80">
        <v>3251</v>
      </c>
      <c r="J37" s="80">
        <v>3308</v>
      </c>
      <c r="K37" s="80">
        <v>3377</v>
      </c>
      <c r="L37" s="83">
        <v>3568</v>
      </c>
    </row>
    <row r="38" spans="1:12" ht="15" customHeight="1" x14ac:dyDescent="0.25">
      <c r="A38" s="1670"/>
      <c r="B38" s="1195"/>
      <c r="C38" s="1148" t="s">
        <v>345</v>
      </c>
      <c r="D38" s="1124"/>
      <c r="E38" s="80">
        <v>8302</v>
      </c>
      <c r="F38" s="80">
        <v>9456</v>
      </c>
      <c r="G38" s="80">
        <v>10670</v>
      </c>
      <c r="H38" s="80">
        <v>11173</v>
      </c>
      <c r="I38" s="80">
        <v>11464</v>
      </c>
      <c r="J38" s="80">
        <v>11492</v>
      </c>
      <c r="K38" s="80">
        <v>11592</v>
      </c>
      <c r="L38" s="83">
        <v>11848</v>
      </c>
    </row>
    <row r="39" spans="1:12" ht="15" customHeight="1" x14ac:dyDescent="0.25">
      <c r="A39" s="1670"/>
      <c r="B39" s="1195"/>
      <c r="C39" s="1190" t="s">
        <v>269</v>
      </c>
      <c r="D39" s="1112"/>
      <c r="E39" s="157">
        <f>E38-E37</f>
        <v>6407</v>
      </c>
      <c r="F39" s="157">
        <f t="shared" ref="F39:L39" si="10">F38-F37</f>
        <v>7043</v>
      </c>
      <c r="G39" s="157">
        <f t="shared" si="10"/>
        <v>7755</v>
      </c>
      <c r="H39" s="157">
        <f t="shared" si="10"/>
        <v>8003</v>
      </c>
      <c r="I39" s="157">
        <f t="shared" si="10"/>
        <v>8213</v>
      </c>
      <c r="J39" s="157">
        <f t="shared" si="10"/>
        <v>8184</v>
      </c>
      <c r="K39" s="157">
        <f t="shared" si="10"/>
        <v>8215</v>
      </c>
      <c r="L39" s="160">
        <f t="shared" si="10"/>
        <v>8280</v>
      </c>
    </row>
    <row r="40" spans="1:12" ht="15" customHeight="1" thickBot="1" x14ac:dyDescent="0.3">
      <c r="A40" s="1670"/>
      <c r="B40" s="1595"/>
      <c r="C40" s="1169" t="s">
        <v>346</v>
      </c>
      <c r="D40" s="1126"/>
      <c r="E40" s="161">
        <f t="shared" ref="E40:L40" si="11">E38/E36*100</f>
        <v>81.416102775326067</v>
      </c>
      <c r="F40" s="161">
        <f t="shared" si="11"/>
        <v>79.669727862498945</v>
      </c>
      <c r="G40" s="161">
        <f t="shared" si="11"/>
        <v>78.542510121457482</v>
      </c>
      <c r="H40" s="161">
        <f t="shared" si="11"/>
        <v>77.898626507704108</v>
      </c>
      <c r="I40" s="161">
        <f t="shared" si="11"/>
        <v>77.90689772341149</v>
      </c>
      <c r="J40" s="161">
        <f t="shared" si="11"/>
        <v>77.648648648648646</v>
      </c>
      <c r="K40" s="161">
        <f t="shared" si="11"/>
        <v>77.440042755027065</v>
      </c>
      <c r="L40" s="162">
        <f t="shared" si="11"/>
        <v>76.855215360664246</v>
      </c>
    </row>
    <row r="41" spans="1:12" ht="15" customHeight="1" x14ac:dyDescent="0.25">
      <c r="A41" s="1670"/>
      <c r="B41" s="1426" t="s">
        <v>134</v>
      </c>
      <c r="C41" s="1153" t="s">
        <v>348</v>
      </c>
      <c r="D41" s="1122"/>
      <c r="E41" s="192">
        <f>E42+E43</f>
        <v>1408</v>
      </c>
      <c r="F41" s="192">
        <f t="shared" ref="F41:L41" si="12">F42+F43</f>
        <v>1707</v>
      </c>
      <c r="G41" s="192">
        <f t="shared" si="12"/>
        <v>1942</v>
      </c>
      <c r="H41" s="192">
        <f t="shared" si="12"/>
        <v>1971</v>
      </c>
      <c r="I41" s="192">
        <f t="shared" si="12"/>
        <v>1930</v>
      </c>
      <c r="J41" s="192">
        <f t="shared" si="12"/>
        <v>1986</v>
      </c>
      <c r="K41" s="192">
        <f t="shared" si="12"/>
        <v>1974</v>
      </c>
      <c r="L41" s="192">
        <f t="shared" si="12"/>
        <v>1976</v>
      </c>
    </row>
    <row r="42" spans="1:12" ht="15" customHeight="1" x14ac:dyDescent="0.25">
      <c r="A42" s="1670"/>
      <c r="B42" s="1195"/>
      <c r="C42" s="1148" t="s">
        <v>349</v>
      </c>
      <c r="D42" s="1124"/>
      <c r="E42" s="181">
        <v>242</v>
      </c>
      <c r="F42" s="181">
        <v>263</v>
      </c>
      <c r="G42" s="181">
        <v>304</v>
      </c>
      <c r="H42" s="181">
        <v>295</v>
      </c>
      <c r="I42" s="181">
        <v>283</v>
      </c>
      <c r="J42" s="181">
        <v>271</v>
      </c>
      <c r="K42" s="181">
        <v>272</v>
      </c>
      <c r="L42" s="181">
        <v>256</v>
      </c>
    </row>
    <row r="43" spans="1:12" ht="15" customHeight="1" x14ac:dyDescent="0.25">
      <c r="A43" s="1670"/>
      <c r="B43" s="1195"/>
      <c r="C43" s="1148" t="s">
        <v>350</v>
      </c>
      <c r="D43" s="1124"/>
      <c r="E43" s="80">
        <v>1166</v>
      </c>
      <c r="F43" s="80">
        <v>1444</v>
      </c>
      <c r="G43" s="80">
        <v>1638</v>
      </c>
      <c r="H43" s="80">
        <v>1676</v>
      </c>
      <c r="I43" s="80">
        <v>1647</v>
      </c>
      <c r="J43" s="80">
        <v>1715</v>
      </c>
      <c r="K43" s="80">
        <v>1702</v>
      </c>
      <c r="L43" s="80">
        <v>1720</v>
      </c>
    </row>
    <row r="44" spans="1:12" ht="15" customHeight="1" x14ac:dyDescent="0.25">
      <c r="A44" s="1670"/>
      <c r="B44" s="1195"/>
      <c r="C44" s="1190" t="s">
        <v>269</v>
      </c>
      <c r="D44" s="1112"/>
      <c r="E44" s="157">
        <f>E43-E42</f>
        <v>924</v>
      </c>
      <c r="F44" s="157">
        <f t="shared" ref="F44:L44" si="13">F43-F42</f>
        <v>1181</v>
      </c>
      <c r="G44" s="157">
        <f t="shared" si="13"/>
        <v>1334</v>
      </c>
      <c r="H44" s="157">
        <f t="shared" si="13"/>
        <v>1381</v>
      </c>
      <c r="I44" s="157">
        <f t="shared" si="13"/>
        <v>1364</v>
      </c>
      <c r="J44" s="157">
        <f t="shared" si="13"/>
        <v>1444</v>
      </c>
      <c r="K44" s="157">
        <f t="shared" si="13"/>
        <v>1430</v>
      </c>
      <c r="L44" s="157">
        <f t="shared" si="13"/>
        <v>1464</v>
      </c>
    </row>
    <row r="45" spans="1:12" ht="15" customHeight="1" thickBot="1" x14ac:dyDescent="0.3">
      <c r="A45" s="1758"/>
      <c r="B45" s="1755"/>
      <c r="C45" s="1756" t="s">
        <v>351</v>
      </c>
      <c r="D45" s="1757"/>
      <c r="E45" s="811">
        <f t="shared" ref="E45:L45" si="14">E43/E41*100</f>
        <v>82.8125</v>
      </c>
      <c r="F45" s="812">
        <f t="shared" si="14"/>
        <v>84.592852958406567</v>
      </c>
      <c r="G45" s="812">
        <f t="shared" si="14"/>
        <v>84.346035015447995</v>
      </c>
      <c r="H45" s="812">
        <f t="shared" si="14"/>
        <v>85.032978183663104</v>
      </c>
      <c r="I45" s="812">
        <f t="shared" si="14"/>
        <v>85.336787564766837</v>
      </c>
      <c r="J45" s="812">
        <f t="shared" si="14"/>
        <v>86.354481369587106</v>
      </c>
      <c r="K45" s="813">
        <f t="shared" si="14"/>
        <v>86.220871327254315</v>
      </c>
      <c r="L45" s="813">
        <f t="shared" si="14"/>
        <v>87.044534412955471</v>
      </c>
    </row>
    <row r="46" spans="1:12" ht="16.5" thickBot="1" x14ac:dyDescent="0.3">
      <c r="A46" s="739" t="s">
        <v>248</v>
      </c>
      <c r="B46" s="463" t="s">
        <v>249</v>
      </c>
      <c r="C46" s="1422"/>
      <c r="D46" s="1422"/>
      <c r="E46" s="616">
        <v>2005</v>
      </c>
      <c r="F46" s="616">
        <v>2010</v>
      </c>
      <c r="G46" s="616">
        <v>2015</v>
      </c>
      <c r="H46" s="616">
        <v>2020</v>
      </c>
      <c r="I46" s="616">
        <v>2021</v>
      </c>
      <c r="J46" s="616">
        <v>2022</v>
      </c>
      <c r="K46" s="616">
        <v>2023</v>
      </c>
      <c r="L46" s="616">
        <v>2024</v>
      </c>
    </row>
    <row r="47" spans="1:12" x14ac:dyDescent="0.25">
      <c r="A47" s="1545" t="s">
        <v>38</v>
      </c>
      <c r="B47" s="1683" t="s">
        <v>352</v>
      </c>
      <c r="C47" s="1147" t="s">
        <v>251</v>
      </c>
      <c r="D47" s="1147"/>
      <c r="E47" s="195">
        <v>8842</v>
      </c>
      <c r="F47" s="195">
        <v>17971</v>
      </c>
      <c r="G47" s="195">
        <v>17132</v>
      </c>
      <c r="H47" s="195">
        <v>15893</v>
      </c>
      <c r="I47" s="195">
        <v>16112</v>
      </c>
      <c r="J47" s="195">
        <v>11489</v>
      </c>
      <c r="K47" s="195">
        <v>11364</v>
      </c>
      <c r="L47" s="82">
        <v>11027</v>
      </c>
    </row>
    <row r="48" spans="1:12" x14ac:dyDescent="0.25">
      <c r="A48" s="1546"/>
      <c r="B48" s="1684"/>
      <c r="C48" s="1124" t="s">
        <v>257</v>
      </c>
      <c r="D48" s="1124"/>
      <c r="E48" s="157">
        <v>3604</v>
      </c>
      <c r="F48" s="157">
        <v>9377</v>
      </c>
      <c r="G48" s="157">
        <v>8421</v>
      </c>
      <c r="H48" s="157">
        <v>7137</v>
      </c>
      <c r="I48" s="157">
        <v>7132</v>
      </c>
      <c r="J48" s="157">
        <v>4877</v>
      </c>
      <c r="K48" s="157">
        <v>4864</v>
      </c>
      <c r="L48" s="554">
        <v>4805</v>
      </c>
    </row>
    <row r="49" spans="1:12" x14ac:dyDescent="0.25">
      <c r="A49" s="1546"/>
      <c r="B49" s="1684"/>
      <c r="C49" s="1124" t="s">
        <v>263</v>
      </c>
      <c r="D49" s="1124"/>
      <c r="E49" s="96">
        <v>5238</v>
      </c>
      <c r="F49" s="96">
        <v>8594</v>
      </c>
      <c r="G49" s="96">
        <v>8711</v>
      </c>
      <c r="H49" s="96">
        <v>8756</v>
      </c>
      <c r="I49" s="96">
        <v>8980</v>
      </c>
      <c r="J49" s="96">
        <v>6612</v>
      </c>
      <c r="K49" s="96">
        <v>6500</v>
      </c>
      <c r="L49" s="83">
        <v>6222</v>
      </c>
    </row>
    <row r="50" spans="1:12" x14ac:dyDescent="0.25">
      <c r="A50" s="1546"/>
      <c r="B50" s="1684"/>
      <c r="C50" s="1112" t="s">
        <v>353</v>
      </c>
      <c r="D50" s="1112"/>
      <c r="E50" s="157">
        <f t="shared" ref="E50:L50" si="15">+E49-E48</f>
        <v>1634</v>
      </c>
      <c r="F50" s="363">
        <f t="shared" si="15"/>
        <v>-783</v>
      </c>
      <c r="G50" s="157">
        <f t="shared" si="15"/>
        <v>290</v>
      </c>
      <c r="H50" s="157">
        <f t="shared" si="15"/>
        <v>1619</v>
      </c>
      <c r="I50" s="157">
        <f t="shared" si="15"/>
        <v>1848</v>
      </c>
      <c r="J50" s="157">
        <f t="shared" si="15"/>
        <v>1735</v>
      </c>
      <c r="K50" s="157">
        <f t="shared" si="15"/>
        <v>1636</v>
      </c>
      <c r="L50" s="160">
        <f t="shared" si="15"/>
        <v>1417</v>
      </c>
    </row>
    <row r="51" spans="1:12" ht="16.5" thickBot="1" x14ac:dyDescent="0.3">
      <c r="A51" s="1546"/>
      <c r="B51" s="1754"/>
      <c r="C51" s="1126" t="s">
        <v>270</v>
      </c>
      <c r="D51" s="1126"/>
      <c r="E51" s="161">
        <f>E49/E47*100</f>
        <v>59.239990952273239</v>
      </c>
      <c r="F51" s="161">
        <f t="shared" ref="F51:L51" si="16">F49/F47*100</f>
        <v>47.821490178621112</v>
      </c>
      <c r="G51" s="161">
        <f t="shared" si="16"/>
        <v>50.846369367265929</v>
      </c>
      <c r="H51" s="161">
        <f t="shared" si="16"/>
        <v>55.093437362360788</v>
      </c>
      <c r="I51" s="161">
        <f t="shared" si="16"/>
        <v>55.734856007944387</v>
      </c>
      <c r="J51" s="161">
        <f t="shared" si="16"/>
        <v>57.55070067020629</v>
      </c>
      <c r="K51" s="161">
        <f t="shared" si="16"/>
        <v>57.198169658570933</v>
      </c>
      <c r="L51" s="162">
        <f t="shared" si="16"/>
        <v>56.425138296907598</v>
      </c>
    </row>
    <row r="52" spans="1:12" x14ac:dyDescent="0.25">
      <c r="A52" s="1546"/>
      <c r="B52" s="1683" t="s">
        <v>146</v>
      </c>
      <c r="C52" s="1147" t="s">
        <v>251</v>
      </c>
      <c r="D52" s="1147"/>
      <c r="E52" s="40"/>
      <c r="F52" s="40"/>
      <c r="G52" s="40"/>
      <c r="H52" s="40">
        <v>10.85</v>
      </c>
      <c r="I52" s="40">
        <v>9.1300000000000008</v>
      </c>
      <c r="J52" s="40">
        <v>7.24</v>
      </c>
      <c r="K52" s="40">
        <v>6.82</v>
      </c>
      <c r="L52" s="38">
        <v>6.47</v>
      </c>
    </row>
    <row r="53" spans="1:12" x14ac:dyDescent="0.25">
      <c r="A53" s="1546"/>
      <c r="B53" s="1684"/>
      <c r="C53" s="1124" t="s">
        <v>257</v>
      </c>
      <c r="D53" s="1124"/>
      <c r="E53" s="28"/>
      <c r="F53" s="28"/>
      <c r="G53" s="28"/>
      <c r="H53" s="28">
        <v>10.199999999999999</v>
      </c>
      <c r="I53" s="28">
        <v>8.36</v>
      </c>
      <c r="J53" s="28">
        <v>6.58</v>
      </c>
      <c r="K53" s="28">
        <v>6.13</v>
      </c>
      <c r="L53" s="39">
        <v>5.86</v>
      </c>
    </row>
    <row r="54" spans="1:12" x14ac:dyDescent="0.25">
      <c r="A54" s="1546"/>
      <c r="B54" s="1684"/>
      <c r="C54" s="1223" t="s">
        <v>263</v>
      </c>
      <c r="D54" s="1223"/>
      <c r="E54" s="28"/>
      <c r="F54" s="28"/>
      <c r="G54" s="28"/>
      <c r="H54" s="28">
        <v>11.44</v>
      </c>
      <c r="I54" s="28">
        <v>9.84</v>
      </c>
      <c r="J54" s="28">
        <v>7.84</v>
      </c>
      <c r="K54" s="28">
        <v>7.47</v>
      </c>
      <c r="L54" s="39">
        <v>7.04</v>
      </c>
    </row>
    <row r="55" spans="1:12" ht="16.5" thickBot="1" x14ac:dyDescent="0.3">
      <c r="A55" s="1546"/>
      <c r="B55" s="1754"/>
      <c r="C55" s="1225" t="s">
        <v>354</v>
      </c>
      <c r="D55" s="1225"/>
      <c r="E55" s="33"/>
      <c r="F55" s="33"/>
      <c r="G55" s="33"/>
      <c r="H55" s="34">
        <f>+H54-H53</f>
        <v>1.2400000000000002</v>
      </c>
      <c r="I55" s="34">
        <f>+I54-I53</f>
        <v>1.4800000000000004</v>
      </c>
      <c r="J55" s="34">
        <f>+J54-J53</f>
        <v>1.2599999999999998</v>
      </c>
      <c r="K55" s="34">
        <f>+K54-K53</f>
        <v>1.3399999999999999</v>
      </c>
      <c r="L55" s="35">
        <f>+L54-L53</f>
        <v>1.1799999999999997</v>
      </c>
    </row>
    <row r="56" spans="1:12" x14ac:dyDescent="0.25">
      <c r="A56" s="1546"/>
      <c r="B56" s="1683" t="s">
        <v>151</v>
      </c>
      <c r="C56" s="1317" t="s">
        <v>251</v>
      </c>
      <c r="D56" s="1317"/>
      <c r="E56" s="40"/>
      <c r="F56" s="40"/>
      <c r="G56" s="40"/>
      <c r="H56" s="195">
        <v>966</v>
      </c>
      <c r="I56" s="195">
        <v>1121</v>
      </c>
      <c r="J56" s="195">
        <v>2034</v>
      </c>
      <c r="K56" s="225">
        <v>1097</v>
      </c>
      <c r="L56" s="20"/>
    </row>
    <row r="57" spans="1:12" x14ac:dyDescent="0.25">
      <c r="A57" s="1546"/>
      <c r="B57" s="1684"/>
      <c r="C57" s="1230" t="s">
        <v>257</v>
      </c>
      <c r="D57" s="1230"/>
      <c r="E57" s="28"/>
      <c r="F57" s="28"/>
      <c r="G57" s="28"/>
      <c r="H57" s="96">
        <v>363</v>
      </c>
      <c r="I57" s="96">
        <v>393</v>
      </c>
      <c r="J57" s="96">
        <v>610</v>
      </c>
      <c r="K57" s="96">
        <v>382</v>
      </c>
      <c r="L57" s="21"/>
    </row>
    <row r="58" spans="1:12" x14ac:dyDescent="0.25">
      <c r="A58" s="1546"/>
      <c r="B58" s="1684"/>
      <c r="C58" s="1124" t="s">
        <v>263</v>
      </c>
      <c r="D58" s="1124"/>
      <c r="E58" s="28"/>
      <c r="F58" s="28"/>
      <c r="G58" s="28"/>
      <c r="H58" s="96">
        <v>603</v>
      </c>
      <c r="I58" s="96">
        <v>728</v>
      </c>
      <c r="J58" s="96">
        <v>1424</v>
      </c>
      <c r="K58" s="96">
        <v>715</v>
      </c>
      <c r="L58" s="21"/>
    </row>
    <row r="59" spans="1:12" x14ac:dyDescent="0.25">
      <c r="A59" s="1546"/>
      <c r="B59" s="1684"/>
      <c r="C59" s="1112" t="s">
        <v>353</v>
      </c>
      <c r="D59" s="1112"/>
      <c r="E59" s="28"/>
      <c r="F59" s="28"/>
      <c r="G59" s="28"/>
      <c r="H59" s="44">
        <f>+H58-H57</f>
        <v>240</v>
      </c>
      <c r="I59" s="44">
        <f>+I58-I57</f>
        <v>335</v>
      </c>
      <c r="J59" s="44">
        <f>+J58-J57</f>
        <v>814</v>
      </c>
      <c r="K59" s="44">
        <f>+K58-K57</f>
        <v>333</v>
      </c>
      <c r="L59" s="21"/>
    </row>
    <row r="60" spans="1:12" ht="16.5" thickBot="1" x14ac:dyDescent="0.3">
      <c r="A60" s="1546"/>
      <c r="B60" s="1685"/>
      <c r="C60" s="1178" t="s">
        <v>270</v>
      </c>
      <c r="D60" s="1178"/>
      <c r="E60" s="110"/>
      <c r="F60" s="110"/>
      <c r="G60" s="110"/>
      <c r="H60" s="165">
        <f>H58/H56*100</f>
        <v>62.422360248447205</v>
      </c>
      <c r="I60" s="165">
        <f>I58/I56*100</f>
        <v>64.942016057091877</v>
      </c>
      <c r="J60" s="165">
        <f>J58/J56*100</f>
        <v>70.009832841691249</v>
      </c>
      <c r="K60" s="165">
        <f>K58/K56*100</f>
        <v>65.177757520510482</v>
      </c>
      <c r="L60" s="53"/>
    </row>
    <row r="61" spans="1:12" ht="16.5" thickBot="1" x14ac:dyDescent="0.3">
      <c r="A61" s="1752"/>
      <c r="B61" s="740" t="s">
        <v>249</v>
      </c>
      <c r="C61" s="1575"/>
      <c r="D61" s="1422"/>
      <c r="E61" s="616"/>
      <c r="F61" s="616">
        <v>2011</v>
      </c>
      <c r="G61" s="616"/>
      <c r="H61" s="616"/>
      <c r="I61" s="616">
        <v>2021</v>
      </c>
      <c r="J61" s="616"/>
      <c r="K61" s="616"/>
      <c r="L61" s="284">
        <v>2024</v>
      </c>
    </row>
    <row r="62" spans="1:12" x14ac:dyDescent="0.25">
      <c r="A62" s="1752"/>
      <c r="B62" s="1219" t="s">
        <v>156</v>
      </c>
      <c r="C62" s="1533" t="s">
        <v>355</v>
      </c>
      <c r="D62" s="207" t="s">
        <v>251</v>
      </c>
      <c r="E62" s="612"/>
      <c r="F62" s="81">
        <v>97440</v>
      </c>
      <c r="G62" s="103"/>
      <c r="H62" s="103"/>
      <c r="I62" s="81">
        <v>94857</v>
      </c>
      <c r="J62" s="36"/>
      <c r="K62" s="36"/>
      <c r="L62" s="20"/>
    </row>
    <row r="63" spans="1:12" ht="15" customHeight="1" x14ac:dyDescent="0.25">
      <c r="A63" s="1752"/>
      <c r="B63" s="1220"/>
      <c r="C63" s="1344"/>
      <c r="D63" s="28" t="s">
        <v>257</v>
      </c>
      <c r="E63" s="94"/>
      <c r="F63" s="80">
        <v>49490</v>
      </c>
      <c r="G63" s="95"/>
      <c r="H63" s="95"/>
      <c r="I63" s="80">
        <v>46998</v>
      </c>
      <c r="J63" s="28"/>
      <c r="K63" s="28"/>
      <c r="L63" s="21"/>
    </row>
    <row r="64" spans="1:12" ht="16.5" thickBot="1" x14ac:dyDescent="0.3">
      <c r="A64" s="1752"/>
      <c r="B64" s="1220"/>
      <c r="C64" s="1345"/>
      <c r="D64" s="33" t="s">
        <v>263</v>
      </c>
      <c r="E64" s="104"/>
      <c r="F64" s="267">
        <v>47950</v>
      </c>
      <c r="G64" s="468"/>
      <c r="H64" s="468"/>
      <c r="I64" s="267">
        <v>47859</v>
      </c>
      <c r="J64" s="33"/>
      <c r="K64" s="33"/>
      <c r="L64" s="22"/>
    </row>
    <row r="65" spans="1:12" hidden="1" x14ac:dyDescent="0.25">
      <c r="A65" s="1752"/>
      <c r="B65" s="1220"/>
      <c r="C65" s="1535" t="s">
        <v>356</v>
      </c>
      <c r="D65" s="241" t="s">
        <v>251</v>
      </c>
      <c r="E65" s="242"/>
      <c r="F65" s="243">
        <v>1710</v>
      </c>
      <c r="G65" s="467"/>
      <c r="H65" s="467"/>
      <c r="I65" s="220"/>
      <c r="J65" s="122"/>
      <c r="K65" s="122"/>
      <c r="L65" s="122"/>
    </row>
    <row r="66" spans="1:12" hidden="1" x14ac:dyDescent="0.25">
      <c r="A66" s="1752"/>
      <c r="B66" s="1220"/>
      <c r="C66" s="1117"/>
      <c r="D66" s="28" t="s">
        <v>257</v>
      </c>
      <c r="E66" s="94"/>
      <c r="F66" s="80">
        <v>1400</v>
      </c>
      <c r="G66" s="95"/>
      <c r="H66" s="95"/>
      <c r="I66" s="96"/>
      <c r="J66" s="28"/>
      <c r="K66" s="28"/>
      <c r="L66" s="28"/>
    </row>
    <row r="67" spans="1:12" hidden="1" x14ac:dyDescent="0.25">
      <c r="A67" s="1752"/>
      <c r="B67" s="1220"/>
      <c r="C67" s="1117"/>
      <c r="D67" s="28" t="s">
        <v>263</v>
      </c>
      <c r="E67" s="94"/>
      <c r="F67" s="80">
        <v>310</v>
      </c>
      <c r="G67" s="95"/>
      <c r="H67" s="95"/>
      <c r="I67" s="96"/>
      <c r="J67" s="28"/>
      <c r="K67" s="28"/>
      <c r="L67" s="28"/>
    </row>
    <row r="68" spans="1:12" hidden="1" x14ac:dyDescent="0.25">
      <c r="A68" s="1752"/>
      <c r="B68" s="1220"/>
      <c r="C68" s="1117"/>
      <c r="D68" s="28" t="s">
        <v>357</v>
      </c>
      <c r="E68" s="94"/>
      <c r="F68" s="97">
        <f>F67/F65*100</f>
        <v>18.128654970760234</v>
      </c>
      <c r="G68" s="94"/>
      <c r="H68" s="94"/>
      <c r="I68" s="28"/>
      <c r="J68" s="28"/>
      <c r="K68" s="28"/>
      <c r="L68" s="28"/>
    </row>
    <row r="69" spans="1:12" ht="14.85" hidden="1" customHeight="1" x14ac:dyDescent="0.25">
      <c r="A69" s="1752"/>
      <c r="B69" s="1220"/>
      <c r="C69" s="1117" t="s">
        <v>358</v>
      </c>
      <c r="D69" s="144" t="s">
        <v>251</v>
      </c>
      <c r="E69" s="94"/>
      <c r="F69" s="80">
        <v>370</v>
      </c>
      <c r="G69" s="80"/>
      <c r="H69" s="80"/>
      <c r="I69" s="80">
        <v>129</v>
      </c>
      <c r="J69" s="28"/>
      <c r="K69" s="28"/>
      <c r="L69" s="28"/>
    </row>
    <row r="70" spans="1:12" hidden="1" x14ac:dyDescent="0.25">
      <c r="A70" s="1752"/>
      <c r="B70" s="1220"/>
      <c r="C70" s="1117"/>
      <c r="D70" s="28" t="s">
        <v>257</v>
      </c>
      <c r="E70" s="94"/>
      <c r="F70" s="80">
        <v>230</v>
      </c>
      <c r="G70" s="80"/>
      <c r="H70" s="80"/>
      <c r="I70" s="80">
        <v>81</v>
      </c>
      <c r="J70" s="28"/>
      <c r="K70" s="28"/>
      <c r="L70" s="28"/>
    </row>
    <row r="71" spans="1:12" hidden="1" x14ac:dyDescent="0.25">
      <c r="A71" s="1752"/>
      <c r="B71" s="1220"/>
      <c r="C71" s="1117"/>
      <c r="D71" s="28" t="s">
        <v>263</v>
      </c>
      <c r="E71" s="94"/>
      <c r="F71" s="80">
        <v>140</v>
      </c>
      <c r="G71" s="80"/>
      <c r="H71" s="80"/>
      <c r="I71" s="80">
        <v>48</v>
      </c>
      <c r="J71" s="28"/>
      <c r="K71" s="28"/>
      <c r="L71" s="28"/>
    </row>
    <row r="72" spans="1:12" hidden="1" x14ac:dyDescent="0.25">
      <c r="A72" s="1752"/>
      <c r="B72" s="1220"/>
      <c r="C72" s="1117"/>
      <c r="D72" s="28" t="s">
        <v>357</v>
      </c>
      <c r="E72" s="94"/>
      <c r="F72" s="97">
        <f>F71/F69*100</f>
        <v>37.837837837837839</v>
      </c>
      <c r="G72" s="94"/>
      <c r="H72" s="94"/>
      <c r="I72" s="97">
        <f>I71/I69*100</f>
        <v>37.209302325581397</v>
      </c>
      <c r="J72" s="28"/>
      <c r="K72" s="28"/>
      <c r="L72" s="28"/>
    </row>
    <row r="73" spans="1:12" hidden="1" x14ac:dyDescent="0.25">
      <c r="A73" s="1752"/>
      <c r="B73" s="1220"/>
      <c r="C73" s="1117" t="s">
        <v>359</v>
      </c>
      <c r="D73" s="144" t="s">
        <v>251</v>
      </c>
      <c r="E73" s="94"/>
      <c r="F73" s="80">
        <v>905</v>
      </c>
      <c r="G73" s="80"/>
      <c r="H73" s="80"/>
      <c r="I73" s="80">
        <v>1050</v>
      </c>
      <c r="J73" s="28"/>
      <c r="K73" s="28"/>
      <c r="L73" s="28"/>
    </row>
    <row r="74" spans="1:12" hidden="1" x14ac:dyDescent="0.25">
      <c r="A74" s="1752"/>
      <c r="B74" s="1220"/>
      <c r="C74" s="1117"/>
      <c r="D74" s="28" t="s">
        <v>257</v>
      </c>
      <c r="E74" s="94"/>
      <c r="F74" s="80">
        <v>480</v>
      </c>
      <c r="G74" s="80"/>
      <c r="H74" s="80"/>
      <c r="I74" s="80">
        <v>636</v>
      </c>
      <c r="J74" s="28"/>
      <c r="K74" s="28"/>
      <c r="L74" s="28"/>
    </row>
    <row r="75" spans="1:12" hidden="1" x14ac:dyDescent="0.25">
      <c r="A75" s="1752"/>
      <c r="B75" s="1220"/>
      <c r="C75" s="1117"/>
      <c r="D75" s="28" t="s">
        <v>263</v>
      </c>
      <c r="E75" s="94"/>
      <c r="F75" s="80">
        <v>420</v>
      </c>
      <c r="G75" s="80"/>
      <c r="H75" s="80"/>
      <c r="I75" s="80">
        <v>414</v>
      </c>
      <c r="J75" s="28"/>
      <c r="K75" s="28"/>
      <c r="L75" s="28"/>
    </row>
    <row r="76" spans="1:12" hidden="1" x14ac:dyDescent="0.25">
      <c r="A76" s="1752"/>
      <c r="B76" s="1220"/>
      <c r="C76" s="1117"/>
      <c r="D76" s="28" t="s">
        <v>357</v>
      </c>
      <c r="E76" s="94"/>
      <c r="F76" s="98">
        <f>F75/F73*100</f>
        <v>46.408839779005525</v>
      </c>
      <c r="G76" s="94"/>
      <c r="H76" s="94"/>
      <c r="I76" s="97">
        <f>I75/I73*100</f>
        <v>39.428571428571431</v>
      </c>
      <c r="J76" s="28"/>
      <c r="K76" s="28"/>
      <c r="L76" s="28"/>
    </row>
    <row r="77" spans="1:12" hidden="1" x14ac:dyDescent="0.25">
      <c r="A77" s="1752"/>
      <c r="B77" s="1220"/>
      <c r="C77" s="1117" t="s">
        <v>360</v>
      </c>
      <c r="D77" s="144" t="s">
        <v>251</v>
      </c>
      <c r="E77" s="94"/>
      <c r="F77" s="80">
        <v>1350</v>
      </c>
      <c r="G77" s="80"/>
      <c r="H77" s="80"/>
      <c r="I77" s="80">
        <v>432</v>
      </c>
      <c r="J77" s="28"/>
      <c r="K77" s="28"/>
      <c r="L77" s="28"/>
    </row>
    <row r="78" spans="1:12" hidden="1" x14ac:dyDescent="0.25">
      <c r="A78" s="1752"/>
      <c r="B78" s="1220"/>
      <c r="C78" s="1117"/>
      <c r="D78" s="28" t="s">
        <v>257</v>
      </c>
      <c r="E78" s="94"/>
      <c r="F78" s="80">
        <v>960</v>
      </c>
      <c r="G78" s="80"/>
      <c r="H78" s="80"/>
      <c r="I78" s="80">
        <v>309</v>
      </c>
      <c r="J78" s="28"/>
      <c r="K78" s="28"/>
      <c r="L78" s="28"/>
    </row>
    <row r="79" spans="1:12" hidden="1" x14ac:dyDescent="0.25">
      <c r="A79" s="1752"/>
      <c r="B79" s="1220"/>
      <c r="C79" s="1117"/>
      <c r="D79" s="28" t="s">
        <v>263</v>
      </c>
      <c r="E79" s="94"/>
      <c r="F79" s="80">
        <v>390</v>
      </c>
      <c r="G79" s="80"/>
      <c r="H79" s="80"/>
      <c r="I79" s="80">
        <v>123</v>
      </c>
      <c r="J79" s="28"/>
      <c r="K79" s="28"/>
      <c r="L79" s="28"/>
    </row>
    <row r="80" spans="1:12" hidden="1" x14ac:dyDescent="0.25">
      <c r="A80" s="1752"/>
      <c r="B80" s="1220"/>
      <c r="C80" s="1117"/>
      <c r="D80" s="28" t="s">
        <v>357</v>
      </c>
      <c r="E80" s="94"/>
      <c r="F80" s="97">
        <f>F79/F77*100</f>
        <v>28.888888888888886</v>
      </c>
      <c r="G80" s="94"/>
      <c r="H80" s="94"/>
      <c r="I80" s="97">
        <f>I79/I77*100</f>
        <v>28.472222222222221</v>
      </c>
      <c r="J80" s="28"/>
      <c r="K80" s="28"/>
      <c r="L80" s="28"/>
    </row>
    <row r="81" spans="1:12" hidden="1" x14ac:dyDescent="0.25">
      <c r="A81" s="1752"/>
      <c r="B81" s="1220"/>
      <c r="C81" s="1117" t="s">
        <v>361</v>
      </c>
      <c r="D81" s="144" t="s">
        <v>251</v>
      </c>
      <c r="E81" s="94"/>
      <c r="F81" s="80">
        <v>390</v>
      </c>
      <c r="G81" s="80"/>
      <c r="H81" s="80"/>
      <c r="I81" s="80">
        <v>372</v>
      </c>
      <c r="J81" s="28"/>
      <c r="K81" s="28"/>
      <c r="L81" s="28"/>
    </row>
    <row r="82" spans="1:12" hidden="1" x14ac:dyDescent="0.25">
      <c r="A82" s="1752"/>
      <c r="B82" s="1220"/>
      <c r="C82" s="1117"/>
      <c r="D82" s="28" t="s">
        <v>257</v>
      </c>
      <c r="E82" s="94"/>
      <c r="F82" s="80">
        <v>280</v>
      </c>
      <c r="G82" s="80"/>
      <c r="H82" s="80"/>
      <c r="I82" s="80">
        <v>252</v>
      </c>
      <c r="J82" s="28"/>
      <c r="K82" s="28"/>
      <c r="L82" s="28"/>
    </row>
    <row r="83" spans="1:12" hidden="1" x14ac:dyDescent="0.25">
      <c r="A83" s="1752"/>
      <c r="B83" s="1220"/>
      <c r="C83" s="1117"/>
      <c r="D83" s="28" t="s">
        <v>263</v>
      </c>
      <c r="E83" s="94"/>
      <c r="F83" s="80">
        <v>110</v>
      </c>
      <c r="G83" s="80"/>
      <c r="H83" s="80"/>
      <c r="I83" s="80">
        <v>120</v>
      </c>
      <c r="J83" s="28"/>
      <c r="K83" s="28"/>
      <c r="L83" s="28"/>
    </row>
    <row r="84" spans="1:12" hidden="1" x14ac:dyDescent="0.25">
      <c r="A84" s="1752"/>
      <c r="B84" s="1220"/>
      <c r="C84" s="1117"/>
      <c r="D84" s="28" t="s">
        <v>357</v>
      </c>
      <c r="E84" s="94"/>
      <c r="F84" s="97">
        <f>(F83/F81)*100</f>
        <v>28.205128205128204</v>
      </c>
      <c r="G84" s="94"/>
      <c r="H84" s="94"/>
      <c r="I84" s="97">
        <f>I83/I81*100</f>
        <v>32.258064516129032</v>
      </c>
      <c r="J84" s="28"/>
      <c r="K84" s="28"/>
      <c r="L84" s="28"/>
    </row>
    <row r="85" spans="1:12" hidden="1" x14ac:dyDescent="0.25">
      <c r="A85" s="1752"/>
      <c r="B85" s="1220"/>
      <c r="C85" s="1117" t="s">
        <v>362</v>
      </c>
      <c r="D85" s="144" t="s">
        <v>251</v>
      </c>
      <c r="E85" s="94"/>
      <c r="F85" s="80">
        <v>115</v>
      </c>
      <c r="G85" s="80"/>
      <c r="H85" s="80"/>
      <c r="I85" s="80">
        <v>336</v>
      </c>
      <c r="J85" s="28"/>
      <c r="K85" s="28"/>
      <c r="L85" s="28"/>
    </row>
    <row r="86" spans="1:12" ht="15" hidden="1" customHeight="1" x14ac:dyDescent="0.25">
      <c r="A86" s="1752"/>
      <c r="B86" s="1220"/>
      <c r="C86" s="1117"/>
      <c r="D86" s="28" t="s">
        <v>257</v>
      </c>
      <c r="E86" s="94"/>
      <c r="F86" s="80">
        <v>50</v>
      </c>
      <c r="G86" s="80"/>
      <c r="H86" s="80"/>
      <c r="I86" s="80">
        <v>216</v>
      </c>
      <c r="J86" s="28"/>
      <c r="K86" s="28"/>
      <c r="L86" s="28"/>
    </row>
    <row r="87" spans="1:12" hidden="1" x14ac:dyDescent="0.25">
      <c r="A87" s="1752"/>
      <c r="B87" s="1220"/>
      <c r="C87" s="1117"/>
      <c r="D87" s="28" t="s">
        <v>263</v>
      </c>
      <c r="E87" s="94"/>
      <c r="F87" s="80">
        <v>60</v>
      </c>
      <c r="G87" s="80"/>
      <c r="H87" s="80"/>
      <c r="I87" s="80">
        <v>120</v>
      </c>
      <c r="J87" s="28"/>
      <c r="K87" s="28"/>
      <c r="L87" s="28"/>
    </row>
    <row r="88" spans="1:12" hidden="1" x14ac:dyDescent="0.25">
      <c r="A88" s="1752"/>
      <c r="B88" s="1220"/>
      <c r="C88" s="1117"/>
      <c r="D88" s="28" t="s">
        <v>357</v>
      </c>
      <c r="E88" s="94"/>
      <c r="F88" s="98">
        <f>(F87/F85)*100</f>
        <v>52.173913043478258</v>
      </c>
      <c r="G88" s="94"/>
      <c r="H88" s="94"/>
      <c r="I88" s="97">
        <f>I87/I85*100</f>
        <v>35.714285714285715</v>
      </c>
      <c r="J88" s="28"/>
      <c r="K88" s="28"/>
      <c r="L88" s="28"/>
    </row>
    <row r="89" spans="1:12" hidden="1" x14ac:dyDescent="0.25">
      <c r="A89" s="1752"/>
      <c r="B89" s="1220"/>
      <c r="C89" s="1117" t="s">
        <v>363</v>
      </c>
      <c r="D89" s="144" t="s">
        <v>251</v>
      </c>
      <c r="E89" s="94"/>
      <c r="F89" s="80">
        <v>2860</v>
      </c>
      <c r="G89" s="80"/>
      <c r="H89" s="80"/>
      <c r="I89" s="80">
        <v>3267</v>
      </c>
      <c r="J89" s="28"/>
      <c r="K89" s="28"/>
      <c r="L89" s="28"/>
    </row>
    <row r="90" spans="1:12" hidden="1" x14ac:dyDescent="0.25">
      <c r="A90" s="1752"/>
      <c r="B90" s="1220"/>
      <c r="C90" s="1117"/>
      <c r="D90" s="28" t="s">
        <v>257</v>
      </c>
      <c r="E90" s="94"/>
      <c r="F90" s="80">
        <v>760</v>
      </c>
      <c r="G90" s="80"/>
      <c r="H90" s="80"/>
      <c r="I90" s="80">
        <v>729</v>
      </c>
      <c r="J90" s="28"/>
      <c r="K90" s="28"/>
      <c r="L90" s="28"/>
    </row>
    <row r="91" spans="1:12" hidden="1" x14ac:dyDescent="0.25">
      <c r="A91" s="1752"/>
      <c r="B91" s="1220"/>
      <c r="C91" s="1117"/>
      <c r="D91" s="28" t="s">
        <v>263</v>
      </c>
      <c r="E91" s="94"/>
      <c r="F91" s="80">
        <v>2100</v>
      </c>
      <c r="G91" s="80"/>
      <c r="H91" s="80"/>
      <c r="I91" s="80">
        <v>2541</v>
      </c>
      <c r="J91" s="28"/>
      <c r="K91" s="28"/>
      <c r="L91" s="28"/>
    </row>
    <row r="92" spans="1:12" hidden="1" x14ac:dyDescent="0.25">
      <c r="A92" s="1752"/>
      <c r="B92" s="1220"/>
      <c r="C92" s="1117"/>
      <c r="D92" s="28" t="s">
        <v>357</v>
      </c>
      <c r="E92" s="94"/>
      <c r="F92" s="99">
        <f>(F91/F89)*100</f>
        <v>73.426573426573427</v>
      </c>
      <c r="G92" s="94"/>
      <c r="H92" s="94"/>
      <c r="I92" s="99">
        <f>I91/I89*100</f>
        <v>77.777777777777786</v>
      </c>
      <c r="J92" s="28"/>
      <c r="K92" s="28"/>
      <c r="L92" s="28"/>
    </row>
    <row r="93" spans="1:12" hidden="1" x14ac:dyDescent="0.25">
      <c r="A93" s="1752"/>
      <c r="B93" s="1220"/>
      <c r="C93" s="1117" t="s">
        <v>364</v>
      </c>
      <c r="D93" s="144" t="s">
        <v>251</v>
      </c>
      <c r="E93" s="94"/>
      <c r="F93" s="80">
        <v>4475</v>
      </c>
      <c r="G93" s="80"/>
      <c r="H93" s="80"/>
      <c r="I93" s="80">
        <v>4398</v>
      </c>
      <c r="J93" s="28"/>
      <c r="K93" s="28"/>
      <c r="L93" s="28"/>
    </row>
    <row r="94" spans="1:12" ht="14.85" hidden="1" customHeight="1" x14ac:dyDescent="0.25">
      <c r="A94" s="1752"/>
      <c r="B94" s="1220"/>
      <c r="C94" s="1117"/>
      <c r="D94" s="28" t="s">
        <v>257</v>
      </c>
      <c r="E94" s="94"/>
      <c r="F94" s="80">
        <v>1410</v>
      </c>
      <c r="G94" s="80"/>
      <c r="H94" s="80"/>
      <c r="I94" s="80">
        <v>1374</v>
      </c>
      <c r="J94" s="28"/>
      <c r="K94" s="28"/>
      <c r="L94" s="28"/>
    </row>
    <row r="95" spans="1:12" hidden="1" x14ac:dyDescent="0.25">
      <c r="A95" s="1752"/>
      <c r="B95" s="1220"/>
      <c r="C95" s="1117"/>
      <c r="D95" s="28" t="s">
        <v>263</v>
      </c>
      <c r="E95" s="94"/>
      <c r="F95" s="80">
        <v>3065</v>
      </c>
      <c r="G95" s="80"/>
      <c r="H95" s="80"/>
      <c r="I95" s="80">
        <v>3021</v>
      </c>
      <c r="J95" s="28"/>
      <c r="K95" s="28"/>
      <c r="L95" s="28"/>
    </row>
    <row r="96" spans="1:12" hidden="1" x14ac:dyDescent="0.25">
      <c r="A96" s="1752"/>
      <c r="B96" s="1220"/>
      <c r="C96" s="1117"/>
      <c r="D96" s="28" t="s">
        <v>357</v>
      </c>
      <c r="E96" s="94"/>
      <c r="F96" s="99">
        <f>(F95/F93)*100</f>
        <v>68.491620111731848</v>
      </c>
      <c r="G96" s="94"/>
      <c r="H96" s="94"/>
      <c r="I96" s="99">
        <f>I95/I93*100</f>
        <v>68.690313778990458</v>
      </c>
      <c r="J96" s="28"/>
      <c r="K96" s="28"/>
      <c r="L96" s="28"/>
    </row>
    <row r="97" spans="1:12" hidden="1" x14ac:dyDescent="0.25">
      <c r="A97" s="1752"/>
      <c r="B97" s="1220"/>
      <c r="C97" s="1117" t="s">
        <v>365</v>
      </c>
      <c r="D97" s="144" t="s">
        <v>251</v>
      </c>
      <c r="E97" s="94"/>
      <c r="F97" s="80">
        <v>585</v>
      </c>
      <c r="G97" s="80"/>
      <c r="H97" s="80"/>
      <c r="I97" s="80">
        <v>1140</v>
      </c>
      <c r="J97" s="28"/>
      <c r="K97" s="28"/>
      <c r="L97" s="28"/>
    </row>
    <row r="98" spans="1:12" hidden="1" x14ac:dyDescent="0.25">
      <c r="A98" s="1752"/>
      <c r="B98" s="1220"/>
      <c r="C98" s="1117"/>
      <c r="D98" s="28" t="s">
        <v>257</v>
      </c>
      <c r="E98" s="94"/>
      <c r="F98" s="80">
        <v>255</v>
      </c>
      <c r="G98" s="80"/>
      <c r="H98" s="80"/>
      <c r="I98" s="80">
        <v>450</v>
      </c>
      <c r="J98" s="28"/>
      <c r="K98" s="28"/>
      <c r="L98" s="28"/>
    </row>
    <row r="99" spans="1:12" hidden="1" x14ac:dyDescent="0.25">
      <c r="A99" s="1752"/>
      <c r="B99" s="1220"/>
      <c r="C99" s="1117"/>
      <c r="D99" s="28" t="s">
        <v>263</v>
      </c>
      <c r="E99" s="94"/>
      <c r="F99" s="80">
        <v>330</v>
      </c>
      <c r="G99" s="80"/>
      <c r="H99" s="80"/>
      <c r="I99" s="80">
        <v>690</v>
      </c>
      <c r="J99" s="28"/>
      <c r="K99" s="28"/>
      <c r="L99" s="28"/>
    </row>
    <row r="100" spans="1:12" hidden="1" x14ac:dyDescent="0.25">
      <c r="A100" s="1752"/>
      <c r="B100" s="1220"/>
      <c r="C100" s="1117"/>
      <c r="D100" s="28" t="s">
        <v>357</v>
      </c>
      <c r="E100" s="94"/>
      <c r="F100" s="98">
        <f>F99/F97*100</f>
        <v>56.410256410256409</v>
      </c>
      <c r="G100" s="94"/>
      <c r="H100" s="94"/>
      <c r="I100" s="99">
        <f>I99/I97*100</f>
        <v>60.526315789473685</v>
      </c>
      <c r="J100" s="28"/>
      <c r="K100" s="28"/>
      <c r="L100" s="28"/>
    </row>
    <row r="101" spans="1:12" hidden="1" x14ac:dyDescent="0.25">
      <c r="A101" s="1752"/>
      <c r="B101" s="1220"/>
      <c r="C101" s="1117" t="s">
        <v>366</v>
      </c>
      <c r="D101" s="144" t="s">
        <v>251</v>
      </c>
      <c r="E101" s="94"/>
      <c r="F101" s="80">
        <v>3555</v>
      </c>
      <c r="G101" s="80"/>
      <c r="H101" s="80"/>
      <c r="I101" s="80">
        <v>2592</v>
      </c>
      <c r="J101" s="28"/>
      <c r="K101" s="28"/>
      <c r="L101" s="28"/>
    </row>
    <row r="102" spans="1:12" hidden="1" x14ac:dyDescent="0.25">
      <c r="A102" s="1752"/>
      <c r="B102" s="1220"/>
      <c r="C102" s="1117"/>
      <c r="D102" s="28" t="s">
        <v>257</v>
      </c>
      <c r="E102" s="94"/>
      <c r="F102" s="80">
        <v>2355</v>
      </c>
      <c r="G102" s="80"/>
      <c r="H102" s="80"/>
      <c r="I102" s="80">
        <v>1740</v>
      </c>
      <c r="J102" s="28"/>
      <c r="K102" s="28"/>
      <c r="L102" s="28"/>
    </row>
    <row r="103" spans="1:12" hidden="1" x14ac:dyDescent="0.25">
      <c r="A103" s="1752"/>
      <c r="B103" s="1220"/>
      <c r="C103" s="1117"/>
      <c r="D103" s="28" t="s">
        <v>263</v>
      </c>
      <c r="E103" s="94"/>
      <c r="F103" s="80">
        <v>1200</v>
      </c>
      <c r="G103" s="80"/>
      <c r="H103" s="80"/>
      <c r="I103" s="80">
        <v>849</v>
      </c>
      <c r="J103" s="28"/>
      <c r="K103" s="28"/>
      <c r="L103" s="28"/>
    </row>
    <row r="104" spans="1:12" hidden="1" x14ac:dyDescent="0.25">
      <c r="A104" s="1752"/>
      <c r="B104" s="1220"/>
      <c r="C104" s="1117"/>
      <c r="D104" s="28" t="s">
        <v>357</v>
      </c>
      <c r="E104" s="94"/>
      <c r="F104" s="97">
        <f>(F103/F101)*100</f>
        <v>33.755274261603375</v>
      </c>
      <c r="G104" s="94"/>
      <c r="H104" s="94"/>
      <c r="I104" s="97">
        <f>I103/I101*100</f>
        <v>32.754629629629626</v>
      </c>
      <c r="J104" s="28"/>
      <c r="K104" s="28"/>
      <c r="L104" s="28"/>
    </row>
    <row r="105" spans="1:12" hidden="1" x14ac:dyDescent="0.25">
      <c r="A105" s="1752"/>
      <c r="B105" s="1220"/>
      <c r="C105" s="1117" t="s">
        <v>367</v>
      </c>
      <c r="D105" s="144" t="s">
        <v>251</v>
      </c>
      <c r="E105" s="94"/>
      <c r="F105" s="80">
        <v>710</v>
      </c>
      <c r="G105" s="80"/>
      <c r="H105" s="80"/>
      <c r="I105" s="80">
        <v>738</v>
      </c>
      <c r="J105" s="96"/>
      <c r="K105" s="28"/>
      <c r="L105" s="28"/>
    </row>
    <row r="106" spans="1:12" hidden="1" x14ac:dyDescent="0.25">
      <c r="A106" s="1752"/>
      <c r="B106" s="1220"/>
      <c r="C106" s="1117"/>
      <c r="D106" s="28" t="s">
        <v>257</v>
      </c>
      <c r="E106" s="94"/>
      <c r="F106" s="80">
        <v>405</v>
      </c>
      <c r="G106" s="80"/>
      <c r="H106" s="80"/>
      <c r="I106" s="80">
        <v>303</v>
      </c>
      <c r="J106" s="96"/>
      <c r="K106" s="28"/>
      <c r="L106" s="28"/>
    </row>
    <row r="107" spans="1:12" hidden="1" x14ac:dyDescent="0.25">
      <c r="A107" s="1752"/>
      <c r="B107" s="1220"/>
      <c r="C107" s="1117"/>
      <c r="D107" s="28" t="s">
        <v>263</v>
      </c>
      <c r="E107" s="94"/>
      <c r="F107" s="80">
        <v>305</v>
      </c>
      <c r="G107" s="80"/>
      <c r="H107" s="80"/>
      <c r="I107" s="80">
        <v>432</v>
      </c>
      <c r="J107" s="96"/>
      <c r="K107" s="28"/>
      <c r="L107" s="28"/>
    </row>
    <row r="108" spans="1:12" hidden="1" x14ac:dyDescent="0.25">
      <c r="A108" s="1752"/>
      <c r="B108" s="1220"/>
      <c r="C108" s="1117"/>
      <c r="D108" s="28" t="s">
        <v>357</v>
      </c>
      <c r="E108" s="94"/>
      <c r="F108" s="98">
        <f>(F107/F105)*100</f>
        <v>42.95774647887324</v>
      </c>
      <c r="G108" s="94"/>
      <c r="H108" s="94"/>
      <c r="I108" s="98">
        <f>I107/I105*100</f>
        <v>58.536585365853654</v>
      </c>
      <c r="J108" s="96"/>
      <c r="K108" s="28"/>
      <c r="L108" s="28"/>
    </row>
    <row r="109" spans="1:12" hidden="1" x14ac:dyDescent="0.25">
      <c r="A109" s="1752"/>
      <c r="B109" s="1220"/>
      <c r="C109" s="1117" t="s">
        <v>368</v>
      </c>
      <c r="D109" s="144" t="s">
        <v>251</v>
      </c>
      <c r="E109" s="94"/>
      <c r="F109" s="80">
        <v>1770</v>
      </c>
      <c r="G109" s="80"/>
      <c r="H109" s="80"/>
      <c r="I109" s="80">
        <v>3441</v>
      </c>
      <c r="J109" s="96"/>
      <c r="K109" s="28"/>
      <c r="L109" s="28"/>
    </row>
    <row r="110" spans="1:12" hidden="1" x14ac:dyDescent="0.25">
      <c r="A110" s="1752"/>
      <c r="B110" s="1220"/>
      <c r="C110" s="1117"/>
      <c r="D110" s="28" t="s">
        <v>257</v>
      </c>
      <c r="E110" s="94"/>
      <c r="F110" s="80">
        <v>825</v>
      </c>
      <c r="G110" s="80"/>
      <c r="H110" s="80"/>
      <c r="I110" s="80">
        <v>1761</v>
      </c>
      <c r="J110" s="96"/>
      <c r="K110" s="28"/>
      <c r="L110" s="28"/>
    </row>
    <row r="111" spans="1:12" hidden="1" x14ac:dyDescent="0.25">
      <c r="A111" s="1752"/>
      <c r="B111" s="1220"/>
      <c r="C111" s="1117"/>
      <c r="D111" s="28" t="s">
        <v>263</v>
      </c>
      <c r="E111" s="94"/>
      <c r="F111" s="80">
        <v>945</v>
      </c>
      <c r="G111" s="80"/>
      <c r="H111" s="80"/>
      <c r="I111" s="80">
        <v>1680</v>
      </c>
      <c r="J111" s="96"/>
      <c r="K111" s="28"/>
      <c r="L111" s="28"/>
    </row>
    <row r="112" spans="1:12" hidden="1" x14ac:dyDescent="0.25">
      <c r="A112" s="1752"/>
      <c r="B112" s="1220"/>
      <c r="C112" s="1117"/>
      <c r="D112" s="28" t="s">
        <v>357</v>
      </c>
      <c r="E112" s="94"/>
      <c r="F112" s="98">
        <f>(F111/F109)*100</f>
        <v>53.389830508474581</v>
      </c>
      <c r="G112" s="94"/>
      <c r="H112" s="94"/>
      <c r="I112" s="98">
        <f>I111/I109*100</f>
        <v>48.823016564952049</v>
      </c>
      <c r="J112" s="96"/>
      <c r="K112" s="28"/>
      <c r="L112" s="28"/>
    </row>
    <row r="113" spans="1:12" hidden="1" x14ac:dyDescent="0.25">
      <c r="A113" s="1752"/>
      <c r="B113" s="1220"/>
      <c r="C113" s="1117" t="s">
        <v>369</v>
      </c>
      <c r="D113" s="144" t="s">
        <v>251</v>
      </c>
      <c r="E113" s="94"/>
      <c r="F113" s="80">
        <v>1685</v>
      </c>
      <c r="G113" s="80"/>
      <c r="H113" s="80"/>
      <c r="I113" s="80">
        <v>2142</v>
      </c>
      <c r="J113" s="96"/>
      <c r="K113" s="28"/>
      <c r="L113" s="28"/>
    </row>
    <row r="114" spans="1:12" hidden="1" x14ac:dyDescent="0.25">
      <c r="A114" s="1752"/>
      <c r="B114" s="1220"/>
      <c r="C114" s="1117"/>
      <c r="D114" s="28" t="s">
        <v>257</v>
      </c>
      <c r="E114" s="94"/>
      <c r="F114" s="80">
        <v>1215</v>
      </c>
      <c r="G114" s="80"/>
      <c r="H114" s="80"/>
      <c r="I114" s="80">
        <v>1575</v>
      </c>
      <c r="J114" s="96"/>
      <c r="K114" s="28"/>
      <c r="L114" s="28"/>
    </row>
    <row r="115" spans="1:12" hidden="1" x14ac:dyDescent="0.25">
      <c r="A115" s="1752"/>
      <c r="B115" s="1220"/>
      <c r="C115" s="1117"/>
      <c r="D115" s="28" t="s">
        <v>263</v>
      </c>
      <c r="E115" s="94"/>
      <c r="F115" s="80">
        <v>470</v>
      </c>
      <c r="G115" s="80"/>
      <c r="H115" s="80"/>
      <c r="I115" s="80">
        <v>570</v>
      </c>
      <c r="J115" s="96"/>
      <c r="K115" s="28"/>
      <c r="L115" s="28"/>
    </row>
    <row r="116" spans="1:12" hidden="1" x14ac:dyDescent="0.25">
      <c r="A116" s="1752"/>
      <c r="B116" s="1220"/>
      <c r="C116" s="1117"/>
      <c r="D116" s="28" t="s">
        <v>357</v>
      </c>
      <c r="E116" s="94"/>
      <c r="F116" s="97">
        <f>(F115/F113)*100</f>
        <v>27.893175074183979</v>
      </c>
      <c r="G116" s="94"/>
      <c r="H116" s="94"/>
      <c r="I116" s="97">
        <f>I115/I113*100</f>
        <v>26.610644257703083</v>
      </c>
      <c r="J116" s="96"/>
      <c r="K116" s="28"/>
      <c r="L116" s="28"/>
    </row>
    <row r="117" spans="1:12" hidden="1" x14ac:dyDescent="0.25">
      <c r="A117" s="1752"/>
      <c r="B117" s="1220"/>
      <c r="C117" s="1117" t="s">
        <v>370</v>
      </c>
      <c r="D117" s="144" t="s">
        <v>251</v>
      </c>
      <c r="E117" s="94"/>
      <c r="F117" s="80">
        <v>1430</v>
      </c>
      <c r="G117" s="80"/>
      <c r="H117" s="80"/>
      <c r="I117" s="80">
        <v>1116</v>
      </c>
      <c r="J117" s="96"/>
      <c r="K117" s="28"/>
      <c r="L117" s="28"/>
    </row>
    <row r="118" spans="1:12" hidden="1" x14ac:dyDescent="0.25">
      <c r="A118" s="1752"/>
      <c r="B118" s="1220"/>
      <c r="C118" s="1117"/>
      <c r="D118" s="28" t="s">
        <v>257</v>
      </c>
      <c r="E118" s="94"/>
      <c r="F118" s="80">
        <v>475</v>
      </c>
      <c r="G118" s="80"/>
      <c r="H118" s="80"/>
      <c r="I118" s="80">
        <v>288</v>
      </c>
      <c r="J118" s="96"/>
      <c r="K118" s="28"/>
      <c r="L118" s="28"/>
    </row>
    <row r="119" spans="1:12" hidden="1" x14ac:dyDescent="0.25">
      <c r="A119" s="1752"/>
      <c r="B119" s="1220"/>
      <c r="C119" s="1117"/>
      <c r="D119" s="28" t="s">
        <v>263</v>
      </c>
      <c r="E119" s="94"/>
      <c r="F119" s="80">
        <v>955</v>
      </c>
      <c r="G119" s="80"/>
      <c r="H119" s="80"/>
      <c r="I119" s="80">
        <v>828</v>
      </c>
      <c r="J119" s="96"/>
      <c r="K119" s="28"/>
      <c r="L119" s="28"/>
    </row>
    <row r="120" spans="1:12" hidden="1" x14ac:dyDescent="0.25">
      <c r="A120" s="1752"/>
      <c r="B120" s="1220"/>
      <c r="C120" s="1117"/>
      <c r="D120" s="28" t="s">
        <v>357</v>
      </c>
      <c r="E120" s="94"/>
      <c r="F120" s="99">
        <f>(F119/F117)*100</f>
        <v>66.783216783216787</v>
      </c>
      <c r="G120" s="94"/>
      <c r="H120" s="94"/>
      <c r="I120" s="99">
        <f>I119/I117*100</f>
        <v>74.193548387096769</v>
      </c>
      <c r="J120" s="96"/>
      <c r="K120" s="28"/>
      <c r="L120" s="28"/>
    </row>
    <row r="121" spans="1:12" hidden="1" x14ac:dyDescent="0.25">
      <c r="A121" s="1752"/>
      <c r="B121" s="1220"/>
      <c r="C121" s="1117" t="s">
        <v>371</v>
      </c>
      <c r="D121" s="144" t="s">
        <v>251</v>
      </c>
      <c r="E121" s="94"/>
      <c r="F121" s="80">
        <v>15</v>
      </c>
      <c r="G121" s="80"/>
      <c r="H121" s="80"/>
      <c r="I121" s="80">
        <v>1335</v>
      </c>
      <c r="J121" s="96"/>
      <c r="K121" s="28"/>
      <c r="L121" s="28"/>
    </row>
    <row r="122" spans="1:12" hidden="1" x14ac:dyDescent="0.25">
      <c r="A122" s="1752"/>
      <c r="B122" s="1220"/>
      <c r="C122" s="1117"/>
      <c r="D122" s="28" t="s">
        <v>257</v>
      </c>
      <c r="E122" s="94"/>
      <c r="F122" s="80">
        <v>15</v>
      </c>
      <c r="G122" s="80"/>
      <c r="H122" s="80"/>
      <c r="I122" s="80">
        <v>663</v>
      </c>
      <c r="J122" s="96"/>
      <c r="K122" s="28"/>
      <c r="L122" s="28"/>
    </row>
    <row r="123" spans="1:12" hidden="1" x14ac:dyDescent="0.25">
      <c r="A123" s="1752"/>
      <c r="B123" s="1220"/>
      <c r="C123" s="1117"/>
      <c r="D123" s="28" t="s">
        <v>263</v>
      </c>
      <c r="E123" s="94"/>
      <c r="F123" s="80">
        <v>0</v>
      </c>
      <c r="G123" s="80"/>
      <c r="H123" s="80"/>
      <c r="I123" s="80">
        <v>672</v>
      </c>
      <c r="J123" s="96"/>
      <c r="K123" s="28"/>
      <c r="L123" s="28"/>
    </row>
    <row r="124" spans="1:12" hidden="1" x14ac:dyDescent="0.25">
      <c r="A124" s="1752"/>
      <c r="B124" s="1220"/>
      <c r="C124" s="1117"/>
      <c r="D124" s="28" t="s">
        <v>357</v>
      </c>
      <c r="E124" s="94"/>
      <c r="F124" s="97">
        <f>(F123/F121)*100</f>
        <v>0</v>
      </c>
      <c r="G124" s="94"/>
      <c r="H124" s="94"/>
      <c r="I124" s="98">
        <f>I123/I121*100</f>
        <v>50.337078651685395</v>
      </c>
      <c r="J124" s="96"/>
      <c r="K124" s="28"/>
      <c r="L124" s="28"/>
    </row>
    <row r="125" spans="1:12" hidden="1" x14ac:dyDescent="0.25">
      <c r="A125" s="1752"/>
      <c r="B125" s="1220"/>
      <c r="C125" s="1117" t="s">
        <v>372</v>
      </c>
      <c r="D125" s="144" t="s">
        <v>251</v>
      </c>
      <c r="E125" s="94"/>
      <c r="F125" s="80">
        <v>2965</v>
      </c>
      <c r="G125" s="80"/>
      <c r="H125" s="80"/>
      <c r="I125" s="80">
        <v>1446</v>
      </c>
      <c r="J125" s="96"/>
      <c r="K125" s="28"/>
      <c r="L125" s="28"/>
    </row>
    <row r="126" spans="1:12" ht="14.85" hidden="1" customHeight="1" x14ac:dyDescent="0.25">
      <c r="A126" s="1752"/>
      <c r="B126" s="1220"/>
      <c r="C126" s="1117"/>
      <c r="D126" s="28" t="s">
        <v>257</v>
      </c>
      <c r="E126" s="94"/>
      <c r="F126" s="80">
        <v>2385</v>
      </c>
      <c r="G126" s="80"/>
      <c r="H126" s="80"/>
      <c r="I126" s="80">
        <v>1065</v>
      </c>
      <c r="J126" s="96"/>
      <c r="K126" s="28"/>
      <c r="L126" s="28"/>
    </row>
    <row r="127" spans="1:12" hidden="1" x14ac:dyDescent="0.25">
      <c r="A127" s="1752"/>
      <c r="B127" s="1220"/>
      <c r="C127" s="1117"/>
      <c r="D127" s="28" t="s">
        <v>263</v>
      </c>
      <c r="E127" s="94"/>
      <c r="F127" s="80">
        <v>580</v>
      </c>
      <c r="G127" s="80"/>
      <c r="H127" s="80"/>
      <c r="I127" s="80">
        <v>384</v>
      </c>
      <c r="J127" s="96"/>
      <c r="K127" s="28"/>
      <c r="L127" s="28"/>
    </row>
    <row r="128" spans="1:12" hidden="1" x14ac:dyDescent="0.25">
      <c r="A128" s="1752"/>
      <c r="B128" s="1220"/>
      <c r="C128" s="1117"/>
      <c r="D128" s="28" t="s">
        <v>357</v>
      </c>
      <c r="E128" s="94"/>
      <c r="F128" s="97">
        <f>(F127/F125)*100</f>
        <v>19.561551433389546</v>
      </c>
      <c r="G128" s="94"/>
      <c r="H128" s="94"/>
      <c r="I128" s="97">
        <f>I127/I125*100</f>
        <v>26.556016597510375</v>
      </c>
      <c r="J128" s="96"/>
      <c r="K128" s="28"/>
      <c r="L128" s="28"/>
    </row>
    <row r="129" spans="1:12" hidden="1" x14ac:dyDescent="0.25">
      <c r="A129" s="1752"/>
      <c r="B129" s="1220"/>
      <c r="C129" s="1117" t="s">
        <v>373</v>
      </c>
      <c r="D129" s="144" t="s">
        <v>251</v>
      </c>
      <c r="E129" s="94"/>
      <c r="F129" s="80">
        <v>620</v>
      </c>
      <c r="G129" s="80"/>
      <c r="H129" s="80"/>
      <c r="I129" s="80">
        <v>300</v>
      </c>
      <c r="J129" s="96"/>
      <c r="K129" s="28"/>
      <c r="L129" s="28"/>
    </row>
    <row r="130" spans="1:12" hidden="1" x14ac:dyDescent="0.25">
      <c r="A130" s="1752"/>
      <c r="B130" s="1220"/>
      <c r="C130" s="1117"/>
      <c r="D130" s="28" t="s">
        <v>257</v>
      </c>
      <c r="E130" s="94"/>
      <c r="F130" s="80">
        <v>485</v>
      </c>
      <c r="G130" s="80"/>
      <c r="H130" s="80"/>
      <c r="I130" s="80">
        <v>264</v>
      </c>
      <c r="J130" s="96"/>
      <c r="K130" s="28"/>
      <c r="L130" s="28"/>
    </row>
    <row r="131" spans="1:12" hidden="1" x14ac:dyDescent="0.25">
      <c r="A131" s="1752"/>
      <c r="B131" s="1220"/>
      <c r="C131" s="1117"/>
      <c r="D131" s="28" t="s">
        <v>263</v>
      </c>
      <c r="E131" s="94"/>
      <c r="F131" s="80">
        <v>135</v>
      </c>
      <c r="G131" s="80"/>
      <c r="H131" s="80"/>
      <c r="I131" s="80">
        <v>36</v>
      </c>
      <c r="J131" s="96"/>
      <c r="K131" s="28"/>
      <c r="L131" s="28"/>
    </row>
    <row r="132" spans="1:12" hidden="1" x14ac:dyDescent="0.25">
      <c r="A132" s="1752"/>
      <c r="B132" s="1220"/>
      <c r="C132" s="1117"/>
      <c r="D132" s="28" t="s">
        <v>357</v>
      </c>
      <c r="E132" s="94"/>
      <c r="F132" s="97">
        <f>(F131/F129)*100</f>
        <v>21.774193548387096</v>
      </c>
      <c r="G132" s="94"/>
      <c r="H132" s="94"/>
      <c r="I132" s="97">
        <f>I131/I129*100</f>
        <v>12</v>
      </c>
      <c r="J132" s="96"/>
      <c r="K132" s="28"/>
      <c r="L132" s="28"/>
    </row>
    <row r="133" spans="1:12" hidden="1" x14ac:dyDescent="0.25">
      <c r="A133" s="1752"/>
      <c r="B133" s="1220"/>
      <c r="C133" s="1117" t="s">
        <v>374</v>
      </c>
      <c r="D133" s="144" t="s">
        <v>251</v>
      </c>
      <c r="E133" s="94"/>
      <c r="F133" s="80">
        <v>625</v>
      </c>
      <c r="G133" s="80"/>
      <c r="H133" s="80"/>
      <c r="I133" s="80">
        <v>699</v>
      </c>
      <c r="J133" s="96"/>
      <c r="K133" s="28"/>
      <c r="L133" s="28"/>
    </row>
    <row r="134" spans="1:12" hidden="1" x14ac:dyDescent="0.25">
      <c r="A134" s="1752"/>
      <c r="B134" s="1220"/>
      <c r="C134" s="1117"/>
      <c r="D134" s="28" t="s">
        <v>257</v>
      </c>
      <c r="E134" s="94"/>
      <c r="F134" s="80">
        <v>305</v>
      </c>
      <c r="G134" s="80"/>
      <c r="H134" s="80"/>
      <c r="I134" s="80">
        <v>267</v>
      </c>
      <c r="J134" s="96"/>
      <c r="K134" s="28"/>
      <c r="L134" s="28"/>
    </row>
    <row r="135" spans="1:12" hidden="1" x14ac:dyDescent="0.25">
      <c r="A135" s="1752"/>
      <c r="B135" s="1220"/>
      <c r="C135" s="1117"/>
      <c r="D135" s="28" t="s">
        <v>263</v>
      </c>
      <c r="E135" s="94"/>
      <c r="F135" s="80">
        <v>320</v>
      </c>
      <c r="G135" s="80"/>
      <c r="H135" s="80"/>
      <c r="I135" s="80">
        <v>435</v>
      </c>
      <c r="J135" s="96"/>
      <c r="K135" s="28"/>
      <c r="L135" s="28"/>
    </row>
    <row r="136" spans="1:12" hidden="1" x14ac:dyDescent="0.25">
      <c r="A136" s="1752"/>
      <c r="B136" s="1220"/>
      <c r="C136" s="1117"/>
      <c r="D136" s="28" t="s">
        <v>357</v>
      </c>
      <c r="E136" s="94"/>
      <c r="F136" s="98">
        <f>(F135/F133)*100</f>
        <v>51.2</v>
      </c>
      <c r="G136" s="94"/>
      <c r="H136" s="94"/>
      <c r="I136" s="99">
        <f>I135/I133*100</f>
        <v>62.231759656652365</v>
      </c>
      <c r="J136" s="96"/>
      <c r="K136" s="28"/>
      <c r="L136" s="28"/>
    </row>
    <row r="137" spans="1:12" hidden="1" x14ac:dyDescent="0.25">
      <c r="A137" s="1752"/>
      <c r="B137" s="1220"/>
      <c r="C137" s="1117" t="s">
        <v>375</v>
      </c>
      <c r="D137" s="144" t="s">
        <v>251</v>
      </c>
      <c r="E137" s="94"/>
      <c r="F137" s="80">
        <v>140</v>
      </c>
      <c r="G137" s="80"/>
      <c r="H137" s="80"/>
      <c r="I137" s="80">
        <v>177</v>
      </c>
      <c r="J137" s="96"/>
      <c r="K137" s="28"/>
      <c r="L137" s="28"/>
    </row>
    <row r="138" spans="1:12" ht="14.85" hidden="1" customHeight="1" x14ac:dyDescent="0.25">
      <c r="A138" s="1752"/>
      <c r="B138" s="1220"/>
      <c r="C138" s="1117"/>
      <c r="D138" s="28" t="s">
        <v>257</v>
      </c>
      <c r="E138" s="94"/>
      <c r="F138" s="80">
        <v>110</v>
      </c>
      <c r="G138" s="80"/>
      <c r="H138" s="80"/>
      <c r="I138" s="80">
        <v>75</v>
      </c>
      <c r="J138" s="96"/>
      <c r="K138" s="28"/>
      <c r="L138" s="28"/>
    </row>
    <row r="139" spans="1:12" hidden="1" x14ac:dyDescent="0.25">
      <c r="A139" s="1752"/>
      <c r="B139" s="1220"/>
      <c r="C139" s="1117"/>
      <c r="D139" s="28" t="s">
        <v>263</v>
      </c>
      <c r="E139" s="94"/>
      <c r="F139" s="80">
        <v>30</v>
      </c>
      <c r="G139" s="80"/>
      <c r="H139" s="80"/>
      <c r="I139" s="80">
        <v>102</v>
      </c>
      <c r="J139" s="96"/>
      <c r="K139" s="28"/>
      <c r="L139" s="28"/>
    </row>
    <row r="140" spans="1:12" hidden="1" x14ac:dyDescent="0.25">
      <c r="A140" s="1752"/>
      <c r="B140" s="1220"/>
      <c r="C140" s="1117"/>
      <c r="D140" s="28" t="s">
        <v>357</v>
      </c>
      <c r="E140" s="94"/>
      <c r="F140" s="97">
        <f>(F139/F137)*100</f>
        <v>21.428571428571427</v>
      </c>
      <c r="G140" s="94"/>
      <c r="H140" s="94"/>
      <c r="I140" s="98">
        <f>I139/I137*100</f>
        <v>57.627118644067799</v>
      </c>
      <c r="J140" s="96"/>
      <c r="K140" s="28"/>
      <c r="L140" s="28"/>
    </row>
    <row r="141" spans="1:12" hidden="1" x14ac:dyDescent="0.25">
      <c r="A141" s="1752"/>
      <c r="B141" s="1220"/>
      <c r="C141" s="1117" t="s">
        <v>376</v>
      </c>
      <c r="D141" s="144" t="s">
        <v>251</v>
      </c>
      <c r="E141" s="94"/>
      <c r="F141" s="80">
        <v>2160</v>
      </c>
      <c r="G141" s="80"/>
      <c r="H141" s="80"/>
      <c r="I141" s="80">
        <v>2274</v>
      </c>
      <c r="J141" s="96"/>
      <c r="K141" s="28"/>
      <c r="L141" s="28"/>
    </row>
    <row r="142" spans="1:12" ht="14.85" hidden="1" customHeight="1" x14ac:dyDescent="0.25">
      <c r="A142" s="1752"/>
      <c r="B142" s="1220"/>
      <c r="C142" s="1117"/>
      <c r="D142" s="28" t="s">
        <v>257</v>
      </c>
      <c r="E142" s="94"/>
      <c r="F142" s="80">
        <v>1390</v>
      </c>
      <c r="G142" s="80"/>
      <c r="H142" s="80"/>
      <c r="I142" s="80">
        <v>1389</v>
      </c>
      <c r="J142" s="96"/>
      <c r="K142" s="28"/>
      <c r="L142" s="28"/>
    </row>
    <row r="143" spans="1:12" hidden="1" x14ac:dyDescent="0.25">
      <c r="A143" s="1752"/>
      <c r="B143" s="1220"/>
      <c r="C143" s="1117"/>
      <c r="D143" s="28" t="s">
        <v>263</v>
      </c>
      <c r="E143" s="94"/>
      <c r="F143" s="80">
        <v>770</v>
      </c>
      <c r="G143" s="80"/>
      <c r="H143" s="80"/>
      <c r="I143" s="80">
        <v>882</v>
      </c>
      <c r="J143" s="96"/>
      <c r="K143" s="28"/>
      <c r="L143" s="28"/>
    </row>
    <row r="144" spans="1:12" hidden="1" x14ac:dyDescent="0.25">
      <c r="A144" s="1752"/>
      <c r="B144" s="1220"/>
      <c r="C144" s="1117"/>
      <c r="D144" s="28" t="s">
        <v>357</v>
      </c>
      <c r="E144" s="94"/>
      <c r="F144" s="97">
        <f>(F143/F141)*100</f>
        <v>35.648148148148145</v>
      </c>
      <c r="G144" s="94"/>
      <c r="H144" s="94"/>
      <c r="I144" s="97">
        <f>I143/I141*100</f>
        <v>38.786279683377309</v>
      </c>
      <c r="J144" s="96"/>
      <c r="K144" s="28"/>
      <c r="L144" s="28"/>
    </row>
    <row r="145" spans="1:12" hidden="1" x14ac:dyDescent="0.25">
      <c r="A145" s="1752"/>
      <c r="B145" s="1220"/>
      <c r="C145" s="1117" t="s">
        <v>377</v>
      </c>
      <c r="D145" s="144" t="s">
        <v>251</v>
      </c>
      <c r="E145" s="94"/>
      <c r="F145" s="80">
        <v>2515</v>
      </c>
      <c r="G145" s="80"/>
      <c r="H145" s="80"/>
      <c r="I145" s="80">
        <v>2238</v>
      </c>
      <c r="J145" s="96"/>
      <c r="K145" s="28"/>
      <c r="L145" s="28"/>
    </row>
    <row r="146" spans="1:12" hidden="1" x14ac:dyDescent="0.25">
      <c r="A146" s="1752"/>
      <c r="B146" s="1220"/>
      <c r="C146" s="1117"/>
      <c r="D146" s="28" t="s">
        <v>257</v>
      </c>
      <c r="E146" s="94"/>
      <c r="F146" s="80">
        <v>585</v>
      </c>
      <c r="G146" s="80"/>
      <c r="H146" s="80"/>
      <c r="I146" s="80">
        <v>714</v>
      </c>
      <c r="J146" s="96"/>
      <c r="K146" s="28"/>
      <c r="L146" s="28"/>
    </row>
    <row r="147" spans="1:12" hidden="1" x14ac:dyDescent="0.25">
      <c r="A147" s="1752"/>
      <c r="B147" s="1220"/>
      <c r="C147" s="1117"/>
      <c r="D147" s="28" t="s">
        <v>263</v>
      </c>
      <c r="E147" s="94"/>
      <c r="F147" s="80">
        <v>1930</v>
      </c>
      <c r="G147" s="80"/>
      <c r="H147" s="80"/>
      <c r="I147" s="80">
        <v>1521</v>
      </c>
      <c r="J147" s="96"/>
      <c r="K147" s="28"/>
      <c r="L147" s="28"/>
    </row>
    <row r="148" spans="1:12" hidden="1" x14ac:dyDescent="0.25">
      <c r="A148" s="1752"/>
      <c r="B148" s="1220"/>
      <c r="C148" s="1117"/>
      <c r="D148" s="28" t="s">
        <v>357</v>
      </c>
      <c r="E148" s="94"/>
      <c r="F148" s="99">
        <f>(F147/F145)*100</f>
        <v>76.739562624254475</v>
      </c>
      <c r="G148" s="94"/>
      <c r="H148" s="94"/>
      <c r="I148" s="99">
        <f>I147/I145*100</f>
        <v>67.962466487935657</v>
      </c>
      <c r="J148" s="96"/>
      <c r="K148" s="28"/>
      <c r="L148" s="28"/>
    </row>
    <row r="149" spans="1:12" hidden="1" x14ac:dyDescent="0.25">
      <c r="A149" s="1752"/>
      <c r="B149" s="1220"/>
      <c r="C149" s="1117" t="s">
        <v>378</v>
      </c>
      <c r="D149" s="144" t="s">
        <v>251</v>
      </c>
      <c r="E149" s="94"/>
      <c r="F149" s="80">
        <v>1460</v>
      </c>
      <c r="G149" s="80"/>
      <c r="H149" s="80"/>
      <c r="I149" s="80">
        <v>1509</v>
      </c>
      <c r="J149" s="96"/>
      <c r="K149" s="28"/>
      <c r="L149" s="28"/>
    </row>
    <row r="150" spans="1:12" hidden="1" x14ac:dyDescent="0.25">
      <c r="A150" s="1752"/>
      <c r="B150" s="1220"/>
      <c r="C150" s="1117"/>
      <c r="D150" s="28" t="s">
        <v>257</v>
      </c>
      <c r="E150" s="94"/>
      <c r="F150" s="80">
        <v>710</v>
      </c>
      <c r="G150" s="80"/>
      <c r="H150" s="80"/>
      <c r="I150" s="80">
        <v>792</v>
      </c>
      <c r="J150" s="96"/>
      <c r="K150" s="28"/>
      <c r="L150" s="28"/>
    </row>
    <row r="151" spans="1:12" hidden="1" x14ac:dyDescent="0.25">
      <c r="A151" s="1752"/>
      <c r="B151" s="1220"/>
      <c r="C151" s="1117"/>
      <c r="D151" s="28" t="s">
        <v>263</v>
      </c>
      <c r="E151" s="94"/>
      <c r="F151" s="80">
        <v>755</v>
      </c>
      <c r="G151" s="80"/>
      <c r="H151" s="80"/>
      <c r="I151" s="80">
        <v>717</v>
      </c>
      <c r="J151" s="96"/>
      <c r="K151" s="28"/>
      <c r="L151" s="28"/>
    </row>
    <row r="152" spans="1:12" hidden="1" x14ac:dyDescent="0.25">
      <c r="A152" s="1752"/>
      <c r="B152" s="1220"/>
      <c r="C152" s="1117"/>
      <c r="D152" s="28" t="s">
        <v>357</v>
      </c>
      <c r="E152" s="94"/>
      <c r="F152" s="98">
        <f>(F151/F149)*100</f>
        <v>51.712328767123282</v>
      </c>
      <c r="G152" s="94"/>
      <c r="H152" s="94"/>
      <c r="I152" s="98">
        <f>I151/I149*100</f>
        <v>47.514910536779325</v>
      </c>
      <c r="J152" s="96"/>
      <c r="K152" s="28"/>
      <c r="L152" s="28"/>
    </row>
    <row r="153" spans="1:12" hidden="1" x14ac:dyDescent="0.25">
      <c r="A153" s="1752"/>
      <c r="B153" s="1220"/>
      <c r="C153" s="1117" t="s">
        <v>379</v>
      </c>
      <c r="D153" s="144" t="s">
        <v>251</v>
      </c>
      <c r="E153" s="94"/>
      <c r="F153" s="80">
        <v>4030</v>
      </c>
      <c r="G153" s="80"/>
      <c r="H153" s="80"/>
      <c r="I153" s="80">
        <v>2289</v>
      </c>
      <c r="J153" s="96"/>
      <c r="K153" s="28"/>
      <c r="L153" s="28"/>
    </row>
    <row r="154" spans="1:12" hidden="1" x14ac:dyDescent="0.25">
      <c r="A154" s="1752"/>
      <c r="B154" s="1220"/>
      <c r="C154" s="1117"/>
      <c r="D154" s="28" t="s">
        <v>257</v>
      </c>
      <c r="E154" s="94"/>
      <c r="F154" s="80">
        <v>2835</v>
      </c>
      <c r="G154" s="80"/>
      <c r="H154" s="80"/>
      <c r="I154" s="80">
        <v>1725</v>
      </c>
      <c r="J154" s="96"/>
      <c r="K154" s="28"/>
      <c r="L154" s="28"/>
    </row>
    <row r="155" spans="1:12" hidden="1" x14ac:dyDescent="0.25">
      <c r="A155" s="1752"/>
      <c r="B155" s="1220"/>
      <c r="C155" s="1117"/>
      <c r="D155" s="28" t="s">
        <v>263</v>
      </c>
      <c r="E155" s="94"/>
      <c r="F155" s="80">
        <v>1190</v>
      </c>
      <c r="G155" s="80"/>
      <c r="H155" s="80"/>
      <c r="I155" s="80">
        <v>564</v>
      </c>
      <c r="J155" s="96"/>
      <c r="K155" s="28"/>
      <c r="L155" s="28"/>
    </row>
    <row r="156" spans="1:12" hidden="1" x14ac:dyDescent="0.25">
      <c r="A156" s="1752"/>
      <c r="B156" s="1220"/>
      <c r="C156" s="1117"/>
      <c r="D156" s="28" t="s">
        <v>357</v>
      </c>
      <c r="E156" s="94"/>
      <c r="F156" s="97">
        <f>(F155/F153)*100</f>
        <v>29.528535980148884</v>
      </c>
      <c r="G156" s="94"/>
      <c r="H156" s="94"/>
      <c r="I156" s="97">
        <f>I155/I153*100</f>
        <v>24.639580602883353</v>
      </c>
      <c r="J156" s="96"/>
      <c r="K156" s="28"/>
      <c r="L156" s="28"/>
    </row>
    <row r="157" spans="1:12" ht="14.85" hidden="1" customHeight="1" x14ac:dyDescent="0.25">
      <c r="A157" s="1752"/>
      <c r="B157" s="1220"/>
      <c r="C157" s="1117" t="s">
        <v>380</v>
      </c>
      <c r="D157" s="144" t="s">
        <v>251</v>
      </c>
      <c r="E157" s="94"/>
      <c r="F157" s="80">
        <v>5160</v>
      </c>
      <c r="G157" s="80"/>
      <c r="H157" s="80"/>
      <c r="I157" s="80">
        <v>2013</v>
      </c>
      <c r="J157" s="96"/>
      <c r="K157" s="28"/>
      <c r="L157" s="28"/>
    </row>
    <row r="158" spans="1:12" hidden="1" x14ac:dyDescent="0.25">
      <c r="A158" s="1752"/>
      <c r="B158" s="1220"/>
      <c r="C158" s="1117"/>
      <c r="D158" s="28" t="s">
        <v>257</v>
      </c>
      <c r="E158" s="94"/>
      <c r="F158" s="80">
        <v>2140</v>
      </c>
      <c r="G158" s="80"/>
      <c r="H158" s="80"/>
      <c r="I158" s="80">
        <v>1002</v>
      </c>
      <c r="J158" s="96"/>
      <c r="K158" s="28"/>
      <c r="L158" s="28"/>
    </row>
    <row r="159" spans="1:12" hidden="1" x14ac:dyDescent="0.25">
      <c r="A159" s="1752"/>
      <c r="B159" s="1220"/>
      <c r="C159" s="1117"/>
      <c r="D159" s="28" t="s">
        <v>263</v>
      </c>
      <c r="E159" s="94"/>
      <c r="F159" s="80">
        <v>3020</v>
      </c>
      <c r="G159" s="80"/>
      <c r="H159" s="80"/>
      <c r="I159" s="80">
        <v>1011</v>
      </c>
      <c r="J159" s="96"/>
      <c r="K159" s="28"/>
      <c r="L159" s="28"/>
    </row>
    <row r="160" spans="1:12" hidden="1" x14ac:dyDescent="0.25">
      <c r="A160" s="1752"/>
      <c r="B160" s="1220"/>
      <c r="C160" s="1117"/>
      <c r="D160" s="28" t="s">
        <v>357</v>
      </c>
      <c r="E160" s="94"/>
      <c r="F160" s="98">
        <f>(F159/F157)*100</f>
        <v>58.527131782945737</v>
      </c>
      <c r="G160" s="94"/>
      <c r="H160" s="94"/>
      <c r="I160" s="98">
        <f>I159/I157*100</f>
        <v>50.22354694485842</v>
      </c>
      <c r="J160" s="96"/>
      <c r="K160" s="28"/>
      <c r="L160" s="28"/>
    </row>
    <row r="161" spans="1:12" hidden="1" x14ac:dyDescent="0.25">
      <c r="A161" s="1752"/>
      <c r="B161" s="1220"/>
      <c r="C161" s="1117" t="s">
        <v>381</v>
      </c>
      <c r="D161" s="144" t="s">
        <v>251</v>
      </c>
      <c r="E161" s="94"/>
      <c r="F161" s="80">
        <v>655</v>
      </c>
      <c r="G161" s="80"/>
      <c r="H161" s="80"/>
      <c r="I161" s="80">
        <v>822</v>
      </c>
      <c r="J161" s="28"/>
      <c r="K161" s="28"/>
      <c r="L161" s="28"/>
    </row>
    <row r="162" spans="1:12" ht="14.85" hidden="1" customHeight="1" x14ac:dyDescent="0.25">
      <c r="A162" s="1752"/>
      <c r="B162" s="1220"/>
      <c r="C162" s="1117"/>
      <c r="D162" s="28" t="s">
        <v>257</v>
      </c>
      <c r="E162" s="94"/>
      <c r="F162" s="80">
        <v>410</v>
      </c>
      <c r="G162" s="80"/>
      <c r="H162" s="80"/>
      <c r="I162" s="80">
        <v>438</v>
      </c>
      <c r="J162" s="28"/>
      <c r="K162" s="28"/>
      <c r="L162" s="28"/>
    </row>
    <row r="163" spans="1:12" hidden="1" x14ac:dyDescent="0.25">
      <c r="A163" s="1752"/>
      <c r="B163" s="1220"/>
      <c r="C163" s="1117"/>
      <c r="D163" s="28" t="s">
        <v>263</v>
      </c>
      <c r="E163" s="94"/>
      <c r="F163" s="80">
        <v>245</v>
      </c>
      <c r="G163" s="80"/>
      <c r="H163" s="80"/>
      <c r="I163" s="80">
        <v>381</v>
      </c>
      <c r="J163" s="28"/>
      <c r="K163" s="28"/>
      <c r="L163" s="28"/>
    </row>
    <row r="164" spans="1:12" hidden="1" x14ac:dyDescent="0.25">
      <c r="A164" s="1752"/>
      <c r="B164" s="1220"/>
      <c r="C164" s="1117"/>
      <c r="D164" s="28" t="s">
        <v>357</v>
      </c>
      <c r="E164" s="94"/>
      <c r="F164" s="97">
        <f>(F163/F161)*100</f>
        <v>37.404580152671755</v>
      </c>
      <c r="G164" s="94"/>
      <c r="H164" s="94"/>
      <c r="I164" s="98">
        <f>I163/I161*100</f>
        <v>46.350364963503651</v>
      </c>
      <c r="J164" s="28"/>
      <c r="K164" s="28"/>
      <c r="L164" s="28"/>
    </row>
    <row r="165" spans="1:12" hidden="1" x14ac:dyDescent="0.25">
      <c r="A165" s="1752"/>
      <c r="B165" s="1220"/>
      <c r="C165" s="1218" t="s">
        <v>382</v>
      </c>
      <c r="D165" s="145" t="s">
        <v>251</v>
      </c>
      <c r="E165" s="95"/>
      <c r="F165" s="80">
        <v>4555</v>
      </c>
      <c r="G165" s="80"/>
      <c r="H165" s="80"/>
      <c r="I165" s="80">
        <v>4071</v>
      </c>
      <c r="J165" s="96"/>
      <c r="K165" s="96"/>
      <c r="L165" s="96"/>
    </row>
    <row r="166" spans="1:12" hidden="1" x14ac:dyDescent="0.25">
      <c r="A166" s="1752"/>
      <c r="B166" s="1220"/>
      <c r="C166" s="1218"/>
      <c r="D166" s="96" t="s">
        <v>257</v>
      </c>
      <c r="E166" s="95"/>
      <c r="F166" s="80">
        <v>1605</v>
      </c>
      <c r="G166" s="80"/>
      <c r="H166" s="80"/>
      <c r="I166" s="80">
        <v>1326</v>
      </c>
      <c r="J166" s="96"/>
      <c r="K166" s="96"/>
      <c r="L166" s="96"/>
    </row>
    <row r="167" spans="1:12" hidden="1" x14ac:dyDescent="0.25">
      <c r="A167" s="1752"/>
      <c r="B167" s="1220"/>
      <c r="C167" s="1218"/>
      <c r="D167" s="96" t="s">
        <v>263</v>
      </c>
      <c r="E167" s="95"/>
      <c r="F167" s="80">
        <v>2950</v>
      </c>
      <c r="G167" s="80"/>
      <c r="H167" s="80"/>
      <c r="I167" s="80">
        <v>2748</v>
      </c>
      <c r="J167" s="96"/>
      <c r="K167" s="96"/>
      <c r="L167" s="96"/>
    </row>
    <row r="168" spans="1:12" hidden="1" x14ac:dyDescent="0.25">
      <c r="A168" s="1752"/>
      <c r="B168" s="1220"/>
      <c r="C168" s="1218"/>
      <c r="D168" s="96" t="s">
        <v>357</v>
      </c>
      <c r="E168" s="95"/>
      <c r="F168" s="99">
        <f>(F167/F165)*100</f>
        <v>64.763995609220643</v>
      </c>
      <c r="G168" s="94"/>
      <c r="H168" s="94"/>
      <c r="I168" s="99">
        <f>I167/I165*100</f>
        <v>67.501842299189391</v>
      </c>
      <c r="J168" s="96"/>
      <c r="K168" s="96"/>
      <c r="L168" s="96"/>
    </row>
    <row r="169" spans="1:12" ht="14.85" hidden="1" customHeight="1" x14ac:dyDescent="0.25">
      <c r="A169" s="1752"/>
      <c r="B169" s="1220"/>
      <c r="C169" s="1218" t="s">
        <v>383</v>
      </c>
      <c r="D169" s="145" t="s">
        <v>251</v>
      </c>
      <c r="E169" s="95"/>
      <c r="F169" s="80">
        <v>3430</v>
      </c>
      <c r="G169" s="80"/>
      <c r="H169" s="80"/>
      <c r="I169" s="80">
        <v>2679</v>
      </c>
      <c r="J169" s="96"/>
      <c r="K169" s="96"/>
      <c r="L169" s="96"/>
    </row>
    <row r="170" spans="1:12" hidden="1" x14ac:dyDescent="0.25">
      <c r="A170" s="1752"/>
      <c r="B170" s="1220"/>
      <c r="C170" s="1218"/>
      <c r="D170" s="96" t="s">
        <v>257</v>
      </c>
      <c r="E170" s="95"/>
      <c r="F170" s="80">
        <v>1335</v>
      </c>
      <c r="G170" s="80"/>
      <c r="H170" s="80"/>
      <c r="I170" s="80">
        <v>840</v>
      </c>
      <c r="J170" s="96"/>
      <c r="K170" s="96"/>
      <c r="L170" s="96"/>
    </row>
    <row r="171" spans="1:12" hidden="1" x14ac:dyDescent="0.25">
      <c r="A171" s="1752"/>
      <c r="B171" s="1220"/>
      <c r="C171" s="1218"/>
      <c r="D171" s="96" t="s">
        <v>263</v>
      </c>
      <c r="E171" s="95"/>
      <c r="F171" s="80">
        <v>2095</v>
      </c>
      <c r="G171" s="80"/>
      <c r="H171" s="80"/>
      <c r="I171" s="80">
        <v>1842</v>
      </c>
      <c r="J171" s="96"/>
      <c r="K171" s="96"/>
      <c r="L171" s="96"/>
    </row>
    <row r="172" spans="1:12" hidden="1" x14ac:dyDescent="0.25">
      <c r="A172" s="1752"/>
      <c r="B172" s="1220"/>
      <c r="C172" s="1218"/>
      <c r="D172" s="96" t="s">
        <v>357</v>
      </c>
      <c r="E172" s="95"/>
      <c r="F172" s="99">
        <f>(F171/F169)*100</f>
        <v>61.078717201166178</v>
      </c>
      <c r="G172" s="94"/>
      <c r="H172" s="94"/>
      <c r="I172" s="99">
        <f>I171/I169*100</f>
        <v>68.756998880179182</v>
      </c>
      <c r="J172" s="96"/>
      <c r="K172" s="96"/>
      <c r="L172" s="96"/>
    </row>
    <row r="173" spans="1:12" hidden="1" x14ac:dyDescent="0.25">
      <c r="A173" s="1752"/>
      <c r="B173" s="1220"/>
      <c r="C173" s="1218" t="s">
        <v>384</v>
      </c>
      <c r="D173" s="145" t="s">
        <v>251</v>
      </c>
      <c r="E173" s="95"/>
      <c r="F173" s="80">
        <v>4150</v>
      </c>
      <c r="G173" s="80"/>
      <c r="H173" s="80"/>
      <c r="I173" s="80">
        <v>2364</v>
      </c>
      <c r="J173" s="96"/>
      <c r="K173" s="96"/>
      <c r="L173" s="96"/>
    </row>
    <row r="174" spans="1:12" hidden="1" x14ac:dyDescent="0.25">
      <c r="A174" s="1752"/>
      <c r="B174" s="1220"/>
      <c r="C174" s="1218"/>
      <c r="D174" s="96" t="s">
        <v>257</v>
      </c>
      <c r="E174" s="95"/>
      <c r="F174" s="80">
        <v>1295</v>
      </c>
      <c r="G174" s="80"/>
      <c r="H174" s="80"/>
      <c r="I174" s="80">
        <v>687</v>
      </c>
      <c r="J174" s="96"/>
      <c r="K174" s="96"/>
      <c r="L174" s="96"/>
    </row>
    <row r="175" spans="1:12" hidden="1" x14ac:dyDescent="0.25">
      <c r="A175" s="1752"/>
      <c r="B175" s="1220"/>
      <c r="C175" s="1218"/>
      <c r="D175" s="96" t="s">
        <v>263</v>
      </c>
      <c r="E175" s="95"/>
      <c r="F175" s="80">
        <v>2855</v>
      </c>
      <c r="G175" s="80"/>
      <c r="H175" s="80"/>
      <c r="I175" s="80">
        <v>1674</v>
      </c>
      <c r="J175" s="96"/>
      <c r="K175" s="96"/>
      <c r="L175" s="96"/>
    </row>
    <row r="176" spans="1:12" hidden="1" x14ac:dyDescent="0.25">
      <c r="A176" s="1752"/>
      <c r="B176" s="1220"/>
      <c r="C176" s="1218"/>
      <c r="D176" s="96" t="s">
        <v>357</v>
      </c>
      <c r="E176" s="95"/>
      <c r="F176" s="99">
        <f>(F175/F173)*100</f>
        <v>68.795180722891573</v>
      </c>
      <c r="G176" s="94"/>
      <c r="H176" s="94"/>
      <c r="I176" s="99">
        <f>I175/I173*100</f>
        <v>70.812182741116743</v>
      </c>
      <c r="J176" s="96"/>
      <c r="K176" s="96"/>
      <c r="L176" s="96"/>
    </row>
    <row r="177" spans="1:12" hidden="1" x14ac:dyDescent="0.25">
      <c r="A177" s="1752"/>
      <c r="B177" s="1220"/>
      <c r="C177" s="1218" t="s">
        <v>385</v>
      </c>
      <c r="D177" s="145" t="s">
        <v>251</v>
      </c>
      <c r="E177" s="95"/>
      <c r="F177" s="80">
        <v>915</v>
      </c>
      <c r="G177" s="80"/>
      <c r="H177" s="80"/>
      <c r="I177" s="80">
        <v>720</v>
      </c>
      <c r="J177" s="96"/>
      <c r="K177" s="96"/>
      <c r="L177" s="96"/>
    </row>
    <row r="178" spans="1:12" ht="14.85" hidden="1" customHeight="1" x14ac:dyDescent="0.25">
      <c r="A178" s="1752"/>
      <c r="B178" s="1220"/>
      <c r="C178" s="1218"/>
      <c r="D178" s="96" t="s">
        <v>257</v>
      </c>
      <c r="E178" s="95"/>
      <c r="F178" s="80">
        <v>600</v>
      </c>
      <c r="G178" s="80"/>
      <c r="H178" s="80"/>
      <c r="I178" s="80">
        <v>462</v>
      </c>
      <c r="J178" s="96"/>
      <c r="K178" s="96"/>
      <c r="L178" s="96"/>
    </row>
    <row r="179" spans="1:12" hidden="1" x14ac:dyDescent="0.25">
      <c r="A179" s="1752"/>
      <c r="B179" s="1220"/>
      <c r="C179" s="1218"/>
      <c r="D179" s="96" t="s">
        <v>263</v>
      </c>
      <c r="E179" s="95"/>
      <c r="F179" s="80">
        <v>315</v>
      </c>
      <c r="G179" s="80"/>
      <c r="H179" s="80"/>
      <c r="I179" s="80">
        <v>258</v>
      </c>
      <c r="J179" s="96"/>
      <c r="K179" s="96"/>
      <c r="L179" s="96"/>
    </row>
    <row r="180" spans="1:12" hidden="1" x14ac:dyDescent="0.25">
      <c r="A180" s="1752"/>
      <c r="B180" s="1220"/>
      <c r="C180" s="1218"/>
      <c r="D180" s="96" t="s">
        <v>357</v>
      </c>
      <c r="E180" s="95"/>
      <c r="F180" s="97">
        <f>(F179/F177)*100</f>
        <v>34.42622950819672</v>
      </c>
      <c r="G180" s="94"/>
      <c r="H180" s="94"/>
      <c r="I180" s="97">
        <f>I179/I177*100</f>
        <v>35.833333333333336</v>
      </c>
      <c r="J180" s="96"/>
      <c r="K180" s="96"/>
      <c r="L180" s="96"/>
    </row>
    <row r="181" spans="1:12" hidden="1" x14ac:dyDescent="0.25">
      <c r="A181" s="1752"/>
      <c r="B181" s="1220"/>
      <c r="C181" s="1218" t="s">
        <v>386</v>
      </c>
      <c r="D181" s="145" t="s">
        <v>251</v>
      </c>
      <c r="E181" s="95"/>
      <c r="F181" s="80">
        <v>3550</v>
      </c>
      <c r="G181" s="80"/>
      <c r="H181" s="80"/>
      <c r="I181" s="80">
        <v>4686</v>
      </c>
      <c r="J181" s="96"/>
      <c r="K181" s="96"/>
      <c r="L181" s="96"/>
    </row>
    <row r="182" spans="1:12" hidden="1" x14ac:dyDescent="0.25">
      <c r="A182" s="1752"/>
      <c r="B182" s="1220"/>
      <c r="C182" s="1218"/>
      <c r="D182" s="96" t="s">
        <v>257</v>
      </c>
      <c r="E182" s="95"/>
      <c r="F182" s="80">
        <v>2440</v>
      </c>
      <c r="G182" s="80"/>
      <c r="H182" s="80"/>
      <c r="I182" s="80">
        <v>2469</v>
      </c>
      <c r="J182" s="96"/>
      <c r="K182" s="96"/>
      <c r="L182" s="96"/>
    </row>
    <row r="183" spans="1:12" hidden="1" x14ac:dyDescent="0.25">
      <c r="A183" s="1752"/>
      <c r="B183" s="1220"/>
      <c r="C183" s="1218"/>
      <c r="D183" s="96" t="s">
        <v>263</v>
      </c>
      <c r="E183" s="95"/>
      <c r="F183" s="80">
        <v>1110</v>
      </c>
      <c r="G183" s="80"/>
      <c r="H183" s="80"/>
      <c r="I183" s="80">
        <v>2220</v>
      </c>
      <c r="J183" s="96"/>
      <c r="K183" s="96"/>
      <c r="L183" s="96"/>
    </row>
    <row r="184" spans="1:12" hidden="1" x14ac:dyDescent="0.25">
      <c r="A184" s="1752"/>
      <c r="B184" s="1220"/>
      <c r="C184" s="1218"/>
      <c r="D184" s="96" t="s">
        <v>357</v>
      </c>
      <c r="E184" s="95"/>
      <c r="F184" s="97">
        <f>(F183/F181)*100</f>
        <v>31.26760563380282</v>
      </c>
      <c r="G184" s="94"/>
      <c r="H184" s="94"/>
      <c r="I184" s="98">
        <f>I183/I181*100</f>
        <v>47.37516005121639</v>
      </c>
      <c r="J184" s="96"/>
      <c r="K184" s="96"/>
      <c r="L184" s="96"/>
    </row>
    <row r="185" spans="1:12" hidden="1" x14ac:dyDescent="0.25">
      <c r="A185" s="1752"/>
      <c r="B185" s="1220"/>
      <c r="C185" s="1218" t="s">
        <v>387</v>
      </c>
      <c r="D185" s="145" t="s">
        <v>251</v>
      </c>
      <c r="E185" s="95"/>
      <c r="F185" s="80">
        <v>5660</v>
      </c>
      <c r="G185" s="80"/>
      <c r="H185" s="80"/>
      <c r="I185" s="80">
        <v>4689</v>
      </c>
      <c r="J185" s="96"/>
      <c r="K185" s="96"/>
      <c r="L185" s="96"/>
    </row>
    <row r="186" spans="1:12" hidden="1" x14ac:dyDescent="0.25">
      <c r="A186" s="1752"/>
      <c r="B186" s="1220"/>
      <c r="C186" s="1218"/>
      <c r="D186" s="96" t="s">
        <v>257</v>
      </c>
      <c r="E186" s="95"/>
      <c r="F186" s="80">
        <v>2295</v>
      </c>
      <c r="G186" s="80"/>
      <c r="H186" s="80"/>
      <c r="I186" s="80">
        <v>2007</v>
      </c>
      <c r="J186" s="96"/>
      <c r="K186" s="96"/>
      <c r="L186" s="96"/>
    </row>
    <row r="187" spans="1:12" hidden="1" x14ac:dyDescent="0.25">
      <c r="A187" s="1752"/>
      <c r="B187" s="1220"/>
      <c r="C187" s="1218"/>
      <c r="D187" s="96" t="s">
        <v>263</v>
      </c>
      <c r="E187" s="95"/>
      <c r="F187" s="80">
        <v>3365</v>
      </c>
      <c r="G187" s="80"/>
      <c r="H187" s="80"/>
      <c r="I187" s="80">
        <v>2682</v>
      </c>
      <c r="J187" s="96"/>
      <c r="K187" s="96"/>
      <c r="L187" s="96"/>
    </row>
    <row r="188" spans="1:12" hidden="1" x14ac:dyDescent="0.25">
      <c r="A188" s="1752"/>
      <c r="B188" s="1220"/>
      <c r="C188" s="1218"/>
      <c r="D188" s="96" t="s">
        <v>357</v>
      </c>
      <c r="E188" s="95"/>
      <c r="F188" s="98">
        <f>(F187/F185)*100</f>
        <v>59.452296819787989</v>
      </c>
      <c r="G188" s="94"/>
      <c r="H188" s="94"/>
      <c r="I188" s="98">
        <f>I187/I185*100</f>
        <v>57.197696737044147</v>
      </c>
      <c r="J188" s="96"/>
      <c r="K188" s="96"/>
      <c r="L188" s="96"/>
    </row>
    <row r="189" spans="1:12" hidden="1" x14ac:dyDescent="0.25">
      <c r="A189" s="1752"/>
      <c r="B189" s="1220"/>
      <c r="C189" s="1218" t="s">
        <v>388</v>
      </c>
      <c r="D189" s="145" t="s">
        <v>251</v>
      </c>
      <c r="E189" s="95"/>
      <c r="F189" s="80"/>
      <c r="G189" s="80"/>
      <c r="H189" s="80"/>
      <c r="I189" s="80">
        <v>1110</v>
      </c>
      <c r="J189" s="96"/>
      <c r="K189" s="96"/>
      <c r="L189" s="96"/>
    </row>
    <row r="190" spans="1:12" hidden="1" x14ac:dyDescent="0.25">
      <c r="A190" s="1752"/>
      <c r="B190" s="1220"/>
      <c r="C190" s="1218"/>
      <c r="D190" s="96" t="s">
        <v>257</v>
      </c>
      <c r="E190" s="95"/>
      <c r="F190" s="80"/>
      <c r="G190" s="80"/>
      <c r="H190" s="80"/>
      <c r="I190" s="80">
        <v>624</v>
      </c>
      <c r="J190" s="96"/>
      <c r="K190" s="96"/>
      <c r="L190" s="96"/>
    </row>
    <row r="191" spans="1:12" hidden="1" x14ac:dyDescent="0.25">
      <c r="A191" s="1752"/>
      <c r="B191" s="1220"/>
      <c r="C191" s="1218"/>
      <c r="D191" s="96" t="s">
        <v>263</v>
      </c>
      <c r="E191" s="95"/>
      <c r="F191" s="80"/>
      <c r="G191" s="80"/>
      <c r="H191" s="80"/>
      <c r="I191" s="80">
        <v>483</v>
      </c>
      <c r="J191" s="96"/>
      <c r="K191" s="96"/>
      <c r="L191" s="96"/>
    </row>
    <row r="192" spans="1:12" hidden="1" x14ac:dyDescent="0.25">
      <c r="A192" s="1752"/>
      <c r="B192" s="1220"/>
      <c r="C192" s="1218"/>
      <c r="D192" s="96" t="s">
        <v>357</v>
      </c>
      <c r="E192" s="95"/>
      <c r="F192" s="206"/>
      <c r="G192" s="94"/>
      <c r="H192" s="94"/>
      <c r="I192" s="98">
        <f>I191/I189*100</f>
        <v>43.513513513513516</v>
      </c>
      <c r="J192" s="96"/>
      <c r="K192" s="96"/>
      <c r="L192" s="96"/>
    </row>
    <row r="193" spans="1:12" hidden="1" x14ac:dyDescent="0.25">
      <c r="A193" s="1752"/>
      <c r="B193" s="1220"/>
      <c r="C193" s="1117" t="s">
        <v>389</v>
      </c>
      <c r="D193" s="144" t="s">
        <v>251</v>
      </c>
      <c r="E193" s="94"/>
      <c r="F193" s="80">
        <v>690</v>
      </c>
      <c r="G193" s="80"/>
      <c r="H193" s="80"/>
      <c r="I193" s="80">
        <v>783</v>
      </c>
      <c r="J193" s="28"/>
      <c r="K193" s="28"/>
      <c r="L193" s="28"/>
    </row>
    <row r="194" spans="1:12" hidden="1" x14ac:dyDescent="0.25">
      <c r="A194" s="1752"/>
      <c r="B194" s="1220"/>
      <c r="C194" s="1117"/>
      <c r="D194" s="28" t="s">
        <v>257</v>
      </c>
      <c r="E194" s="94"/>
      <c r="F194" s="80">
        <v>300</v>
      </c>
      <c r="G194" s="80"/>
      <c r="H194" s="80"/>
      <c r="I194" s="80">
        <v>357</v>
      </c>
      <c r="J194" s="28"/>
      <c r="K194" s="28"/>
      <c r="L194" s="28"/>
    </row>
    <row r="195" spans="1:12" hidden="1" x14ac:dyDescent="0.25">
      <c r="A195" s="1752"/>
      <c r="B195" s="1220"/>
      <c r="C195" s="1117"/>
      <c r="D195" s="28" t="s">
        <v>263</v>
      </c>
      <c r="E195" s="94"/>
      <c r="F195" s="80">
        <v>390</v>
      </c>
      <c r="G195" s="80"/>
      <c r="H195" s="80"/>
      <c r="I195" s="80">
        <v>426</v>
      </c>
      <c r="J195" s="28"/>
      <c r="K195" s="28"/>
      <c r="L195" s="28"/>
    </row>
    <row r="196" spans="1:12" hidden="1" x14ac:dyDescent="0.25">
      <c r="A196" s="1752"/>
      <c r="B196" s="1220"/>
      <c r="C196" s="1117"/>
      <c r="D196" s="28" t="s">
        <v>357</v>
      </c>
      <c r="E196" s="94"/>
      <c r="F196" s="98">
        <f>(F195/F193)*100</f>
        <v>56.521739130434781</v>
      </c>
      <c r="G196" s="94"/>
      <c r="H196" s="94"/>
      <c r="I196" s="98">
        <f>I195/I193*100</f>
        <v>54.406130268199234</v>
      </c>
      <c r="J196" s="28"/>
      <c r="K196" s="28"/>
      <c r="L196" s="28"/>
    </row>
    <row r="197" spans="1:12" hidden="1" x14ac:dyDescent="0.25">
      <c r="A197" s="1752"/>
      <c r="B197" s="1220"/>
      <c r="C197" s="1117" t="s">
        <v>390</v>
      </c>
      <c r="D197" s="144" t="s">
        <v>251</v>
      </c>
      <c r="E197" s="94"/>
      <c r="F197" s="80">
        <v>675</v>
      </c>
      <c r="G197" s="80"/>
      <c r="H197" s="80"/>
      <c r="I197" s="80">
        <v>801</v>
      </c>
      <c r="J197" s="28"/>
      <c r="K197" s="28"/>
      <c r="L197" s="28"/>
    </row>
    <row r="198" spans="1:12" ht="14.85" hidden="1" customHeight="1" x14ac:dyDescent="0.25">
      <c r="A198" s="1752"/>
      <c r="B198" s="1220"/>
      <c r="C198" s="1117"/>
      <c r="D198" s="28" t="s">
        <v>257</v>
      </c>
      <c r="E198" s="94"/>
      <c r="F198" s="80">
        <v>175</v>
      </c>
      <c r="G198" s="80"/>
      <c r="H198" s="80"/>
      <c r="I198" s="80">
        <v>237</v>
      </c>
      <c r="J198" s="28"/>
      <c r="K198" s="28"/>
      <c r="L198" s="28"/>
    </row>
    <row r="199" spans="1:12" hidden="1" x14ac:dyDescent="0.25">
      <c r="A199" s="1752"/>
      <c r="B199" s="1220"/>
      <c r="C199" s="1117"/>
      <c r="D199" s="28" t="s">
        <v>263</v>
      </c>
      <c r="E199" s="94"/>
      <c r="F199" s="80">
        <v>500</v>
      </c>
      <c r="G199" s="80"/>
      <c r="H199" s="80"/>
      <c r="I199" s="80">
        <v>564</v>
      </c>
      <c r="J199" s="28"/>
      <c r="K199" s="28"/>
      <c r="L199" s="28"/>
    </row>
    <row r="200" spans="1:12" hidden="1" x14ac:dyDescent="0.25">
      <c r="A200" s="1752"/>
      <c r="B200" s="1220"/>
      <c r="C200" s="1117"/>
      <c r="D200" s="28" t="s">
        <v>357</v>
      </c>
      <c r="E200" s="94"/>
      <c r="F200" s="99">
        <f>(F199/F197)*100</f>
        <v>74.074074074074076</v>
      </c>
      <c r="G200" s="94"/>
      <c r="H200" s="94"/>
      <c r="I200" s="99">
        <f>I199/I197*100</f>
        <v>70.411985018726597</v>
      </c>
      <c r="J200" s="28"/>
      <c r="K200" s="28"/>
      <c r="L200" s="28"/>
    </row>
    <row r="201" spans="1:12" hidden="1" x14ac:dyDescent="0.25">
      <c r="A201" s="1752"/>
      <c r="B201" s="1220"/>
      <c r="C201" s="1117" t="s">
        <v>391</v>
      </c>
      <c r="D201" s="144" t="s">
        <v>251</v>
      </c>
      <c r="E201" s="94"/>
      <c r="F201" s="80">
        <v>2130</v>
      </c>
      <c r="G201" s="80"/>
      <c r="H201" s="80"/>
      <c r="I201" s="80">
        <v>1881</v>
      </c>
      <c r="J201" s="28"/>
      <c r="K201" s="28"/>
      <c r="L201" s="28"/>
    </row>
    <row r="202" spans="1:12" hidden="1" x14ac:dyDescent="0.25">
      <c r="A202" s="1752"/>
      <c r="B202" s="1220"/>
      <c r="C202" s="1117"/>
      <c r="D202" s="28" t="s">
        <v>257</v>
      </c>
      <c r="E202" s="94"/>
      <c r="F202" s="80">
        <v>370</v>
      </c>
      <c r="G202" s="80"/>
      <c r="H202" s="80"/>
      <c r="I202" s="80">
        <v>291</v>
      </c>
      <c r="J202" s="28"/>
      <c r="K202" s="28"/>
      <c r="L202" s="28"/>
    </row>
    <row r="203" spans="1:12" hidden="1" x14ac:dyDescent="0.25">
      <c r="A203" s="1752"/>
      <c r="B203" s="1220"/>
      <c r="C203" s="1117"/>
      <c r="D203" s="28" t="s">
        <v>263</v>
      </c>
      <c r="E203" s="94"/>
      <c r="F203" s="80">
        <v>1760</v>
      </c>
      <c r="G203" s="80"/>
      <c r="H203" s="80"/>
      <c r="I203" s="80">
        <v>1590</v>
      </c>
      <c r="J203" s="28"/>
      <c r="K203" s="28"/>
      <c r="L203" s="28"/>
    </row>
    <row r="204" spans="1:12" hidden="1" x14ac:dyDescent="0.25">
      <c r="A204" s="1752"/>
      <c r="B204" s="1220"/>
      <c r="C204" s="1117"/>
      <c r="D204" s="28" t="s">
        <v>357</v>
      </c>
      <c r="E204" s="94"/>
      <c r="F204" s="99">
        <f>(F203/F201)*100</f>
        <v>82.629107981220656</v>
      </c>
      <c r="G204" s="94"/>
      <c r="H204" s="94"/>
      <c r="I204" s="99">
        <f>I203/I201*100</f>
        <v>84.529505582137162</v>
      </c>
      <c r="J204" s="28"/>
      <c r="K204" s="28"/>
      <c r="L204" s="28"/>
    </row>
    <row r="205" spans="1:12" hidden="1" x14ac:dyDescent="0.25">
      <c r="A205" s="1752"/>
      <c r="B205" s="1220"/>
      <c r="C205" s="1117" t="s">
        <v>392</v>
      </c>
      <c r="D205" s="144" t="s">
        <v>251</v>
      </c>
      <c r="E205" s="94"/>
      <c r="F205" s="80">
        <v>1515</v>
      </c>
      <c r="G205" s="80"/>
      <c r="H205" s="80"/>
      <c r="I205" s="80">
        <v>1188</v>
      </c>
      <c r="J205" s="28"/>
      <c r="K205" s="28"/>
      <c r="L205" s="28"/>
    </row>
    <row r="206" spans="1:12" hidden="1" x14ac:dyDescent="0.25">
      <c r="A206" s="1752"/>
      <c r="B206" s="1220"/>
      <c r="C206" s="1117"/>
      <c r="D206" s="28" t="s">
        <v>257</v>
      </c>
      <c r="E206" s="94"/>
      <c r="F206" s="80">
        <v>50</v>
      </c>
      <c r="G206" s="80"/>
      <c r="H206" s="80"/>
      <c r="I206" s="80">
        <v>123</v>
      </c>
      <c r="J206" s="28"/>
      <c r="K206" s="28"/>
      <c r="L206" s="28"/>
    </row>
    <row r="207" spans="1:12" hidden="1" x14ac:dyDescent="0.25">
      <c r="A207" s="1752"/>
      <c r="B207" s="1220"/>
      <c r="C207" s="1117"/>
      <c r="D207" s="28" t="s">
        <v>263</v>
      </c>
      <c r="E207" s="94"/>
      <c r="F207" s="80">
        <v>1470</v>
      </c>
      <c r="G207" s="80"/>
      <c r="H207" s="80"/>
      <c r="I207" s="80">
        <v>1068</v>
      </c>
      <c r="J207" s="28"/>
      <c r="K207" s="28"/>
      <c r="L207" s="28"/>
    </row>
    <row r="208" spans="1:12" hidden="1" x14ac:dyDescent="0.25">
      <c r="A208" s="1752"/>
      <c r="B208" s="1220"/>
      <c r="C208" s="1117"/>
      <c r="D208" s="28" t="s">
        <v>357</v>
      </c>
      <c r="E208" s="94"/>
      <c r="F208" s="99">
        <f>(F207/F205)*100</f>
        <v>97.029702970297024</v>
      </c>
      <c r="G208" s="94"/>
      <c r="H208" s="94"/>
      <c r="I208" s="99">
        <f>I207/I205*100</f>
        <v>89.898989898989896</v>
      </c>
      <c r="J208" s="28"/>
      <c r="K208" s="28"/>
      <c r="L208" s="28"/>
    </row>
    <row r="209" spans="1:12" hidden="1" x14ac:dyDescent="0.25">
      <c r="A209" s="1752"/>
      <c r="B209" s="1220"/>
      <c r="C209" s="1117" t="s">
        <v>393</v>
      </c>
      <c r="D209" s="144" t="s">
        <v>251</v>
      </c>
      <c r="E209" s="94"/>
      <c r="F209" s="80">
        <v>2435</v>
      </c>
      <c r="G209" s="80"/>
      <c r="H209" s="80"/>
      <c r="I209" s="80">
        <v>2601</v>
      </c>
      <c r="J209" s="28"/>
      <c r="K209" s="28"/>
      <c r="L209" s="28"/>
    </row>
    <row r="210" spans="1:12" hidden="1" x14ac:dyDescent="0.25">
      <c r="A210" s="1752"/>
      <c r="B210" s="1220"/>
      <c r="C210" s="1117"/>
      <c r="D210" s="28" t="s">
        <v>257</v>
      </c>
      <c r="E210" s="94"/>
      <c r="F210" s="80">
        <v>1215</v>
      </c>
      <c r="G210" s="80"/>
      <c r="H210" s="80"/>
      <c r="I210" s="80">
        <v>1368</v>
      </c>
      <c r="J210" s="28"/>
      <c r="K210" s="28"/>
      <c r="L210" s="28"/>
    </row>
    <row r="211" spans="1:12" hidden="1" x14ac:dyDescent="0.25">
      <c r="A211" s="1752"/>
      <c r="B211" s="1220"/>
      <c r="C211" s="1117"/>
      <c r="D211" s="28" t="s">
        <v>263</v>
      </c>
      <c r="E211" s="94"/>
      <c r="F211" s="80">
        <v>1215</v>
      </c>
      <c r="G211" s="80"/>
      <c r="H211" s="80"/>
      <c r="I211" s="80">
        <v>1236</v>
      </c>
      <c r="J211" s="28"/>
      <c r="K211" s="28"/>
      <c r="L211" s="28"/>
    </row>
    <row r="212" spans="1:12" hidden="1" x14ac:dyDescent="0.25">
      <c r="A212" s="1752"/>
      <c r="B212" s="1220"/>
      <c r="C212" s="1117"/>
      <c r="D212" s="28" t="s">
        <v>357</v>
      </c>
      <c r="E212" s="94"/>
      <c r="F212" s="98">
        <f>(F211/F209)*100</f>
        <v>49.897330595482551</v>
      </c>
      <c r="G212" s="94"/>
      <c r="H212" s="94"/>
      <c r="I212" s="98">
        <f>I211/I209*100</f>
        <v>47.520184544406</v>
      </c>
      <c r="J212" s="28"/>
      <c r="K212" s="28"/>
      <c r="L212" s="28"/>
    </row>
    <row r="213" spans="1:12" hidden="1" x14ac:dyDescent="0.25">
      <c r="A213" s="1752"/>
      <c r="B213" s="1220"/>
      <c r="C213" s="1117" t="s">
        <v>394</v>
      </c>
      <c r="D213" s="144" t="s">
        <v>251</v>
      </c>
      <c r="E213" s="94"/>
      <c r="F213" s="80">
        <v>2660</v>
      </c>
      <c r="G213" s="80"/>
      <c r="H213" s="80"/>
      <c r="I213" s="80">
        <v>2715</v>
      </c>
      <c r="J213" s="28"/>
      <c r="K213" s="28"/>
      <c r="L213" s="28"/>
    </row>
    <row r="214" spans="1:12" hidden="1" x14ac:dyDescent="0.25">
      <c r="A214" s="1752"/>
      <c r="B214" s="1220"/>
      <c r="C214" s="1117"/>
      <c r="D214" s="28" t="s">
        <v>257</v>
      </c>
      <c r="E214" s="94"/>
      <c r="F214" s="80">
        <v>2300</v>
      </c>
      <c r="G214" s="80"/>
      <c r="H214" s="80"/>
      <c r="I214" s="80">
        <v>2169</v>
      </c>
      <c r="J214" s="28"/>
      <c r="K214" s="28"/>
      <c r="L214" s="28"/>
    </row>
    <row r="215" spans="1:12" hidden="1" x14ac:dyDescent="0.25">
      <c r="A215" s="1752"/>
      <c r="B215" s="1220"/>
      <c r="C215" s="1117"/>
      <c r="D215" s="28" t="s">
        <v>263</v>
      </c>
      <c r="E215" s="94"/>
      <c r="F215" s="80">
        <v>360</v>
      </c>
      <c r="G215" s="80"/>
      <c r="H215" s="80"/>
      <c r="I215" s="80">
        <v>543</v>
      </c>
      <c r="J215" s="28"/>
      <c r="K215" s="28"/>
      <c r="L215" s="28"/>
    </row>
    <row r="216" spans="1:12" hidden="1" x14ac:dyDescent="0.25">
      <c r="A216" s="1752"/>
      <c r="B216" s="1220"/>
      <c r="C216" s="1117"/>
      <c r="D216" s="28" t="s">
        <v>357</v>
      </c>
      <c r="E216" s="94"/>
      <c r="F216" s="97">
        <f>(F215/F213)*100</f>
        <v>13.533834586466165</v>
      </c>
      <c r="G216" s="94"/>
      <c r="H216" s="94"/>
      <c r="I216" s="97">
        <f>I215/I213*100</f>
        <v>20</v>
      </c>
      <c r="J216" s="28"/>
      <c r="K216" s="28"/>
      <c r="L216" s="28"/>
    </row>
    <row r="217" spans="1:12" hidden="1" x14ac:dyDescent="0.25">
      <c r="A217" s="1752"/>
      <c r="B217" s="1220"/>
      <c r="C217" s="1117" t="s">
        <v>395</v>
      </c>
      <c r="D217" s="144" t="s">
        <v>251</v>
      </c>
      <c r="E217" s="94"/>
      <c r="F217" s="80">
        <v>405</v>
      </c>
      <c r="G217" s="80"/>
      <c r="H217" s="80"/>
      <c r="I217" s="80">
        <v>360</v>
      </c>
      <c r="J217" s="94"/>
      <c r="K217" s="28"/>
      <c r="L217" s="28"/>
    </row>
    <row r="218" spans="1:12" ht="14.85" hidden="1" customHeight="1" x14ac:dyDescent="0.25">
      <c r="A218" s="1752"/>
      <c r="B218" s="1220"/>
      <c r="C218" s="1117"/>
      <c r="D218" s="28" t="s">
        <v>257</v>
      </c>
      <c r="E218" s="94"/>
      <c r="F218" s="80">
        <v>325</v>
      </c>
      <c r="G218" s="80"/>
      <c r="H218" s="80"/>
      <c r="I218" s="80">
        <v>303</v>
      </c>
      <c r="J218" s="94"/>
      <c r="K218" s="28"/>
      <c r="L218" s="28"/>
    </row>
    <row r="219" spans="1:12" hidden="1" x14ac:dyDescent="0.25">
      <c r="A219" s="1752"/>
      <c r="B219" s="1220"/>
      <c r="C219" s="1117"/>
      <c r="D219" s="28" t="s">
        <v>263</v>
      </c>
      <c r="E219" s="94"/>
      <c r="F219" s="80">
        <v>80</v>
      </c>
      <c r="G219" s="80"/>
      <c r="H219" s="80"/>
      <c r="I219" s="80">
        <v>57</v>
      </c>
      <c r="J219" s="94"/>
      <c r="K219" s="28"/>
      <c r="L219" s="28"/>
    </row>
    <row r="220" spans="1:12" hidden="1" x14ac:dyDescent="0.25">
      <c r="A220" s="1752"/>
      <c r="B220" s="1220"/>
      <c r="C220" s="1117"/>
      <c r="D220" s="28" t="s">
        <v>357</v>
      </c>
      <c r="E220" s="94"/>
      <c r="F220" s="97">
        <f>(F219/F217)*100</f>
        <v>19.753086419753085</v>
      </c>
      <c r="G220" s="94"/>
      <c r="H220" s="94"/>
      <c r="I220" s="97">
        <f>I219/I217*100</f>
        <v>15.833333333333332</v>
      </c>
      <c r="J220" s="94"/>
      <c r="K220" s="28"/>
      <c r="L220" s="28"/>
    </row>
    <row r="221" spans="1:12" hidden="1" x14ac:dyDescent="0.25">
      <c r="A221" s="1752"/>
      <c r="B221" s="1220"/>
      <c r="C221" s="1117" t="s">
        <v>396</v>
      </c>
      <c r="D221" s="144" t="s">
        <v>251</v>
      </c>
      <c r="E221" s="94"/>
      <c r="F221" s="80">
        <v>10</v>
      </c>
      <c r="G221" s="80"/>
      <c r="H221" s="80"/>
      <c r="I221" s="80">
        <v>21</v>
      </c>
      <c r="J221" s="94"/>
      <c r="K221" s="28"/>
      <c r="L221" s="28"/>
    </row>
    <row r="222" spans="1:12" hidden="1" x14ac:dyDescent="0.25">
      <c r="A222" s="1752"/>
      <c r="B222" s="1220"/>
      <c r="C222" s="1117"/>
      <c r="D222" s="28" t="s">
        <v>257</v>
      </c>
      <c r="E222" s="94"/>
      <c r="F222" s="80">
        <v>0</v>
      </c>
      <c r="G222" s="80"/>
      <c r="H222" s="80"/>
      <c r="I222" s="80">
        <v>15</v>
      </c>
      <c r="J222" s="94"/>
      <c r="K222" s="28"/>
      <c r="L222" s="28"/>
    </row>
    <row r="223" spans="1:12" hidden="1" x14ac:dyDescent="0.25">
      <c r="A223" s="1752"/>
      <c r="B223" s="1220"/>
      <c r="C223" s="1117"/>
      <c r="D223" s="28" t="s">
        <v>263</v>
      </c>
      <c r="E223" s="94"/>
      <c r="F223" s="80">
        <v>10</v>
      </c>
      <c r="G223" s="80"/>
      <c r="H223" s="80"/>
      <c r="I223" s="80">
        <v>6</v>
      </c>
      <c r="J223" s="94"/>
      <c r="K223" s="28"/>
      <c r="L223" s="28"/>
    </row>
    <row r="224" spans="1:12" hidden="1" x14ac:dyDescent="0.25">
      <c r="A224" s="1752"/>
      <c r="B224" s="1220"/>
      <c r="C224" s="1117"/>
      <c r="D224" s="28" t="s">
        <v>357</v>
      </c>
      <c r="E224" s="94"/>
      <c r="F224" s="99">
        <f>(F223/F221)*100</f>
        <v>100</v>
      </c>
      <c r="G224" s="94"/>
      <c r="H224" s="94"/>
      <c r="I224" s="97">
        <f>I223/I221*100</f>
        <v>28.571428571428569</v>
      </c>
      <c r="J224" s="94"/>
      <c r="K224" s="28"/>
      <c r="L224" s="28"/>
    </row>
    <row r="225" spans="1:12" hidden="1" x14ac:dyDescent="0.25">
      <c r="A225" s="1752"/>
      <c r="B225" s="1220"/>
      <c r="C225" s="1117" t="s">
        <v>397</v>
      </c>
      <c r="D225" s="144" t="s">
        <v>251</v>
      </c>
      <c r="E225" s="94"/>
      <c r="F225" s="80"/>
      <c r="G225" s="80"/>
      <c r="H225" s="80"/>
      <c r="I225" s="80">
        <v>3</v>
      </c>
      <c r="J225" s="94"/>
      <c r="K225" s="28"/>
      <c r="L225" s="28"/>
    </row>
    <row r="226" spans="1:12" hidden="1" x14ac:dyDescent="0.25">
      <c r="A226" s="1752"/>
      <c r="B226" s="1220"/>
      <c r="C226" s="1117"/>
      <c r="D226" s="28" t="s">
        <v>257</v>
      </c>
      <c r="E226" s="94"/>
      <c r="F226" s="80"/>
      <c r="G226" s="80"/>
      <c r="H226" s="80"/>
      <c r="I226" s="80">
        <v>0</v>
      </c>
      <c r="J226" s="94"/>
      <c r="K226" s="28"/>
      <c r="L226" s="28"/>
    </row>
    <row r="227" spans="1:12" hidden="1" x14ac:dyDescent="0.25">
      <c r="A227" s="1752"/>
      <c r="B227" s="1220"/>
      <c r="C227" s="1117"/>
      <c r="D227" s="28" t="s">
        <v>263</v>
      </c>
      <c r="E227" s="94"/>
      <c r="F227" s="80"/>
      <c r="G227" s="80"/>
      <c r="H227" s="80"/>
      <c r="I227" s="80">
        <v>0</v>
      </c>
      <c r="J227" s="94"/>
      <c r="K227" s="28"/>
      <c r="L227" s="28"/>
    </row>
    <row r="228" spans="1:12" hidden="1" x14ac:dyDescent="0.25">
      <c r="A228" s="1752"/>
      <c r="B228" s="1220"/>
      <c r="C228" s="1117"/>
      <c r="D228" s="28" t="s">
        <v>357</v>
      </c>
      <c r="E228" s="94"/>
      <c r="F228" s="94"/>
      <c r="G228" s="94"/>
      <c r="H228" s="94"/>
      <c r="I228" s="97">
        <f>I227/I225*100</f>
        <v>0</v>
      </c>
      <c r="J228" s="94"/>
      <c r="K228" s="28"/>
      <c r="L228" s="28"/>
    </row>
    <row r="229" spans="1:12" hidden="1" x14ac:dyDescent="0.25">
      <c r="A229" s="1752"/>
      <c r="B229" s="1220"/>
      <c r="C229" s="1117" t="s">
        <v>398</v>
      </c>
      <c r="D229" s="144" t="s">
        <v>251</v>
      </c>
      <c r="E229" s="94"/>
      <c r="F229" s="80">
        <v>40</v>
      </c>
      <c r="G229" s="80"/>
      <c r="H229" s="80"/>
      <c r="I229" s="80">
        <v>6</v>
      </c>
      <c r="J229" s="94"/>
      <c r="K229" s="28"/>
      <c r="L229" s="28"/>
    </row>
    <row r="230" spans="1:12" ht="14.85" hidden="1" customHeight="1" x14ac:dyDescent="0.25">
      <c r="A230" s="1752"/>
      <c r="B230" s="1220"/>
      <c r="C230" s="1117"/>
      <c r="D230" s="28" t="s">
        <v>257</v>
      </c>
      <c r="E230" s="94"/>
      <c r="F230" s="80">
        <v>10</v>
      </c>
      <c r="G230" s="80"/>
      <c r="H230" s="80"/>
      <c r="I230" s="80">
        <v>3</v>
      </c>
      <c r="J230" s="94"/>
      <c r="K230" s="28"/>
      <c r="L230" s="28"/>
    </row>
    <row r="231" spans="1:12" hidden="1" x14ac:dyDescent="0.25">
      <c r="A231" s="1752"/>
      <c r="B231" s="1220"/>
      <c r="C231" s="1117"/>
      <c r="D231" s="28" t="s">
        <v>263</v>
      </c>
      <c r="E231" s="94"/>
      <c r="F231" s="80">
        <v>25</v>
      </c>
      <c r="G231" s="80"/>
      <c r="H231" s="80"/>
      <c r="I231" s="80">
        <v>0</v>
      </c>
      <c r="J231" s="94"/>
      <c r="K231" s="28"/>
      <c r="L231" s="28"/>
    </row>
    <row r="232" spans="1:12" hidden="1" x14ac:dyDescent="0.25">
      <c r="A232" s="1752"/>
      <c r="B232" s="1220"/>
      <c r="C232" s="1117"/>
      <c r="D232" s="28" t="s">
        <v>357</v>
      </c>
      <c r="E232" s="94"/>
      <c r="F232" s="99">
        <f>(F231/F229)*100</f>
        <v>62.5</v>
      </c>
      <c r="G232" s="94"/>
      <c r="H232" s="94"/>
      <c r="I232" s="97">
        <f>I231/I229*100</f>
        <v>0</v>
      </c>
      <c r="J232" s="94"/>
      <c r="K232" s="28"/>
      <c r="L232" s="28"/>
    </row>
    <row r="233" spans="1:12" hidden="1" x14ac:dyDescent="0.25">
      <c r="A233" s="1752"/>
      <c r="B233" s="1220"/>
      <c r="C233" s="1117" t="s">
        <v>399</v>
      </c>
      <c r="D233" s="144" t="s">
        <v>251</v>
      </c>
      <c r="E233" s="94"/>
      <c r="F233" s="80">
        <v>1570</v>
      </c>
      <c r="G233" s="80"/>
      <c r="H233" s="80"/>
      <c r="I233" s="80">
        <v>2343</v>
      </c>
      <c r="J233" s="94"/>
      <c r="K233" s="28"/>
      <c r="L233" s="28"/>
    </row>
    <row r="234" spans="1:12" ht="14.85" hidden="1" customHeight="1" x14ac:dyDescent="0.25">
      <c r="A234" s="1752"/>
      <c r="B234" s="1220"/>
      <c r="C234" s="1117"/>
      <c r="D234" s="28" t="s">
        <v>257</v>
      </c>
      <c r="E234" s="94"/>
      <c r="F234" s="80">
        <v>1360</v>
      </c>
      <c r="G234" s="80"/>
      <c r="H234" s="80"/>
      <c r="I234" s="80">
        <v>2208</v>
      </c>
      <c r="J234" s="94"/>
      <c r="K234" s="28"/>
      <c r="L234" s="28"/>
    </row>
    <row r="235" spans="1:12" hidden="1" x14ac:dyDescent="0.25">
      <c r="A235" s="1752"/>
      <c r="B235" s="1220"/>
      <c r="C235" s="1117"/>
      <c r="D235" s="28" t="s">
        <v>263</v>
      </c>
      <c r="E235" s="94"/>
      <c r="F235" s="80">
        <v>210</v>
      </c>
      <c r="G235" s="80"/>
      <c r="H235" s="80"/>
      <c r="I235" s="80">
        <v>135</v>
      </c>
      <c r="J235" s="94"/>
      <c r="K235" s="28"/>
      <c r="L235" s="28"/>
    </row>
    <row r="236" spans="1:12" hidden="1" x14ac:dyDescent="0.25">
      <c r="A236" s="1752"/>
      <c r="B236" s="1220"/>
      <c r="C236" s="1117"/>
      <c r="D236" s="28" t="s">
        <v>357</v>
      </c>
      <c r="E236" s="94"/>
      <c r="F236" s="97">
        <f>(F235/F233)*100</f>
        <v>13.375796178343949</v>
      </c>
      <c r="G236" s="94"/>
      <c r="H236" s="94"/>
      <c r="I236" s="97">
        <f>I235/I233*100</f>
        <v>5.7618437900128043</v>
      </c>
      <c r="J236" s="94"/>
      <c r="K236" s="28"/>
      <c r="L236" s="28"/>
    </row>
    <row r="237" spans="1:12" hidden="1" x14ac:dyDescent="0.25">
      <c r="A237" s="1752"/>
      <c r="B237" s="1220"/>
      <c r="C237" s="1117" t="s">
        <v>400</v>
      </c>
      <c r="D237" s="144" t="s">
        <v>251</v>
      </c>
      <c r="E237" s="94"/>
      <c r="F237" s="80">
        <v>1230</v>
      </c>
      <c r="G237" s="80"/>
      <c r="H237" s="80"/>
      <c r="I237" s="80">
        <v>930</v>
      </c>
      <c r="J237" s="94"/>
      <c r="K237" s="28"/>
      <c r="L237" s="28"/>
    </row>
    <row r="238" spans="1:12" hidden="1" x14ac:dyDescent="0.25">
      <c r="A238" s="1752"/>
      <c r="B238" s="1220"/>
      <c r="C238" s="1117"/>
      <c r="D238" s="28" t="s">
        <v>257</v>
      </c>
      <c r="E238" s="94"/>
      <c r="F238" s="80">
        <v>1070</v>
      </c>
      <c r="G238" s="80"/>
      <c r="H238" s="80"/>
      <c r="I238" s="80">
        <v>876</v>
      </c>
      <c r="J238" s="94"/>
      <c r="K238" s="28"/>
      <c r="L238" s="28"/>
    </row>
    <row r="239" spans="1:12" hidden="1" x14ac:dyDescent="0.25">
      <c r="A239" s="1752"/>
      <c r="B239" s="1220"/>
      <c r="C239" s="1117"/>
      <c r="D239" s="28" t="s">
        <v>263</v>
      </c>
      <c r="E239" s="94"/>
      <c r="F239" s="80">
        <v>155</v>
      </c>
      <c r="G239" s="80"/>
      <c r="H239" s="80"/>
      <c r="I239" s="80">
        <v>54</v>
      </c>
      <c r="J239" s="94"/>
      <c r="K239" s="28"/>
      <c r="L239" s="28"/>
    </row>
    <row r="240" spans="1:12" hidden="1" x14ac:dyDescent="0.25">
      <c r="A240" s="1752"/>
      <c r="B240" s="1220"/>
      <c r="C240" s="1117"/>
      <c r="D240" s="28" t="s">
        <v>357</v>
      </c>
      <c r="E240" s="94"/>
      <c r="F240" s="97">
        <f>(F239/F237)*100</f>
        <v>12.601626016260163</v>
      </c>
      <c r="G240" s="94"/>
      <c r="H240" s="94"/>
      <c r="I240" s="97">
        <f>I239/I237*100</f>
        <v>5.806451612903226</v>
      </c>
      <c r="J240" s="94"/>
      <c r="K240" s="28"/>
      <c r="L240" s="28"/>
    </row>
    <row r="241" spans="1:12" ht="14.85" hidden="1" customHeight="1" x14ac:dyDescent="0.25">
      <c r="A241" s="1752"/>
      <c r="B241" s="1220"/>
      <c r="C241" s="1117" t="s">
        <v>401</v>
      </c>
      <c r="D241" s="144" t="s">
        <v>251</v>
      </c>
      <c r="E241" s="94"/>
      <c r="F241" s="80">
        <v>665</v>
      </c>
      <c r="G241" s="80"/>
      <c r="H241" s="80"/>
      <c r="I241" s="80">
        <v>396</v>
      </c>
      <c r="J241" s="94"/>
      <c r="K241" s="28"/>
      <c r="L241" s="28"/>
    </row>
    <row r="242" spans="1:12" hidden="1" x14ac:dyDescent="0.25">
      <c r="A242" s="1752"/>
      <c r="B242" s="1220"/>
      <c r="C242" s="1117"/>
      <c r="D242" s="28" t="s">
        <v>257</v>
      </c>
      <c r="E242" s="94"/>
      <c r="F242" s="80">
        <v>575</v>
      </c>
      <c r="G242" s="80"/>
      <c r="H242" s="80"/>
      <c r="I242" s="80">
        <v>381</v>
      </c>
      <c r="J242" s="94"/>
      <c r="K242" s="28"/>
      <c r="L242" s="28"/>
    </row>
    <row r="243" spans="1:12" hidden="1" x14ac:dyDescent="0.25">
      <c r="A243" s="1752"/>
      <c r="B243" s="1220"/>
      <c r="C243" s="1117"/>
      <c r="D243" s="28" t="s">
        <v>263</v>
      </c>
      <c r="E243" s="94"/>
      <c r="F243" s="80">
        <v>90</v>
      </c>
      <c r="G243" s="80"/>
      <c r="H243" s="80"/>
      <c r="I243" s="80">
        <v>15</v>
      </c>
      <c r="J243" s="94"/>
      <c r="K243" s="28"/>
      <c r="L243" s="28"/>
    </row>
    <row r="244" spans="1:12" hidden="1" x14ac:dyDescent="0.25">
      <c r="A244" s="1752"/>
      <c r="B244" s="1220"/>
      <c r="C244" s="1117"/>
      <c r="D244" s="28" t="s">
        <v>357</v>
      </c>
      <c r="E244" s="94"/>
      <c r="F244" s="97">
        <f>(F243/F241)*100</f>
        <v>13.533834586466165</v>
      </c>
      <c r="G244" s="94"/>
      <c r="H244" s="94"/>
      <c r="I244" s="97">
        <f>I243/I241*100</f>
        <v>3.7878787878787881</v>
      </c>
      <c r="J244" s="94"/>
      <c r="K244" s="28"/>
      <c r="L244" s="28"/>
    </row>
    <row r="245" spans="1:12" hidden="1" x14ac:dyDescent="0.25">
      <c r="A245" s="1752"/>
      <c r="B245" s="1220"/>
      <c r="C245" s="1117" t="s">
        <v>402</v>
      </c>
      <c r="D245" s="144" t="s">
        <v>251</v>
      </c>
      <c r="E245" s="94"/>
      <c r="F245" s="80">
        <v>1115</v>
      </c>
      <c r="G245" s="80"/>
      <c r="H245" s="80"/>
      <c r="I245" s="80">
        <v>798</v>
      </c>
      <c r="J245" s="94"/>
      <c r="K245" s="28"/>
      <c r="L245" s="28"/>
    </row>
    <row r="246" spans="1:12" hidden="1" x14ac:dyDescent="0.25">
      <c r="A246" s="1752"/>
      <c r="B246" s="1220"/>
      <c r="C246" s="1117"/>
      <c r="D246" s="28" t="s">
        <v>257</v>
      </c>
      <c r="E246" s="94"/>
      <c r="F246" s="80">
        <v>1080</v>
      </c>
      <c r="G246" s="80"/>
      <c r="H246" s="80"/>
      <c r="I246" s="80">
        <v>753</v>
      </c>
      <c r="J246" s="94"/>
      <c r="K246" s="28"/>
      <c r="L246" s="28"/>
    </row>
    <row r="247" spans="1:12" hidden="1" x14ac:dyDescent="0.25">
      <c r="A247" s="1752"/>
      <c r="B247" s="1220"/>
      <c r="C247" s="1117"/>
      <c r="D247" s="28" t="s">
        <v>263</v>
      </c>
      <c r="E247" s="94"/>
      <c r="F247" s="80">
        <v>30</v>
      </c>
      <c r="G247" s="80"/>
      <c r="H247" s="80"/>
      <c r="I247" s="80">
        <v>42</v>
      </c>
      <c r="J247" s="94"/>
      <c r="K247" s="28"/>
      <c r="L247" s="28"/>
    </row>
    <row r="248" spans="1:12" hidden="1" x14ac:dyDescent="0.25">
      <c r="A248" s="1752"/>
      <c r="B248" s="1220"/>
      <c r="C248" s="1117"/>
      <c r="D248" s="28" t="s">
        <v>357</v>
      </c>
      <c r="E248" s="94"/>
      <c r="F248" s="97">
        <f>(F247/F245)*100</f>
        <v>2.6905829596412558</v>
      </c>
      <c r="G248" s="94"/>
      <c r="H248" s="94"/>
      <c r="I248" s="97">
        <f>I247/I245*100</f>
        <v>5.2631578947368416</v>
      </c>
      <c r="J248" s="94"/>
      <c r="K248" s="28"/>
      <c r="L248" s="28"/>
    </row>
    <row r="249" spans="1:12" hidden="1" x14ac:dyDescent="0.25">
      <c r="A249" s="1752"/>
      <c r="B249" s="1220"/>
      <c r="C249" s="1117" t="s">
        <v>403</v>
      </c>
      <c r="D249" s="144" t="s">
        <v>251</v>
      </c>
      <c r="E249" s="94"/>
      <c r="F249" s="80">
        <v>1245</v>
      </c>
      <c r="G249" s="80"/>
      <c r="H249" s="80"/>
      <c r="I249" s="80">
        <v>1161</v>
      </c>
      <c r="J249" s="94"/>
      <c r="K249" s="28"/>
      <c r="L249" s="28"/>
    </row>
    <row r="250" spans="1:12" hidden="1" x14ac:dyDescent="0.25">
      <c r="A250" s="1752"/>
      <c r="B250" s="1220"/>
      <c r="C250" s="1117"/>
      <c r="D250" s="28" t="s">
        <v>257</v>
      </c>
      <c r="E250" s="94"/>
      <c r="F250" s="80">
        <v>980</v>
      </c>
      <c r="G250" s="80"/>
      <c r="H250" s="80"/>
      <c r="I250" s="80">
        <v>1086</v>
      </c>
      <c r="J250" s="94"/>
      <c r="K250" s="28"/>
      <c r="L250" s="28"/>
    </row>
    <row r="251" spans="1:12" hidden="1" x14ac:dyDescent="0.25">
      <c r="A251" s="1752"/>
      <c r="B251" s="1220"/>
      <c r="C251" s="1117"/>
      <c r="D251" s="28" t="s">
        <v>263</v>
      </c>
      <c r="E251" s="94"/>
      <c r="F251" s="80">
        <v>265</v>
      </c>
      <c r="G251" s="80"/>
      <c r="H251" s="80"/>
      <c r="I251" s="80">
        <v>75</v>
      </c>
      <c r="J251" s="94"/>
      <c r="K251" s="28"/>
      <c r="L251" s="28"/>
    </row>
    <row r="252" spans="1:12" hidden="1" x14ac:dyDescent="0.25">
      <c r="A252" s="1752"/>
      <c r="B252" s="1220"/>
      <c r="C252" s="1117"/>
      <c r="D252" s="28" t="s">
        <v>357</v>
      </c>
      <c r="E252" s="94"/>
      <c r="F252" s="97">
        <f>(F251/F249)*100</f>
        <v>21.285140562248998</v>
      </c>
      <c r="G252" s="94"/>
      <c r="H252" s="94"/>
      <c r="I252" s="97">
        <f>I251/I249*100</f>
        <v>6.459948320413436</v>
      </c>
      <c r="J252" s="94"/>
      <c r="K252" s="28"/>
      <c r="L252" s="28"/>
    </row>
    <row r="253" spans="1:12" hidden="1" x14ac:dyDescent="0.25">
      <c r="A253" s="1752"/>
      <c r="B253" s="1220"/>
      <c r="C253" s="1117" t="s">
        <v>404</v>
      </c>
      <c r="D253" s="144" t="s">
        <v>251</v>
      </c>
      <c r="E253" s="94"/>
      <c r="F253" s="80">
        <v>710</v>
      </c>
      <c r="G253" s="80"/>
      <c r="H253" s="80"/>
      <c r="I253" s="80">
        <v>288</v>
      </c>
      <c r="J253" s="94"/>
      <c r="K253" s="28"/>
      <c r="L253" s="28"/>
    </row>
    <row r="254" spans="1:12" ht="14.85" hidden="1" customHeight="1" x14ac:dyDescent="0.25">
      <c r="A254" s="1752"/>
      <c r="B254" s="1220"/>
      <c r="C254" s="1117"/>
      <c r="D254" s="28" t="s">
        <v>257</v>
      </c>
      <c r="E254" s="94"/>
      <c r="F254" s="80">
        <v>505</v>
      </c>
      <c r="G254" s="80"/>
      <c r="H254" s="80"/>
      <c r="I254" s="80">
        <v>216</v>
      </c>
      <c r="J254" s="94"/>
      <c r="K254" s="28"/>
      <c r="L254" s="28"/>
    </row>
    <row r="255" spans="1:12" hidden="1" x14ac:dyDescent="0.25">
      <c r="A255" s="1752"/>
      <c r="B255" s="1220"/>
      <c r="C255" s="1117"/>
      <c r="D255" s="28" t="s">
        <v>263</v>
      </c>
      <c r="E255" s="94"/>
      <c r="F255" s="80">
        <v>205</v>
      </c>
      <c r="G255" s="80"/>
      <c r="H255" s="80"/>
      <c r="I255" s="80">
        <v>72</v>
      </c>
      <c r="J255" s="94"/>
      <c r="K255" s="28"/>
      <c r="L255" s="28"/>
    </row>
    <row r="256" spans="1:12" hidden="1" x14ac:dyDescent="0.25">
      <c r="A256" s="1752"/>
      <c r="B256" s="1220"/>
      <c r="C256" s="1117"/>
      <c r="D256" s="28" t="s">
        <v>357</v>
      </c>
      <c r="E256" s="94"/>
      <c r="F256" s="97">
        <f>(F255/F253)*100</f>
        <v>28.87323943661972</v>
      </c>
      <c r="G256" s="94"/>
      <c r="H256" s="94"/>
      <c r="I256" s="97">
        <f>I255/I253*100</f>
        <v>25</v>
      </c>
      <c r="J256" s="94"/>
      <c r="K256" s="28"/>
      <c r="L256" s="28"/>
    </row>
    <row r="257" spans="1:12" hidden="1" x14ac:dyDescent="0.25">
      <c r="A257" s="1752"/>
      <c r="B257" s="1220"/>
      <c r="C257" s="1117" t="s">
        <v>405</v>
      </c>
      <c r="D257" s="144" t="s">
        <v>251</v>
      </c>
      <c r="E257" s="94"/>
      <c r="F257" s="80">
        <v>405</v>
      </c>
      <c r="G257" s="80"/>
      <c r="H257" s="80"/>
      <c r="I257" s="80">
        <v>252</v>
      </c>
      <c r="J257" s="94"/>
      <c r="K257" s="28"/>
      <c r="L257" s="28"/>
    </row>
    <row r="258" spans="1:12" hidden="1" x14ac:dyDescent="0.25">
      <c r="A258" s="1752"/>
      <c r="B258" s="1220"/>
      <c r="C258" s="1117"/>
      <c r="D258" s="28" t="s">
        <v>257</v>
      </c>
      <c r="E258" s="94"/>
      <c r="F258" s="80">
        <v>330</v>
      </c>
      <c r="G258" s="80"/>
      <c r="H258" s="80"/>
      <c r="I258" s="80">
        <v>180</v>
      </c>
      <c r="J258" s="94"/>
      <c r="K258" s="28"/>
      <c r="L258" s="28"/>
    </row>
    <row r="259" spans="1:12" hidden="1" x14ac:dyDescent="0.25">
      <c r="A259" s="1752"/>
      <c r="B259" s="1220"/>
      <c r="C259" s="1117"/>
      <c r="D259" s="28" t="s">
        <v>263</v>
      </c>
      <c r="E259" s="94"/>
      <c r="F259" s="80">
        <v>75</v>
      </c>
      <c r="G259" s="80"/>
      <c r="H259" s="80"/>
      <c r="I259" s="80">
        <v>75</v>
      </c>
      <c r="J259" s="94"/>
      <c r="K259" s="28"/>
      <c r="L259" s="28"/>
    </row>
    <row r="260" spans="1:12" hidden="1" x14ac:dyDescent="0.25">
      <c r="A260" s="1752"/>
      <c r="B260" s="1220"/>
      <c r="C260" s="1117"/>
      <c r="D260" s="28" t="s">
        <v>357</v>
      </c>
      <c r="E260" s="94"/>
      <c r="F260" s="97">
        <f>(F259/F257)*100</f>
        <v>18.518518518518519</v>
      </c>
      <c r="G260" s="94"/>
      <c r="H260" s="94"/>
      <c r="I260" s="97">
        <f>I259/I257*100</f>
        <v>29.761904761904763</v>
      </c>
      <c r="J260" s="94"/>
      <c r="K260" s="28"/>
      <c r="L260" s="28"/>
    </row>
    <row r="261" spans="1:12" hidden="1" x14ac:dyDescent="0.25">
      <c r="A261" s="1752"/>
      <c r="B261" s="1220"/>
      <c r="C261" s="1117" t="s">
        <v>406</v>
      </c>
      <c r="D261" s="144" t="s">
        <v>251</v>
      </c>
      <c r="E261" s="94"/>
      <c r="F261" s="80">
        <v>465</v>
      </c>
      <c r="G261" s="80"/>
      <c r="H261" s="80"/>
      <c r="I261" s="80">
        <v>480</v>
      </c>
      <c r="J261" s="94"/>
      <c r="K261" s="28"/>
      <c r="L261" s="28"/>
    </row>
    <row r="262" spans="1:12" hidden="1" x14ac:dyDescent="0.25">
      <c r="A262" s="1752"/>
      <c r="B262" s="1220"/>
      <c r="C262" s="1117"/>
      <c r="D262" s="28" t="s">
        <v>257</v>
      </c>
      <c r="E262" s="94"/>
      <c r="F262" s="80">
        <v>250</v>
      </c>
      <c r="G262" s="80"/>
      <c r="H262" s="80"/>
      <c r="I262" s="80">
        <v>351</v>
      </c>
      <c r="J262" s="94"/>
      <c r="K262" s="28"/>
      <c r="L262" s="28"/>
    </row>
    <row r="263" spans="1:12" hidden="1" x14ac:dyDescent="0.25">
      <c r="A263" s="1752"/>
      <c r="B263" s="1220"/>
      <c r="C263" s="1117"/>
      <c r="D263" s="28" t="s">
        <v>263</v>
      </c>
      <c r="E263" s="94"/>
      <c r="F263" s="80">
        <v>215</v>
      </c>
      <c r="G263" s="80"/>
      <c r="H263" s="80"/>
      <c r="I263" s="80">
        <v>129</v>
      </c>
      <c r="J263" s="94"/>
      <c r="K263" s="28"/>
      <c r="L263" s="28"/>
    </row>
    <row r="264" spans="1:12" hidden="1" x14ac:dyDescent="0.25">
      <c r="A264" s="1752"/>
      <c r="B264" s="1220"/>
      <c r="C264" s="1117"/>
      <c r="D264" s="28" t="s">
        <v>357</v>
      </c>
      <c r="E264" s="94"/>
      <c r="F264" s="98">
        <f>(F263/F261)*100</f>
        <v>46.236559139784944</v>
      </c>
      <c r="G264" s="94"/>
      <c r="H264" s="94"/>
      <c r="I264" s="97">
        <f>I263/I261*100</f>
        <v>26.875</v>
      </c>
      <c r="J264" s="94"/>
      <c r="K264" s="28"/>
      <c r="L264" s="28"/>
    </row>
    <row r="265" spans="1:12" hidden="1" x14ac:dyDescent="0.25">
      <c r="A265" s="1752"/>
      <c r="B265" s="1220"/>
      <c r="C265" s="1117" t="s">
        <v>407</v>
      </c>
      <c r="D265" s="144" t="s">
        <v>251</v>
      </c>
      <c r="E265" s="94"/>
      <c r="F265" s="80">
        <v>450</v>
      </c>
      <c r="G265" s="80"/>
      <c r="H265" s="80"/>
      <c r="I265" s="80">
        <v>318</v>
      </c>
      <c r="J265" s="94"/>
      <c r="K265" s="28"/>
      <c r="L265" s="28"/>
    </row>
    <row r="266" spans="1:12" hidden="1" x14ac:dyDescent="0.25">
      <c r="A266" s="1752"/>
      <c r="B266" s="1220"/>
      <c r="C266" s="1117"/>
      <c r="D266" s="28" t="s">
        <v>257</v>
      </c>
      <c r="E266" s="94"/>
      <c r="F266" s="80">
        <v>320</v>
      </c>
      <c r="G266" s="80"/>
      <c r="H266" s="80"/>
      <c r="I266" s="80">
        <v>252</v>
      </c>
      <c r="J266" s="94"/>
      <c r="K266" s="28"/>
      <c r="L266" s="28"/>
    </row>
    <row r="267" spans="1:12" hidden="1" x14ac:dyDescent="0.25">
      <c r="A267" s="1752"/>
      <c r="B267" s="1220"/>
      <c r="C267" s="1117"/>
      <c r="D267" s="28" t="s">
        <v>263</v>
      </c>
      <c r="E267" s="94"/>
      <c r="F267" s="80">
        <v>130</v>
      </c>
      <c r="G267" s="80"/>
      <c r="H267" s="80"/>
      <c r="I267" s="80">
        <v>66</v>
      </c>
      <c r="J267" s="94"/>
      <c r="K267" s="28"/>
      <c r="L267" s="28"/>
    </row>
    <row r="268" spans="1:12" hidden="1" x14ac:dyDescent="0.25">
      <c r="A268" s="1752"/>
      <c r="B268" s="1220"/>
      <c r="C268" s="1117"/>
      <c r="D268" s="28" t="s">
        <v>357</v>
      </c>
      <c r="E268" s="94"/>
      <c r="F268" s="97">
        <f>(F267/F265)*100</f>
        <v>28.888888888888886</v>
      </c>
      <c r="G268" s="94"/>
      <c r="H268" s="94"/>
      <c r="I268" s="97">
        <f>I267/I265*100</f>
        <v>20.754716981132077</v>
      </c>
      <c r="J268" s="94"/>
      <c r="K268" s="28"/>
      <c r="L268" s="28"/>
    </row>
    <row r="269" spans="1:12" hidden="1" x14ac:dyDescent="0.25">
      <c r="A269" s="1752"/>
      <c r="B269" s="1220"/>
      <c r="C269" s="1117" t="s">
        <v>408</v>
      </c>
      <c r="D269" s="144" t="s">
        <v>251</v>
      </c>
      <c r="E269" s="94"/>
      <c r="F269" s="80">
        <v>70</v>
      </c>
      <c r="G269" s="80"/>
      <c r="H269" s="80"/>
      <c r="I269" s="80">
        <v>219</v>
      </c>
      <c r="J269" s="94"/>
      <c r="K269" s="28"/>
      <c r="L269" s="28"/>
    </row>
    <row r="270" spans="1:12" hidden="1" x14ac:dyDescent="0.25">
      <c r="A270" s="1752"/>
      <c r="B270" s="1220"/>
      <c r="C270" s="1117"/>
      <c r="D270" s="28" t="s">
        <v>257</v>
      </c>
      <c r="E270" s="94"/>
      <c r="F270" s="80">
        <v>70</v>
      </c>
      <c r="G270" s="80"/>
      <c r="H270" s="80"/>
      <c r="I270" s="80">
        <v>180</v>
      </c>
      <c r="J270" s="94"/>
      <c r="K270" s="28"/>
      <c r="L270" s="28"/>
    </row>
    <row r="271" spans="1:12" hidden="1" x14ac:dyDescent="0.25">
      <c r="A271" s="1752"/>
      <c r="B271" s="1220"/>
      <c r="C271" s="1117"/>
      <c r="D271" s="28" t="s">
        <v>263</v>
      </c>
      <c r="E271" s="94"/>
      <c r="F271" s="80">
        <v>0</v>
      </c>
      <c r="G271" s="80"/>
      <c r="H271" s="80"/>
      <c r="I271" s="80">
        <v>39</v>
      </c>
      <c r="J271" s="94"/>
      <c r="K271" s="28"/>
      <c r="L271" s="28"/>
    </row>
    <row r="272" spans="1:12" hidden="1" x14ac:dyDescent="0.25">
      <c r="A272" s="1752"/>
      <c r="B272" s="1220"/>
      <c r="C272" s="1117"/>
      <c r="D272" s="28" t="s">
        <v>357</v>
      </c>
      <c r="E272" s="94"/>
      <c r="F272" s="97">
        <f>(F271/F269)*100</f>
        <v>0</v>
      </c>
      <c r="G272" s="94"/>
      <c r="H272" s="94"/>
      <c r="I272" s="97">
        <f>I271/I269*100</f>
        <v>17.80821917808219</v>
      </c>
      <c r="J272" s="94"/>
      <c r="K272" s="28"/>
      <c r="L272" s="28"/>
    </row>
    <row r="273" spans="1:12" ht="14.85" hidden="1" customHeight="1" x14ac:dyDescent="0.25">
      <c r="A273" s="1752"/>
      <c r="B273" s="1220"/>
      <c r="C273" s="1117" t="s">
        <v>409</v>
      </c>
      <c r="D273" s="144" t="s">
        <v>251</v>
      </c>
      <c r="E273" s="94"/>
      <c r="F273" s="80">
        <v>385</v>
      </c>
      <c r="G273" s="80"/>
      <c r="H273" s="80"/>
      <c r="I273" s="80">
        <v>282</v>
      </c>
      <c r="J273" s="94"/>
      <c r="K273" s="28"/>
      <c r="L273" s="28"/>
    </row>
    <row r="274" spans="1:12" ht="14.85" hidden="1" customHeight="1" x14ac:dyDescent="0.25">
      <c r="A274" s="1752"/>
      <c r="B274" s="1220"/>
      <c r="C274" s="1117"/>
      <c r="D274" s="28" t="s">
        <v>257</v>
      </c>
      <c r="E274" s="94"/>
      <c r="F274" s="80">
        <v>335</v>
      </c>
      <c r="G274" s="80"/>
      <c r="H274" s="80"/>
      <c r="I274" s="80">
        <v>264</v>
      </c>
      <c r="J274" s="94"/>
      <c r="K274" s="28"/>
      <c r="L274" s="28"/>
    </row>
    <row r="275" spans="1:12" hidden="1" x14ac:dyDescent="0.25">
      <c r="A275" s="1752"/>
      <c r="B275" s="1220"/>
      <c r="C275" s="1117"/>
      <c r="D275" s="28" t="s">
        <v>263</v>
      </c>
      <c r="E275" s="94"/>
      <c r="F275" s="80">
        <v>50</v>
      </c>
      <c r="G275" s="80"/>
      <c r="H275" s="80"/>
      <c r="I275" s="80">
        <v>15</v>
      </c>
      <c r="J275" s="94"/>
      <c r="K275" s="28"/>
      <c r="L275" s="28"/>
    </row>
    <row r="276" spans="1:12" hidden="1" x14ac:dyDescent="0.25">
      <c r="A276" s="1752"/>
      <c r="B276" s="1220"/>
      <c r="C276" s="1117"/>
      <c r="D276" s="28" t="s">
        <v>357</v>
      </c>
      <c r="E276" s="94"/>
      <c r="F276" s="97">
        <f>(F275/F273)*100</f>
        <v>12.987012987012985</v>
      </c>
      <c r="G276" s="94"/>
      <c r="H276" s="94"/>
      <c r="I276" s="97">
        <f>I275/I273*100</f>
        <v>5.3191489361702127</v>
      </c>
      <c r="J276" s="94"/>
      <c r="K276" s="28"/>
      <c r="L276" s="28"/>
    </row>
    <row r="277" spans="1:12" hidden="1" x14ac:dyDescent="0.25">
      <c r="A277" s="1752"/>
      <c r="B277" s="1220"/>
      <c r="C277" s="1117" t="s">
        <v>410</v>
      </c>
      <c r="D277" s="144" t="s">
        <v>251</v>
      </c>
      <c r="E277" s="94"/>
      <c r="F277" s="80">
        <v>2945</v>
      </c>
      <c r="G277" s="80"/>
      <c r="H277" s="80"/>
      <c r="I277" s="80">
        <v>3114</v>
      </c>
      <c r="J277" s="94"/>
      <c r="K277" s="28"/>
      <c r="L277" s="28"/>
    </row>
    <row r="278" spans="1:12" hidden="1" x14ac:dyDescent="0.25">
      <c r="A278" s="1752"/>
      <c r="B278" s="1220"/>
      <c r="C278" s="1117"/>
      <c r="D278" s="28" t="s">
        <v>257</v>
      </c>
      <c r="E278" s="94"/>
      <c r="F278" s="80">
        <v>2620</v>
      </c>
      <c r="G278" s="80"/>
      <c r="H278" s="80"/>
      <c r="I278" s="80">
        <v>2919</v>
      </c>
      <c r="J278" s="94"/>
      <c r="K278" s="28"/>
      <c r="L278" s="28"/>
    </row>
    <row r="279" spans="1:12" hidden="1" x14ac:dyDescent="0.25">
      <c r="A279" s="1752"/>
      <c r="B279" s="1220"/>
      <c r="C279" s="1117"/>
      <c r="D279" s="28" t="s">
        <v>263</v>
      </c>
      <c r="E279" s="94"/>
      <c r="F279" s="80">
        <v>325</v>
      </c>
      <c r="G279" s="80"/>
      <c r="H279" s="80"/>
      <c r="I279" s="80">
        <v>195</v>
      </c>
      <c r="J279" s="94"/>
      <c r="K279" s="28"/>
      <c r="L279" s="28"/>
    </row>
    <row r="280" spans="1:12" hidden="1" x14ac:dyDescent="0.25">
      <c r="A280" s="1752"/>
      <c r="B280" s="1220"/>
      <c r="C280" s="1117"/>
      <c r="D280" s="28" t="s">
        <v>357</v>
      </c>
      <c r="E280" s="94"/>
      <c r="F280" s="97">
        <f>(F279/F277)*100</f>
        <v>11.03565365025467</v>
      </c>
      <c r="G280" s="94"/>
      <c r="H280" s="94"/>
      <c r="I280" s="97">
        <f>I279/I277*100</f>
        <v>6.262042389210019</v>
      </c>
      <c r="J280" s="94"/>
      <c r="K280" s="28"/>
      <c r="L280" s="28"/>
    </row>
    <row r="281" spans="1:12" hidden="1" x14ac:dyDescent="0.25">
      <c r="A281" s="1752"/>
      <c r="B281" s="1220"/>
      <c r="C281" s="1117" t="s">
        <v>411</v>
      </c>
      <c r="D281" s="144" t="s">
        <v>251</v>
      </c>
      <c r="E281" s="94"/>
      <c r="F281" s="80">
        <v>3330</v>
      </c>
      <c r="G281" s="80"/>
      <c r="H281" s="80"/>
      <c r="I281" s="80">
        <v>5562</v>
      </c>
      <c r="J281" s="94"/>
      <c r="K281" s="28"/>
      <c r="L281" s="28"/>
    </row>
    <row r="282" spans="1:12" hidden="1" x14ac:dyDescent="0.25">
      <c r="A282" s="1752"/>
      <c r="B282" s="1220"/>
      <c r="C282" s="1117"/>
      <c r="D282" s="28" t="s">
        <v>257</v>
      </c>
      <c r="E282" s="94"/>
      <c r="F282" s="80">
        <v>90</v>
      </c>
      <c r="G282" s="80"/>
      <c r="H282" s="80"/>
      <c r="I282" s="80">
        <v>192</v>
      </c>
      <c r="J282" s="94"/>
      <c r="K282" s="28"/>
      <c r="L282" s="28"/>
    </row>
    <row r="283" spans="1:12" hidden="1" x14ac:dyDescent="0.25">
      <c r="A283" s="1752"/>
      <c r="B283" s="1220"/>
      <c r="C283" s="1117"/>
      <c r="D283" s="28" t="s">
        <v>263</v>
      </c>
      <c r="E283" s="94"/>
      <c r="F283" s="80">
        <v>3240</v>
      </c>
      <c r="G283" s="80"/>
      <c r="H283" s="80"/>
      <c r="I283" s="80">
        <v>5370</v>
      </c>
      <c r="J283" s="94"/>
      <c r="K283" s="28"/>
      <c r="L283" s="28"/>
    </row>
    <row r="284" spans="1:12" hidden="1" x14ac:dyDescent="0.25">
      <c r="A284" s="1752"/>
      <c r="B284" s="1220"/>
      <c r="C284" s="1117"/>
      <c r="D284" s="28" t="s">
        <v>357</v>
      </c>
      <c r="E284" s="94"/>
      <c r="F284" s="99">
        <f>(F283/F281)*100</f>
        <v>97.297297297297305</v>
      </c>
      <c r="G284" s="94"/>
      <c r="H284" s="94"/>
      <c r="I284" s="99">
        <f>I283/I281*100</f>
        <v>96.5480043149946</v>
      </c>
      <c r="J284" s="94"/>
      <c r="K284" s="28"/>
      <c r="L284" s="28"/>
    </row>
    <row r="285" spans="1:12" hidden="1" x14ac:dyDescent="0.25">
      <c r="A285" s="1752"/>
      <c r="B285" s="1220"/>
      <c r="C285" s="1117" t="s">
        <v>412</v>
      </c>
      <c r="D285" s="144" t="s">
        <v>251</v>
      </c>
      <c r="E285" s="94"/>
      <c r="F285" s="80">
        <v>3770</v>
      </c>
      <c r="G285" s="80"/>
      <c r="H285" s="80"/>
      <c r="I285" s="80">
        <v>4710</v>
      </c>
      <c r="J285" s="94"/>
      <c r="K285" s="28"/>
      <c r="L285" s="28"/>
    </row>
    <row r="286" spans="1:12" hidden="1" x14ac:dyDescent="0.25">
      <c r="A286" s="1752"/>
      <c r="B286" s="1220"/>
      <c r="C286" s="1117"/>
      <c r="D286" s="28" t="s">
        <v>257</v>
      </c>
      <c r="E286" s="94"/>
      <c r="F286" s="80">
        <v>585</v>
      </c>
      <c r="G286" s="80"/>
      <c r="H286" s="80"/>
      <c r="I286" s="80">
        <v>1068</v>
      </c>
      <c r="J286" s="94"/>
      <c r="K286" s="28"/>
      <c r="L286" s="28"/>
    </row>
    <row r="287" spans="1:12" hidden="1" x14ac:dyDescent="0.25">
      <c r="A287" s="1752"/>
      <c r="B287" s="1220"/>
      <c r="C287" s="1117"/>
      <c r="D287" s="28" t="s">
        <v>263</v>
      </c>
      <c r="E287" s="94"/>
      <c r="F287" s="80">
        <v>3185</v>
      </c>
      <c r="G287" s="80"/>
      <c r="H287" s="80"/>
      <c r="I287" s="80">
        <v>3642</v>
      </c>
      <c r="J287" s="94"/>
      <c r="K287" s="28"/>
      <c r="L287" s="28"/>
    </row>
    <row r="288" spans="1:12" hidden="1" x14ac:dyDescent="0.25">
      <c r="A288" s="1752"/>
      <c r="B288" s="1220"/>
      <c r="C288" s="1117"/>
      <c r="D288" s="28" t="s">
        <v>357</v>
      </c>
      <c r="E288" s="94"/>
      <c r="F288" s="99">
        <f>(F287/F285)*100</f>
        <v>84.482758620689651</v>
      </c>
      <c r="G288" s="94"/>
      <c r="H288" s="94"/>
      <c r="I288" s="99">
        <f>I287/I285*100</f>
        <v>77.324840764331213</v>
      </c>
      <c r="J288" s="94"/>
      <c r="K288" s="28"/>
      <c r="L288" s="28"/>
    </row>
    <row r="289" spans="1:12" hidden="1" x14ac:dyDescent="0.25">
      <c r="A289" s="1752"/>
      <c r="B289" s="1220"/>
      <c r="C289" s="1117" t="s">
        <v>413</v>
      </c>
      <c r="D289" s="144" t="s">
        <v>251</v>
      </c>
      <c r="E289" s="94"/>
      <c r="F289" s="80">
        <v>1085</v>
      </c>
      <c r="G289" s="80"/>
      <c r="H289" s="80"/>
      <c r="I289" s="80">
        <v>594</v>
      </c>
      <c r="J289" s="94"/>
      <c r="K289" s="28"/>
      <c r="L289" s="28"/>
    </row>
    <row r="290" spans="1:12" ht="14.85" hidden="1" customHeight="1" x14ac:dyDescent="0.25">
      <c r="A290" s="1752"/>
      <c r="B290" s="1220"/>
      <c r="C290" s="1117"/>
      <c r="D290" s="28" t="s">
        <v>257</v>
      </c>
      <c r="E290" s="94"/>
      <c r="F290" s="80">
        <v>265</v>
      </c>
      <c r="G290" s="80"/>
      <c r="H290" s="80"/>
      <c r="I290" s="80">
        <v>315</v>
      </c>
      <c r="J290" s="94"/>
      <c r="K290" s="28"/>
      <c r="L290" s="28"/>
    </row>
    <row r="291" spans="1:12" hidden="1" x14ac:dyDescent="0.25">
      <c r="A291" s="1752"/>
      <c r="B291" s="1220"/>
      <c r="C291" s="1117"/>
      <c r="D291" s="28" t="s">
        <v>263</v>
      </c>
      <c r="E291" s="94"/>
      <c r="F291" s="80">
        <v>820</v>
      </c>
      <c r="G291" s="80"/>
      <c r="H291" s="80"/>
      <c r="I291" s="80">
        <v>279</v>
      </c>
      <c r="J291" s="94"/>
      <c r="K291" s="28"/>
      <c r="L291" s="28"/>
    </row>
    <row r="292" spans="1:12" hidden="1" x14ac:dyDescent="0.25">
      <c r="A292" s="1752"/>
      <c r="B292" s="1220"/>
      <c r="C292" s="1117"/>
      <c r="D292" s="28" t="s">
        <v>357</v>
      </c>
      <c r="E292" s="94"/>
      <c r="F292" s="99">
        <f>(F291/F289)*100</f>
        <v>75.576036866359445</v>
      </c>
      <c r="G292" s="94"/>
      <c r="H292" s="94"/>
      <c r="I292" s="98">
        <f>I291/I289*100</f>
        <v>46.969696969696969</v>
      </c>
      <c r="J292" s="94"/>
      <c r="K292" s="28"/>
      <c r="L292" s="28"/>
    </row>
    <row r="293" spans="1:12" ht="14.85" hidden="1" customHeight="1" x14ac:dyDescent="0.25">
      <c r="A293" s="1752"/>
      <c r="B293" s="1220"/>
      <c r="C293" s="1117" t="s">
        <v>414</v>
      </c>
      <c r="D293" s="144" t="s">
        <v>251</v>
      </c>
      <c r="E293" s="94"/>
      <c r="F293" s="80">
        <v>1240</v>
      </c>
      <c r="G293" s="80"/>
      <c r="H293" s="80"/>
      <c r="I293" s="80">
        <v>1110</v>
      </c>
      <c r="J293" s="94"/>
      <c r="K293" s="28"/>
      <c r="L293" s="28"/>
    </row>
    <row r="294" spans="1:12" ht="14.85" hidden="1" customHeight="1" x14ac:dyDescent="0.25">
      <c r="A294" s="1752"/>
      <c r="B294" s="1220"/>
      <c r="C294" s="1117"/>
      <c r="D294" s="28" t="s">
        <v>257</v>
      </c>
      <c r="E294" s="94"/>
      <c r="F294" s="80">
        <v>940</v>
      </c>
      <c r="G294" s="80"/>
      <c r="H294" s="80"/>
      <c r="I294" s="80">
        <v>825</v>
      </c>
      <c r="J294" s="94"/>
      <c r="K294" s="28"/>
      <c r="L294" s="28"/>
    </row>
    <row r="295" spans="1:12" hidden="1" x14ac:dyDescent="0.25">
      <c r="A295" s="1752"/>
      <c r="B295" s="1220"/>
      <c r="C295" s="1117"/>
      <c r="D295" s="28" t="s">
        <v>263</v>
      </c>
      <c r="E295" s="94"/>
      <c r="F295" s="80">
        <v>305</v>
      </c>
      <c r="G295" s="80"/>
      <c r="H295" s="80"/>
      <c r="I295" s="80">
        <v>285</v>
      </c>
      <c r="J295" s="94"/>
      <c r="K295" s="28"/>
      <c r="L295" s="28"/>
    </row>
    <row r="296" spans="1:12" hidden="1" x14ac:dyDescent="0.25">
      <c r="A296" s="1752"/>
      <c r="B296" s="1220"/>
      <c r="C296" s="1117"/>
      <c r="D296" s="28" t="s">
        <v>357</v>
      </c>
      <c r="E296" s="94"/>
      <c r="F296" s="97">
        <f>(F295/F293)*100</f>
        <v>24.596774193548388</v>
      </c>
      <c r="G296" s="94"/>
      <c r="H296" s="94"/>
      <c r="I296" s="97">
        <f>I295/I293*100</f>
        <v>25.675675675675674</v>
      </c>
      <c r="J296" s="94"/>
      <c r="K296" s="28"/>
      <c r="L296" s="28"/>
    </row>
    <row r="297" spans="1:12" hidden="1" x14ac:dyDescent="0.25">
      <c r="A297" s="1752"/>
      <c r="B297" s="1220"/>
      <c r="C297" s="1117" t="s">
        <v>415</v>
      </c>
      <c r="D297" s="144" t="s">
        <v>251</v>
      </c>
      <c r="E297" s="94"/>
      <c r="F297" s="80">
        <v>95</v>
      </c>
      <c r="G297" s="80"/>
      <c r="H297" s="80"/>
      <c r="I297" s="80">
        <v>195</v>
      </c>
      <c r="J297" s="94"/>
      <c r="K297" s="28"/>
      <c r="L297" s="28"/>
    </row>
    <row r="298" spans="1:12" hidden="1" x14ac:dyDescent="0.25">
      <c r="A298" s="1752"/>
      <c r="B298" s="1220"/>
      <c r="C298" s="1117"/>
      <c r="D298" s="28" t="s">
        <v>257</v>
      </c>
      <c r="E298" s="94"/>
      <c r="F298" s="80">
        <v>70</v>
      </c>
      <c r="G298" s="80"/>
      <c r="H298" s="80"/>
      <c r="I298" s="80">
        <v>165</v>
      </c>
      <c r="J298" s="94"/>
      <c r="K298" s="28"/>
      <c r="L298" s="28"/>
    </row>
    <row r="299" spans="1:12" hidden="1" x14ac:dyDescent="0.25">
      <c r="A299" s="1752"/>
      <c r="B299" s="1220"/>
      <c r="C299" s="1117"/>
      <c r="D299" s="28" t="s">
        <v>263</v>
      </c>
      <c r="E299" s="94"/>
      <c r="F299" s="80">
        <v>25</v>
      </c>
      <c r="G299" s="80"/>
      <c r="H299" s="80"/>
      <c r="I299" s="80">
        <v>30</v>
      </c>
      <c r="J299" s="94"/>
      <c r="K299" s="28"/>
      <c r="L299" s="28"/>
    </row>
    <row r="300" spans="1:12" hidden="1" x14ac:dyDescent="0.25">
      <c r="A300" s="1752"/>
      <c r="B300" s="1220"/>
      <c r="C300" s="1117"/>
      <c r="D300" s="28" t="s">
        <v>357</v>
      </c>
      <c r="E300" s="94"/>
      <c r="F300" s="97">
        <f>(F299/F297)*100</f>
        <v>26.315789473684209</v>
      </c>
      <c r="G300" s="94"/>
      <c r="H300" s="94"/>
      <c r="I300" s="97">
        <f>I299/I297*100</f>
        <v>15.384615384615385</v>
      </c>
      <c r="J300" s="94"/>
      <c r="K300" s="28"/>
      <c r="L300" s="28"/>
    </row>
    <row r="301" spans="1:12" hidden="1" x14ac:dyDescent="0.25">
      <c r="A301" s="1752"/>
      <c r="B301" s="1220"/>
      <c r="C301" s="1117" t="s">
        <v>416</v>
      </c>
      <c r="D301" s="144" t="s">
        <v>251</v>
      </c>
      <c r="E301" s="94"/>
      <c r="F301" s="80">
        <v>350</v>
      </c>
      <c r="G301" s="80"/>
      <c r="H301" s="80"/>
      <c r="I301" s="80">
        <v>288</v>
      </c>
      <c r="J301" s="94"/>
      <c r="K301" s="28"/>
      <c r="L301" s="28"/>
    </row>
    <row r="302" spans="1:12" hidden="1" x14ac:dyDescent="0.25">
      <c r="A302" s="1752"/>
      <c r="B302" s="1220"/>
      <c r="C302" s="1117"/>
      <c r="D302" s="28" t="s">
        <v>257</v>
      </c>
      <c r="E302" s="94"/>
      <c r="F302" s="80">
        <v>315</v>
      </c>
      <c r="G302" s="80"/>
      <c r="H302" s="80"/>
      <c r="I302" s="80">
        <v>282</v>
      </c>
      <c r="J302" s="94"/>
      <c r="K302" s="28"/>
      <c r="L302" s="28"/>
    </row>
    <row r="303" spans="1:12" hidden="1" x14ac:dyDescent="0.25">
      <c r="A303" s="1752"/>
      <c r="B303" s="1220"/>
      <c r="C303" s="1117"/>
      <c r="D303" s="28" t="s">
        <v>263</v>
      </c>
      <c r="E303" s="94"/>
      <c r="F303" s="80">
        <v>35</v>
      </c>
      <c r="G303" s="80"/>
      <c r="H303" s="80"/>
      <c r="I303" s="80">
        <v>6</v>
      </c>
      <c r="J303" s="94"/>
      <c r="K303" s="28"/>
      <c r="L303" s="28"/>
    </row>
    <row r="304" spans="1:12" hidden="1" x14ac:dyDescent="0.25">
      <c r="A304" s="1752"/>
      <c r="B304" s="1220"/>
      <c r="C304" s="1117"/>
      <c r="D304" s="28" t="s">
        <v>357</v>
      </c>
      <c r="E304" s="94"/>
      <c r="F304" s="97">
        <f>(F303/F301)*100</f>
        <v>10</v>
      </c>
      <c r="G304" s="94"/>
      <c r="H304" s="94"/>
      <c r="I304" s="97">
        <f>I303/I301*100</f>
        <v>2.083333333333333</v>
      </c>
      <c r="J304" s="94"/>
      <c r="K304" s="28"/>
      <c r="L304" s="28"/>
    </row>
    <row r="305" spans="1:12" hidden="1" x14ac:dyDescent="0.25">
      <c r="A305" s="1752"/>
      <c r="B305" s="1220"/>
      <c r="C305" s="1117" t="s">
        <v>417</v>
      </c>
      <c r="D305" s="144" t="s">
        <v>251</v>
      </c>
      <c r="E305" s="94"/>
      <c r="F305" s="80">
        <v>285</v>
      </c>
      <c r="G305" s="80"/>
      <c r="H305" s="80"/>
      <c r="I305" s="80">
        <v>534</v>
      </c>
      <c r="J305" s="94"/>
      <c r="K305" s="28"/>
      <c r="L305" s="28"/>
    </row>
    <row r="306" spans="1:12" hidden="1" x14ac:dyDescent="0.25">
      <c r="A306" s="1752"/>
      <c r="B306" s="1220"/>
      <c r="C306" s="1117"/>
      <c r="D306" s="28" t="s">
        <v>257</v>
      </c>
      <c r="E306" s="94"/>
      <c r="F306" s="80">
        <v>185</v>
      </c>
      <c r="G306" s="80"/>
      <c r="H306" s="80"/>
      <c r="I306" s="80">
        <v>372</v>
      </c>
      <c r="J306" s="94"/>
      <c r="K306" s="28"/>
      <c r="L306" s="28"/>
    </row>
    <row r="307" spans="1:12" hidden="1" x14ac:dyDescent="0.25">
      <c r="A307" s="1752"/>
      <c r="B307" s="1220"/>
      <c r="C307" s="1117"/>
      <c r="D307" s="28" t="s">
        <v>263</v>
      </c>
      <c r="E307" s="94"/>
      <c r="F307" s="80">
        <v>100</v>
      </c>
      <c r="G307" s="80"/>
      <c r="H307" s="80"/>
      <c r="I307" s="80">
        <v>162</v>
      </c>
      <c r="J307" s="94"/>
      <c r="K307" s="28"/>
      <c r="L307" s="28"/>
    </row>
    <row r="308" spans="1:12" hidden="1" x14ac:dyDescent="0.25">
      <c r="A308" s="1752"/>
      <c r="B308" s="1220"/>
      <c r="C308" s="1117"/>
      <c r="D308" s="28" t="s">
        <v>357</v>
      </c>
      <c r="E308" s="94"/>
      <c r="F308" s="97">
        <f>(F307/F305)*100</f>
        <v>35.087719298245609</v>
      </c>
      <c r="G308" s="94"/>
      <c r="H308" s="94"/>
      <c r="I308" s="97">
        <f>I307/I305*100</f>
        <v>30.337078651685395</v>
      </c>
      <c r="J308" s="94"/>
      <c r="K308" s="28"/>
      <c r="L308" s="28"/>
    </row>
    <row r="309" spans="1:12" hidden="1" x14ac:dyDescent="0.25">
      <c r="A309" s="1752"/>
      <c r="B309" s="1220"/>
      <c r="C309" s="1117" t="s">
        <v>418</v>
      </c>
      <c r="D309" s="144" t="s">
        <v>251</v>
      </c>
      <c r="E309" s="94"/>
      <c r="F309" s="80">
        <v>950</v>
      </c>
      <c r="G309" s="80"/>
      <c r="H309" s="80"/>
      <c r="I309" s="80">
        <v>1374</v>
      </c>
      <c r="J309" s="94"/>
      <c r="K309" s="28"/>
      <c r="L309" s="28"/>
    </row>
    <row r="310" spans="1:12" hidden="1" x14ac:dyDescent="0.25">
      <c r="A310" s="1752"/>
      <c r="B310" s="1220"/>
      <c r="C310" s="1117"/>
      <c r="D310" s="28" t="s">
        <v>263</v>
      </c>
      <c r="E310" s="94"/>
      <c r="F310" s="80">
        <v>745</v>
      </c>
      <c r="G310" s="80"/>
      <c r="H310" s="80"/>
      <c r="I310" s="80">
        <v>1089</v>
      </c>
      <c r="J310" s="94"/>
      <c r="K310" s="28"/>
      <c r="L310" s="28"/>
    </row>
    <row r="311" spans="1:12" ht="14.85" hidden="1" customHeight="1" x14ac:dyDescent="0.25">
      <c r="A311" s="1752"/>
      <c r="B311" s="1220"/>
      <c r="C311" s="1117"/>
      <c r="D311" s="28" t="s">
        <v>257</v>
      </c>
      <c r="E311" s="94"/>
      <c r="F311" s="80">
        <v>205</v>
      </c>
      <c r="G311" s="80"/>
      <c r="H311" s="80"/>
      <c r="I311" s="80">
        <v>285</v>
      </c>
      <c r="J311" s="94"/>
      <c r="K311" s="28"/>
      <c r="L311" s="28"/>
    </row>
    <row r="312" spans="1:12" hidden="1" x14ac:dyDescent="0.25">
      <c r="A312" s="1752"/>
      <c r="B312" s="1220"/>
      <c r="C312" s="1274"/>
      <c r="D312" s="110" t="s">
        <v>357</v>
      </c>
      <c r="E312" s="126"/>
      <c r="F312" s="469">
        <f>(F311/F309)*100</f>
        <v>21.578947368421055</v>
      </c>
      <c r="G312" s="126"/>
      <c r="H312" s="126"/>
      <c r="I312" s="469">
        <f>I311/I309*100</f>
        <v>20.742358078602621</v>
      </c>
      <c r="J312" s="126"/>
      <c r="K312" s="110"/>
      <c r="L312" s="110"/>
    </row>
    <row r="313" spans="1:12" x14ac:dyDescent="0.25">
      <c r="A313" s="1752"/>
      <c r="B313" s="1220"/>
      <c r="C313" s="1251" t="s">
        <v>419</v>
      </c>
      <c r="D313" s="1206"/>
      <c r="E313" s="249"/>
      <c r="F313" s="470">
        <f>33/60*100</f>
        <v>55.000000000000007</v>
      </c>
      <c r="G313" s="612"/>
      <c r="H313" s="612"/>
      <c r="I313" s="471">
        <f>34/61*100</f>
        <v>55.737704918032783</v>
      </c>
      <c r="J313" s="249"/>
      <c r="K313" s="36"/>
      <c r="L313" s="20"/>
    </row>
    <row r="314" spans="1:12" x14ac:dyDescent="0.25">
      <c r="A314" s="1752"/>
      <c r="B314" s="1220"/>
      <c r="C314" s="1109" t="s">
        <v>420</v>
      </c>
      <c r="D314" s="1110"/>
      <c r="E314" s="94"/>
      <c r="F314" s="102">
        <f>15/60*100</f>
        <v>25</v>
      </c>
      <c r="G314" s="92"/>
      <c r="H314" s="92"/>
      <c r="I314" s="102">
        <f>14/61*100</f>
        <v>22.950819672131146</v>
      </c>
      <c r="J314" s="94"/>
      <c r="K314" s="28"/>
      <c r="L314" s="21"/>
    </row>
    <row r="315" spans="1:12" x14ac:dyDescent="0.25">
      <c r="A315" s="1753"/>
      <c r="B315" s="1600"/>
      <c r="C315" s="1156" t="s">
        <v>421</v>
      </c>
      <c r="D315" s="1157"/>
      <c r="E315" s="126"/>
      <c r="F315" s="127">
        <f>12/60*100</f>
        <v>20</v>
      </c>
      <c r="G315" s="128"/>
      <c r="H315" s="128"/>
      <c r="I315" s="127">
        <f>13/61*100</f>
        <v>21.311475409836063</v>
      </c>
      <c r="J315" s="126"/>
      <c r="K315" s="110"/>
      <c r="L315" s="53"/>
    </row>
    <row r="316" spans="1:12" ht="16.5" thickBot="1" x14ac:dyDescent="0.3">
      <c r="A316" s="761" t="s">
        <v>248</v>
      </c>
      <c r="B316" s="463" t="s">
        <v>249</v>
      </c>
      <c r="C316" s="1433"/>
      <c r="D316" s="1433"/>
      <c r="E316" s="616">
        <v>2005</v>
      </c>
      <c r="F316" s="616">
        <v>2010</v>
      </c>
      <c r="G316" s="616">
        <v>2015</v>
      </c>
      <c r="H316" s="616">
        <v>2020</v>
      </c>
      <c r="I316" s="616">
        <v>2021</v>
      </c>
      <c r="J316" s="616">
        <v>2022</v>
      </c>
      <c r="K316" s="616">
        <v>2023</v>
      </c>
      <c r="L316" s="616">
        <v>2024</v>
      </c>
    </row>
    <row r="317" spans="1:12" ht="15" customHeight="1" x14ac:dyDescent="0.25">
      <c r="A317" s="1413" t="s">
        <v>422</v>
      </c>
      <c r="B317" s="1408" t="s">
        <v>164</v>
      </c>
      <c r="C317" s="1520" t="s">
        <v>424</v>
      </c>
      <c r="D317" s="1520"/>
      <c r="E317" s="36"/>
      <c r="F317" s="37">
        <v>951.54</v>
      </c>
      <c r="G317" s="37">
        <v>1044.57</v>
      </c>
      <c r="H317" s="37">
        <v>1142</v>
      </c>
      <c r="I317" s="37">
        <v>1167</v>
      </c>
      <c r="J317" s="37">
        <v>1188</v>
      </c>
      <c r="K317" s="37">
        <v>1338</v>
      </c>
      <c r="L317" s="209">
        <v>1350</v>
      </c>
    </row>
    <row r="318" spans="1:12" x14ac:dyDescent="0.25">
      <c r="A318" s="1413"/>
      <c r="B318" s="1272"/>
      <c r="C318" s="1331" t="s">
        <v>425</v>
      </c>
      <c r="D318" s="1331"/>
      <c r="E318" s="28"/>
      <c r="F318" s="29">
        <v>1246.28</v>
      </c>
      <c r="G318" s="29">
        <v>1345.92</v>
      </c>
      <c r="H318" s="29">
        <v>1433</v>
      </c>
      <c r="I318" s="29">
        <v>1470</v>
      </c>
      <c r="J318" s="29">
        <v>1496</v>
      </c>
      <c r="K318" s="29">
        <v>1672</v>
      </c>
      <c r="L318" s="30">
        <v>1683</v>
      </c>
    </row>
    <row r="319" spans="1:12" x14ac:dyDescent="0.25">
      <c r="A319" s="1413"/>
      <c r="B319" s="1272"/>
      <c r="C319" s="1331" t="s">
        <v>426</v>
      </c>
      <c r="D319" s="1331"/>
      <c r="E319" s="28"/>
      <c r="F319" s="29">
        <v>675.22</v>
      </c>
      <c r="G319" s="29">
        <v>790.98</v>
      </c>
      <c r="H319" s="29">
        <v>906</v>
      </c>
      <c r="I319" s="29">
        <v>934</v>
      </c>
      <c r="J319" s="29">
        <v>957</v>
      </c>
      <c r="K319" s="29">
        <v>1089</v>
      </c>
      <c r="L319" s="30">
        <v>1105</v>
      </c>
    </row>
    <row r="320" spans="1:12" x14ac:dyDescent="0.25">
      <c r="A320" s="1413"/>
      <c r="B320" s="1272"/>
      <c r="C320" s="1333" t="s">
        <v>427</v>
      </c>
      <c r="D320" s="1333"/>
      <c r="E320" s="28"/>
      <c r="F320" s="31">
        <f t="shared" ref="F320:L320" si="17">+F319-F318</f>
        <v>-571.05999999999995</v>
      </c>
      <c r="G320" s="31">
        <f t="shared" si="17"/>
        <v>-554.94000000000005</v>
      </c>
      <c r="H320" s="31">
        <f t="shared" si="17"/>
        <v>-527</v>
      </c>
      <c r="I320" s="31">
        <f t="shared" si="17"/>
        <v>-536</v>
      </c>
      <c r="J320" s="31">
        <f t="shared" si="17"/>
        <v>-539</v>
      </c>
      <c r="K320" s="31">
        <f t="shared" si="17"/>
        <v>-583</v>
      </c>
      <c r="L320" s="32">
        <f t="shared" si="17"/>
        <v>-578</v>
      </c>
    </row>
    <row r="321" spans="1:12" ht="16.5" thickBot="1" x14ac:dyDescent="0.3">
      <c r="A321" s="1413"/>
      <c r="B321" s="1409"/>
      <c r="C321" s="1335" t="s">
        <v>428</v>
      </c>
      <c r="D321" s="1335"/>
      <c r="E321" s="33"/>
      <c r="F321" s="34">
        <f t="shared" ref="F321:L321" si="18">(F319-F318)/F318*100</f>
        <v>-45.821163783419458</v>
      </c>
      <c r="G321" s="34">
        <f t="shared" si="18"/>
        <v>-41.231276747503571</v>
      </c>
      <c r="H321" s="34">
        <f t="shared" si="18"/>
        <v>-36.77599441730635</v>
      </c>
      <c r="I321" s="34">
        <f t="shared" si="18"/>
        <v>-36.462585034013607</v>
      </c>
      <c r="J321" s="34">
        <f t="shared" si="18"/>
        <v>-36.029411764705884</v>
      </c>
      <c r="K321" s="34">
        <f t="shared" si="18"/>
        <v>-34.868421052631575</v>
      </c>
      <c r="L321" s="35">
        <f t="shared" si="18"/>
        <v>-34.343434343434339</v>
      </c>
    </row>
    <row r="322" spans="1:12" ht="15" customHeight="1" x14ac:dyDescent="0.25">
      <c r="A322" s="1413"/>
      <c r="B322" s="1408" t="s">
        <v>429</v>
      </c>
      <c r="C322" s="1147" t="s">
        <v>430</v>
      </c>
      <c r="D322" s="1147"/>
      <c r="E322" s="36"/>
      <c r="F322" s="40"/>
      <c r="G322" s="37">
        <v>38.38642453111045</v>
      </c>
      <c r="H322" s="37">
        <v>37.382506136622162</v>
      </c>
      <c r="I322" s="37">
        <v>40.030146425495261</v>
      </c>
      <c r="J322" s="37">
        <v>44.784459819052685</v>
      </c>
      <c r="K322" s="334">
        <v>45.006275775506545</v>
      </c>
      <c r="L322" s="722">
        <v>46</v>
      </c>
    </row>
    <row r="323" spans="1:12" x14ac:dyDescent="0.25">
      <c r="A323" s="1413"/>
      <c r="B323" s="1272"/>
      <c r="C323" s="1124" t="s">
        <v>431</v>
      </c>
      <c r="D323" s="1124"/>
      <c r="E323" s="28"/>
      <c r="F323" s="28"/>
      <c r="G323" s="29">
        <v>41.183663487405234</v>
      </c>
      <c r="H323" s="29">
        <v>41.109341825902334</v>
      </c>
      <c r="I323" s="29">
        <v>44.080768604461809</v>
      </c>
      <c r="J323" s="29">
        <v>50.101626016260155</v>
      </c>
      <c r="K323" s="39">
        <v>49.637606129633468</v>
      </c>
      <c r="L323" s="316">
        <v>50.5</v>
      </c>
    </row>
    <row r="324" spans="1:12" x14ac:dyDescent="0.25">
      <c r="A324" s="1413"/>
      <c r="B324" s="1272"/>
      <c r="C324" s="1124" t="s">
        <v>432</v>
      </c>
      <c r="D324" s="1124"/>
      <c r="E324" s="28"/>
      <c r="F324" s="28"/>
      <c r="G324" s="29">
        <v>35.731693164674482</v>
      </c>
      <c r="H324" s="29">
        <v>34.318752045380165</v>
      </c>
      <c r="I324" s="29">
        <v>36.837376460017964</v>
      </c>
      <c r="J324" s="29">
        <v>40.667296191375513</v>
      </c>
      <c r="K324" s="39">
        <v>41.470355731225297</v>
      </c>
      <c r="L324" s="316">
        <v>42.4</v>
      </c>
    </row>
    <row r="325" spans="1:12" ht="16.5" thickBot="1" x14ac:dyDescent="0.3">
      <c r="A325" s="1413"/>
      <c r="B325" s="1273"/>
      <c r="C325" s="1142" t="s">
        <v>354</v>
      </c>
      <c r="D325" s="1142"/>
      <c r="E325" s="110"/>
      <c r="F325" s="110"/>
      <c r="G325" s="423">
        <f t="shared" ref="G325:L325" si="19">+G324-G323</f>
        <v>-5.4519703227307517</v>
      </c>
      <c r="H325" s="423">
        <f t="shared" si="19"/>
        <v>-6.7905897805221684</v>
      </c>
      <c r="I325" s="423">
        <f t="shared" si="19"/>
        <v>-7.2433921444438454</v>
      </c>
      <c r="J325" s="423">
        <f t="shared" si="19"/>
        <v>-9.4343298248846423</v>
      </c>
      <c r="K325" s="212">
        <f t="shared" si="19"/>
        <v>-8.1672503984081715</v>
      </c>
      <c r="L325" s="815">
        <f t="shared" si="19"/>
        <v>-8.1000000000000014</v>
      </c>
    </row>
    <row r="326" spans="1:12" x14ac:dyDescent="0.25">
      <c r="A326" s="1413"/>
      <c r="B326" s="1408" t="s">
        <v>521</v>
      </c>
      <c r="C326" s="1317" t="s">
        <v>434</v>
      </c>
      <c r="D326" s="146" t="s">
        <v>435</v>
      </c>
      <c r="E326" s="40"/>
      <c r="F326" s="40"/>
      <c r="G326" s="40"/>
      <c r="H326" s="40"/>
      <c r="I326" s="40">
        <v>184</v>
      </c>
      <c r="J326" s="40">
        <v>124</v>
      </c>
      <c r="K326" s="40">
        <v>68</v>
      </c>
      <c r="L326" s="1061">
        <v>52</v>
      </c>
    </row>
    <row r="327" spans="1:12" x14ac:dyDescent="0.25">
      <c r="A327" s="1413"/>
      <c r="B327" s="1272"/>
      <c r="C327" s="1309"/>
      <c r="D327" s="147" t="s">
        <v>436</v>
      </c>
      <c r="E327" s="28"/>
      <c r="F327" s="28"/>
      <c r="G327" s="28"/>
      <c r="H327" s="28"/>
      <c r="I327" s="28">
        <v>61</v>
      </c>
      <c r="J327" s="28">
        <v>41</v>
      </c>
      <c r="K327" s="28">
        <v>29</v>
      </c>
      <c r="L327" s="1061">
        <v>21</v>
      </c>
    </row>
    <row r="328" spans="1:12" x14ac:dyDescent="0.25">
      <c r="A328" s="1413"/>
      <c r="B328" s="1272"/>
      <c r="C328" s="1309"/>
      <c r="D328" s="28" t="s">
        <v>437</v>
      </c>
      <c r="E328" s="28"/>
      <c r="F328" s="28"/>
      <c r="G328" s="28"/>
      <c r="H328" s="28"/>
      <c r="I328" s="28">
        <v>123</v>
      </c>
      <c r="J328" s="28">
        <v>83</v>
      </c>
      <c r="K328" s="28">
        <v>39</v>
      </c>
      <c r="L328" s="1061">
        <v>31</v>
      </c>
    </row>
    <row r="329" spans="1:12" x14ac:dyDescent="0.25">
      <c r="A329" s="1413"/>
      <c r="B329" s="1272"/>
      <c r="C329" s="1309"/>
      <c r="D329" s="148" t="s">
        <v>353</v>
      </c>
      <c r="E329" s="44"/>
      <c r="F329" s="44"/>
      <c r="G329" s="44"/>
      <c r="H329" s="44"/>
      <c r="I329" s="157">
        <f>I328-I327</f>
        <v>62</v>
      </c>
      <c r="J329" s="157">
        <f>J328-J327</f>
        <v>42</v>
      </c>
      <c r="K329" s="157">
        <f>K328-K327</f>
        <v>10</v>
      </c>
      <c r="L329" s="157">
        <f>L328-L327</f>
        <v>10</v>
      </c>
    </row>
    <row r="330" spans="1:12" x14ac:dyDescent="0.25">
      <c r="A330" s="1413"/>
      <c r="B330" s="1272"/>
      <c r="C330" s="1309"/>
      <c r="D330" s="148" t="s">
        <v>270</v>
      </c>
      <c r="E330" s="44"/>
      <c r="F330" s="44"/>
      <c r="G330" s="44"/>
      <c r="H330" s="44"/>
      <c r="I330" s="158">
        <f>I328/I326*100</f>
        <v>66.847826086956516</v>
      </c>
      <c r="J330" s="158">
        <f>J328/J326*100</f>
        <v>66.935483870967744</v>
      </c>
      <c r="K330" s="158">
        <f>K328/K326*100</f>
        <v>57.352941176470587</v>
      </c>
      <c r="L330" s="158">
        <f>L328/L326*100</f>
        <v>59.615384615384613</v>
      </c>
    </row>
    <row r="331" spans="1:12" x14ac:dyDescent="0.25">
      <c r="A331" s="1413"/>
      <c r="B331" s="1272"/>
      <c r="C331" s="1309" t="s">
        <v>438</v>
      </c>
      <c r="D331" s="149" t="s">
        <v>435</v>
      </c>
      <c r="E331" s="44"/>
      <c r="F331" s="44"/>
      <c r="G331" s="44"/>
      <c r="H331" s="44"/>
      <c r="I331" s="44">
        <v>524</v>
      </c>
      <c r="J331" s="44">
        <v>199</v>
      </c>
      <c r="K331" s="44">
        <v>67</v>
      </c>
      <c r="L331" s="1061">
        <v>101</v>
      </c>
    </row>
    <row r="332" spans="1:12" x14ac:dyDescent="0.25">
      <c r="A332" s="1413"/>
      <c r="B332" s="1272"/>
      <c r="C332" s="1309"/>
      <c r="D332" s="147" t="s">
        <v>436</v>
      </c>
      <c r="E332" s="28"/>
      <c r="F332" s="28"/>
      <c r="G332" s="28"/>
      <c r="H332" s="28"/>
      <c r="I332" s="28">
        <v>185</v>
      </c>
      <c r="J332" s="28">
        <v>67</v>
      </c>
      <c r="K332" s="28">
        <v>23</v>
      </c>
      <c r="L332" s="1061">
        <v>44</v>
      </c>
    </row>
    <row r="333" spans="1:12" x14ac:dyDescent="0.25">
      <c r="A333" s="1413"/>
      <c r="B333" s="1272"/>
      <c r="C333" s="1309"/>
      <c r="D333" s="28" t="s">
        <v>437</v>
      </c>
      <c r="E333" s="28"/>
      <c r="F333" s="28"/>
      <c r="G333" s="28"/>
      <c r="H333" s="28"/>
      <c r="I333" s="28">
        <v>339</v>
      </c>
      <c r="J333" s="28">
        <v>132</v>
      </c>
      <c r="K333" s="28">
        <v>44</v>
      </c>
      <c r="L333" s="1061">
        <v>57</v>
      </c>
    </row>
    <row r="334" spans="1:12" x14ac:dyDescent="0.25">
      <c r="A334" s="1413"/>
      <c r="B334" s="1272"/>
      <c r="C334" s="1309"/>
      <c r="D334" s="148" t="s">
        <v>353</v>
      </c>
      <c r="E334" s="44"/>
      <c r="F334" s="44"/>
      <c r="G334" s="44"/>
      <c r="H334" s="44"/>
      <c r="I334" s="157">
        <f>I333-I332</f>
        <v>154</v>
      </c>
      <c r="J334" s="157">
        <f>J333-J332</f>
        <v>65</v>
      </c>
      <c r="K334" s="157">
        <f>K333-K332</f>
        <v>21</v>
      </c>
      <c r="L334" s="157">
        <f>L333-L332</f>
        <v>13</v>
      </c>
    </row>
    <row r="335" spans="1:12" ht="16.5" thickBot="1" x14ac:dyDescent="0.3">
      <c r="A335" s="1413"/>
      <c r="B335" s="1409"/>
      <c r="C335" s="1416"/>
      <c r="D335" s="217" t="s">
        <v>270</v>
      </c>
      <c r="E335" s="203"/>
      <c r="F335" s="203"/>
      <c r="G335" s="203"/>
      <c r="H335" s="203"/>
      <c r="I335" s="161">
        <f>I333/I331*100</f>
        <v>64.694656488549612</v>
      </c>
      <c r="J335" s="161">
        <f>J333/J331*100</f>
        <v>66.331658291457288</v>
      </c>
      <c r="K335" s="161">
        <f>K333/K331*100</f>
        <v>65.671641791044777</v>
      </c>
      <c r="L335" s="161">
        <f>L333/L331*100</f>
        <v>56.435643564356432</v>
      </c>
    </row>
    <row r="336" spans="1:12" ht="15" customHeight="1" x14ac:dyDescent="0.25">
      <c r="A336" s="1413"/>
      <c r="B336" s="1408" t="s">
        <v>180</v>
      </c>
      <c r="C336" s="1147" t="s">
        <v>435</v>
      </c>
      <c r="D336" s="1147"/>
      <c r="E336" s="40"/>
      <c r="F336" s="40"/>
      <c r="G336" s="40"/>
      <c r="H336" s="195">
        <v>44165</v>
      </c>
      <c r="I336" s="195">
        <v>42505</v>
      </c>
      <c r="J336" s="195">
        <v>43452</v>
      </c>
      <c r="K336" s="195">
        <v>44131</v>
      </c>
      <c r="L336" s="20"/>
    </row>
    <row r="337" spans="1:14" x14ac:dyDescent="0.25">
      <c r="A337" s="1413"/>
      <c r="B337" s="1272"/>
      <c r="C337" s="1124" t="s">
        <v>436</v>
      </c>
      <c r="D337" s="1124"/>
      <c r="E337" s="28"/>
      <c r="F337" s="28"/>
      <c r="G337" s="28"/>
      <c r="H337" s="96">
        <v>17112</v>
      </c>
      <c r="I337" s="96">
        <v>16439</v>
      </c>
      <c r="J337" s="96">
        <v>16565</v>
      </c>
      <c r="K337" s="96">
        <v>16773</v>
      </c>
      <c r="L337" s="21"/>
    </row>
    <row r="338" spans="1:14" x14ac:dyDescent="0.25">
      <c r="A338" s="1413"/>
      <c r="B338" s="1272"/>
      <c r="C338" s="1124" t="s">
        <v>437</v>
      </c>
      <c r="D338" s="1124"/>
      <c r="E338" s="28"/>
      <c r="F338" s="28"/>
      <c r="G338" s="28"/>
      <c r="H338" s="96">
        <v>27053</v>
      </c>
      <c r="I338" s="96">
        <v>26066</v>
      </c>
      <c r="J338" s="96">
        <v>26887</v>
      </c>
      <c r="K338" s="96">
        <v>27358</v>
      </c>
      <c r="L338" s="21"/>
    </row>
    <row r="339" spans="1:14" x14ac:dyDescent="0.25">
      <c r="A339" s="1413"/>
      <c r="B339" s="1272"/>
      <c r="C339" s="1112" t="s">
        <v>353</v>
      </c>
      <c r="D339" s="1112"/>
      <c r="E339" s="28"/>
      <c r="F339" s="28"/>
      <c r="G339" s="28"/>
      <c r="H339" s="157">
        <f>H338-H337</f>
        <v>9941</v>
      </c>
      <c r="I339" s="157">
        <f>I338-I337</f>
        <v>9627</v>
      </c>
      <c r="J339" s="157">
        <f>J338-J337</f>
        <v>10322</v>
      </c>
      <c r="K339" s="157">
        <f>K338-K337</f>
        <v>10585</v>
      </c>
      <c r="L339" s="21"/>
    </row>
    <row r="340" spans="1:14" x14ac:dyDescent="0.25">
      <c r="A340" s="1413"/>
      <c r="B340" s="1273"/>
      <c r="C340" s="1178" t="s">
        <v>270</v>
      </c>
      <c r="D340" s="1178"/>
      <c r="E340" s="110"/>
      <c r="F340" s="110"/>
      <c r="G340" s="110"/>
      <c r="H340" s="165">
        <f>H338/H336*100</f>
        <v>61.25438695799842</v>
      </c>
      <c r="I340" s="165">
        <f>I338/I336*100</f>
        <v>61.324550052934946</v>
      </c>
      <c r="J340" s="165">
        <f>J338/J336*100</f>
        <v>61.877473994292551</v>
      </c>
      <c r="K340" s="165">
        <f>K338/K336*100</f>
        <v>61.992703541728034</v>
      </c>
      <c r="L340" s="53"/>
    </row>
    <row r="341" spans="1:14" ht="16.5" thickBot="1" x14ac:dyDescent="0.3">
      <c r="A341" s="338" t="s">
        <v>248</v>
      </c>
      <c r="B341" s="463" t="s">
        <v>249</v>
      </c>
      <c r="C341" s="1433"/>
      <c r="D341" s="1433"/>
      <c r="E341" s="616">
        <v>2005</v>
      </c>
      <c r="F341" s="616">
        <v>2010</v>
      </c>
      <c r="G341" s="616">
        <v>2015</v>
      </c>
      <c r="H341" s="616">
        <v>2020</v>
      </c>
      <c r="I341" s="616">
        <v>2021</v>
      </c>
      <c r="J341" s="616">
        <v>2022</v>
      </c>
      <c r="K341" s="616">
        <v>2023</v>
      </c>
      <c r="L341" s="616">
        <v>2024</v>
      </c>
    </row>
    <row r="342" spans="1:14" x14ac:dyDescent="0.25">
      <c r="A342" s="1732" t="s">
        <v>439</v>
      </c>
      <c r="B342" s="1612" t="s">
        <v>440</v>
      </c>
      <c r="C342" s="1250" t="s">
        <v>251</v>
      </c>
      <c r="D342" s="1250"/>
      <c r="E342" s="585">
        <v>82.7</v>
      </c>
      <c r="F342" s="586">
        <v>84.4</v>
      </c>
      <c r="G342" s="586">
        <v>84.6</v>
      </c>
      <c r="H342" s="586">
        <v>82.4</v>
      </c>
      <c r="I342" s="586">
        <v>85.3</v>
      </c>
      <c r="J342" s="587">
        <v>85.510971709963599</v>
      </c>
      <c r="K342" s="453">
        <v>86</v>
      </c>
      <c r="L342" s="108"/>
      <c r="M342" s="326"/>
      <c r="N342" s="326"/>
    </row>
    <row r="343" spans="1:14" x14ac:dyDescent="0.25">
      <c r="A343" s="1733"/>
      <c r="B343" s="1613"/>
      <c r="C343" s="1236" t="s">
        <v>257</v>
      </c>
      <c r="D343" s="1236"/>
      <c r="E343" s="580">
        <v>79.3</v>
      </c>
      <c r="F343" s="581">
        <v>81.2</v>
      </c>
      <c r="G343" s="581">
        <v>81.5</v>
      </c>
      <c r="H343" s="581">
        <v>78.900000000000006</v>
      </c>
      <c r="I343" s="581">
        <v>82.1</v>
      </c>
      <c r="J343" s="582">
        <v>82.529493615448487</v>
      </c>
      <c r="K343" s="403">
        <v>82.9</v>
      </c>
      <c r="L343" s="21"/>
    </row>
    <row r="344" spans="1:14" x14ac:dyDescent="0.25">
      <c r="A344" s="1733"/>
      <c r="B344" s="1613"/>
      <c r="C344" s="1236" t="s">
        <v>263</v>
      </c>
      <c r="D344" s="1236"/>
      <c r="E344" s="580">
        <v>85.9</v>
      </c>
      <c r="F344" s="581">
        <v>87.1</v>
      </c>
      <c r="G344" s="581">
        <v>87.3</v>
      </c>
      <c r="H344" s="581">
        <v>85.7</v>
      </c>
      <c r="I344" s="581">
        <v>88</v>
      </c>
      <c r="J344" s="582">
        <v>88.021700801889082</v>
      </c>
      <c r="K344" s="403">
        <v>88.6</v>
      </c>
      <c r="L344" s="21"/>
    </row>
    <row r="345" spans="1:14" ht="16.5" thickBot="1" x14ac:dyDescent="0.3">
      <c r="A345" s="1733"/>
      <c r="B345" s="1614"/>
      <c r="C345" s="1243" t="s">
        <v>441</v>
      </c>
      <c r="D345" s="1243"/>
      <c r="E345" s="588">
        <f t="shared" ref="E345:K345" si="20">+E344-E343</f>
        <v>6.6000000000000085</v>
      </c>
      <c r="F345" s="588">
        <f t="shared" si="20"/>
        <v>5.8999999999999915</v>
      </c>
      <c r="G345" s="588">
        <f t="shared" si="20"/>
        <v>5.7999999999999972</v>
      </c>
      <c r="H345" s="588">
        <f t="shared" si="20"/>
        <v>6.7999999999999972</v>
      </c>
      <c r="I345" s="588">
        <f t="shared" si="20"/>
        <v>5.9000000000000057</v>
      </c>
      <c r="J345" s="588">
        <f t="shared" si="20"/>
        <v>5.492207186440595</v>
      </c>
      <c r="K345" s="588">
        <f t="shared" si="20"/>
        <v>5.6999999999999886</v>
      </c>
      <c r="L345" s="22"/>
    </row>
    <row r="346" spans="1:14" x14ac:dyDescent="0.25">
      <c r="A346" s="1733"/>
      <c r="B346" s="1612" t="s">
        <v>192</v>
      </c>
      <c r="C346" s="1765" t="s">
        <v>251</v>
      </c>
      <c r="D346" s="1765"/>
      <c r="E346" s="585"/>
      <c r="F346" s="590"/>
      <c r="G346" s="591">
        <v>13886</v>
      </c>
      <c r="H346" s="591">
        <v>16184</v>
      </c>
      <c r="I346" s="591">
        <v>16088</v>
      </c>
      <c r="J346" s="547">
        <v>16754</v>
      </c>
      <c r="K346" s="195">
        <v>14905</v>
      </c>
      <c r="L346" s="20"/>
    </row>
    <row r="347" spans="1:14" x14ac:dyDescent="0.25">
      <c r="A347" s="1733"/>
      <c r="B347" s="1613"/>
      <c r="C347" s="1236" t="s">
        <v>257</v>
      </c>
      <c r="D347" s="1236"/>
      <c r="E347" s="580"/>
      <c r="F347" s="583"/>
      <c r="G347" s="584">
        <v>6722</v>
      </c>
      <c r="H347" s="584">
        <v>7742</v>
      </c>
      <c r="I347" s="584">
        <v>7673</v>
      </c>
      <c r="J347" s="404">
        <v>8006</v>
      </c>
      <c r="K347" s="96">
        <v>6997</v>
      </c>
      <c r="L347" s="21"/>
    </row>
    <row r="348" spans="1:14" x14ac:dyDescent="0.25">
      <c r="A348" s="1733"/>
      <c r="B348" s="1613"/>
      <c r="C348" s="1236" t="s">
        <v>263</v>
      </c>
      <c r="D348" s="1236"/>
      <c r="E348" s="580"/>
      <c r="F348" s="583"/>
      <c r="G348" s="584">
        <v>7164</v>
      </c>
      <c r="H348" s="584">
        <v>8442</v>
      </c>
      <c r="I348" s="584">
        <v>8415</v>
      </c>
      <c r="J348" s="404">
        <v>8748</v>
      </c>
      <c r="K348" s="96">
        <v>7908</v>
      </c>
      <c r="L348" s="21"/>
    </row>
    <row r="349" spans="1:14" ht="16.5" thickBot="1" x14ac:dyDescent="0.3">
      <c r="A349" s="1734"/>
      <c r="B349" s="1687"/>
      <c r="C349" s="1142" t="s">
        <v>270</v>
      </c>
      <c r="D349" s="1142"/>
      <c r="E349" s="816"/>
      <c r="F349" s="816"/>
      <c r="G349" s="525">
        <f>G348/G346*100</f>
        <v>51.591531038455997</v>
      </c>
      <c r="H349" s="525">
        <f>H348/H346*100</f>
        <v>52.162629757785474</v>
      </c>
      <c r="I349" s="525">
        <f>I348/I346*100</f>
        <v>52.30606663351567</v>
      </c>
      <c r="J349" s="525">
        <f>J348/J346*100</f>
        <v>52.21439656201504</v>
      </c>
      <c r="K349" s="525">
        <f>K348/K346*100</f>
        <v>53.056021469305605</v>
      </c>
      <c r="L349" s="53"/>
    </row>
    <row r="350" spans="1:14" ht="16.5" thickBot="1" x14ac:dyDescent="0.3">
      <c r="A350" s="362" t="s">
        <v>248</v>
      </c>
      <c r="B350" s="821" t="s">
        <v>249</v>
      </c>
      <c r="C350" s="1703"/>
      <c r="D350" s="1703"/>
      <c r="E350" s="120"/>
      <c r="F350" s="120" t="s">
        <v>443</v>
      </c>
      <c r="G350" s="120" t="s">
        <v>444</v>
      </c>
      <c r="H350" s="120" t="s">
        <v>445</v>
      </c>
      <c r="I350" s="120" t="s">
        <v>446</v>
      </c>
      <c r="J350" s="120" t="s">
        <v>447</v>
      </c>
      <c r="K350" s="120" t="s">
        <v>448</v>
      </c>
      <c r="L350" s="121" t="s">
        <v>449</v>
      </c>
    </row>
    <row r="351" spans="1:14" x14ac:dyDescent="0.25">
      <c r="A351" s="1771" t="s">
        <v>450</v>
      </c>
      <c r="B351" s="1244" t="s">
        <v>199</v>
      </c>
      <c r="C351" s="1347" t="s">
        <v>451</v>
      </c>
      <c r="D351" s="430" t="s">
        <v>435</v>
      </c>
      <c r="E351" s="225"/>
      <c r="F351" s="195">
        <v>14988</v>
      </c>
      <c r="G351" s="195">
        <v>12851</v>
      </c>
      <c r="H351" s="195">
        <v>11842</v>
      </c>
      <c r="I351" s="195">
        <v>11382</v>
      </c>
      <c r="J351" s="195">
        <v>11151</v>
      </c>
      <c r="K351" s="195">
        <v>11319</v>
      </c>
      <c r="L351" s="20"/>
    </row>
    <row r="352" spans="1:14" x14ac:dyDescent="0.25">
      <c r="A352" s="1772"/>
      <c r="B352" s="1245"/>
      <c r="C352" s="1348"/>
      <c r="D352" s="428" t="s">
        <v>436</v>
      </c>
      <c r="E352" s="96"/>
      <c r="F352" s="96">
        <v>7685</v>
      </c>
      <c r="G352" s="96">
        <v>6533</v>
      </c>
      <c r="H352" s="96">
        <v>6108</v>
      </c>
      <c r="I352" s="96">
        <v>5941</v>
      </c>
      <c r="J352" s="96">
        <v>5818</v>
      </c>
      <c r="K352" s="96">
        <v>5821</v>
      </c>
      <c r="L352" s="21"/>
    </row>
    <row r="353" spans="1:12" x14ac:dyDescent="0.25">
      <c r="A353" s="1772"/>
      <c r="B353" s="1245"/>
      <c r="C353" s="1348"/>
      <c r="D353" s="428" t="s">
        <v>437</v>
      </c>
      <c r="E353" s="96"/>
      <c r="F353" s="96">
        <v>7303</v>
      </c>
      <c r="G353" s="96">
        <v>6318</v>
      </c>
      <c r="H353" s="96">
        <v>5734</v>
      </c>
      <c r="I353" s="96">
        <v>5441</v>
      </c>
      <c r="J353" s="96">
        <v>5333</v>
      </c>
      <c r="K353" s="96">
        <v>5498</v>
      </c>
      <c r="L353" s="21"/>
    </row>
    <row r="354" spans="1:12" ht="15" customHeight="1" x14ac:dyDescent="0.25">
      <c r="A354" s="1772"/>
      <c r="B354" s="1245"/>
      <c r="C354" s="1348" t="s">
        <v>452</v>
      </c>
      <c r="D354" s="427" t="s">
        <v>435</v>
      </c>
      <c r="E354" s="96"/>
      <c r="F354" s="157">
        <v>8729</v>
      </c>
      <c r="G354" s="157">
        <v>7834</v>
      </c>
      <c r="H354" s="157">
        <v>6915</v>
      </c>
      <c r="I354" s="157">
        <v>6843</v>
      </c>
      <c r="J354" s="157">
        <v>6931</v>
      </c>
      <c r="K354" s="157">
        <f>SUM(K355:K356)</f>
        <v>6735</v>
      </c>
      <c r="L354" s="21"/>
    </row>
    <row r="355" spans="1:12" x14ac:dyDescent="0.25">
      <c r="A355" s="1772"/>
      <c r="B355" s="1245"/>
      <c r="C355" s="1348"/>
      <c r="D355" s="428" t="s">
        <v>436</v>
      </c>
      <c r="E355" s="96"/>
      <c r="F355" s="96">
        <v>4458</v>
      </c>
      <c r="G355" s="96">
        <v>3966</v>
      </c>
      <c r="H355" s="96">
        <v>3671</v>
      </c>
      <c r="I355" s="96">
        <v>3590</v>
      </c>
      <c r="J355" s="96">
        <v>3629</v>
      </c>
      <c r="K355" s="157">
        <v>3420</v>
      </c>
      <c r="L355" s="21"/>
    </row>
    <row r="356" spans="1:12" ht="16.5" thickBot="1" x14ac:dyDescent="0.3">
      <c r="A356" s="1772"/>
      <c r="B356" s="1245"/>
      <c r="C356" s="1349"/>
      <c r="D356" s="431" t="s">
        <v>437</v>
      </c>
      <c r="E356" s="190"/>
      <c r="F356" s="190">
        <v>4271</v>
      </c>
      <c r="G356" s="190">
        <v>3868</v>
      </c>
      <c r="H356" s="190">
        <v>3244</v>
      </c>
      <c r="I356" s="190">
        <v>3253</v>
      </c>
      <c r="J356" s="190">
        <v>3302</v>
      </c>
      <c r="K356" s="197">
        <v>3315</v>
      </c>
      <c r="L356" s="22"/>
    </row>
    <row r="357" spans="1:12" x14ac:dyDescent="0.25">
      <c r="A357" s="1772"/>
      <c r="B357" s="1245"/>
      <c r="C357" s="1352" t="s">
        <v>453</v>
      </c>
      <c r="D357" s="1250"/>
      <c r="E357" s="195"/>
      <c r="F357" s="37">
        <f>+(F354/F351)*100</f>
        <v>58.239925273552174</v>
      </c>
      <c r="G357" s="37">
        <f t="shared" ref="G357:J357" si="21">+(G354/G351)*100</f>
        <v>60.960236557466338</v>
      </c>
      <c r="H357" s="37">
        <f t="shared" si="21"/>
        <v>58.393852389799015</v>
      </c>
      <c r="I357" s="37">
        <f t="shared" si="21"/>
        <v>60.121244069583554</v>
      </c>
      <c r="J357" s="37">
        <f t="shared" si="21"/>
        <v>62.155860460945213</v>
      </c>
      <c r="K357" s="37">
        <f>+(K354/K351)*100</f>
        <v>59.501722767028888</v>
      </c>
      <c r="L357" s="20"/>
    </row>
    <row r="358" spans="1:12" ht="15" customHeight="1" x14ac:dyDescent="0.25">
      <c r="A358" s="1772"/>
      <c r="B358" s="1245"/>
      <c r="C358" s="1363" t="s">
        <v>454</v>
      </c>
      <c r="D358" s="1236"/>
      <c r="E358" s="28"/>
      <c r="F358" s="187">
        <f>F355/F352*100</f>
        <v>58.009108653220565</v>
      </c>
      <c r="G358" s="187">
        <f t="shared" ref="G358:I358" si="22">G355/G352*100</f>
        <v>60.707178937700903</v>
      </c>
      <c r="H358" s="187">
        <f t="shared" si="22"/>
        <v>60.101506221349055</v>
      </c>
      <c r="I358" s="187">
        <f t="shared" si="22"/>
        <v>60.427537451607471</v>
      </c>
      <c r="J358" s="187">
        <f>J355/J352*100</f>
        <v>62.375386730835338</v>
      </c>
      <c r="K358" s="187">
        <f>K355/K352*100</f>
        <v>58.752791616560728</v>
      </c>
      <c r="L358" s="21"/>
    </row>
    <row r="359" spans="1:12" ht="15" customHeight="1" x14ac:dyDescent="0.25">
      <c r="A359" s="1772"/>
      <c r="B359" s="1245"/>
      <c r="C359" s="1363" t="s">
        <v>455</v>
      </c>
      <c r="D359" s="1236"/>
      <c r="E359" s="28"/>
      <c r="F359" s="187">
        <f>F356/F353*100</f>
        <v>58.482815281391211</v>
      </c>
      <c r="G359" s="187">
        <f t="shared" ref="G359:I359" si="23">G356/G353*100</f>
        <v>61.221905666350111</v>
      </c>
      <c r="H359" s="187">
        <f t="shared" si="23"/>
        <v>56.57481688175794</v>
      </c>
      <c r="I359" s="187">
        <f t="shared" si="23"/>
        <v>59.78680389634259</v>
      </c>
      <c r="J359" s="187">
        <f>J356/J353*100</f>
        <v>61.916369773110823</v>
      </c>
      <c r="K359" s="187">
        <f>K356/K353*100</f>
        <v>60.294652600945795</v>
      </c>
      <c r="L359" s="21"/>
    </row>
    <row r="360" spans="1:12" x14ac:dyDescent="0.25">
      <c r="A360" s="1773"/>
      <c r="B360" s="1428"/>
      <c r="C360" s="1383" t="s">
        <v>354</v>
      </c>
      <c r="D360" s="1384"/>
      <c r="E360" s="336"/>
      <c r="F360" s="454">
        <f>+F359-F358</f>
        <v>0.47370662817064613</v>
      </c>
      <c r="G360" s="593">
        <f t="shared" ref="G360:I360" si="24">+G359-G358</f>
        <v>0.5147267286492081</v>
      </c>
      <c r="H360" s="349">
        <f t="shared" si="24"/>
        <v>-3.5266893395911154</v>
      </c>
      <c r="I360" s="349">
        <f t="shared" si="24"/>
        <v>-0.64073355526488029</v>
      </c>
      <c r="J360" s="349">
        <f>+J359-J358</f>
        <v>-0.4590169577245149</v>
      </c>
      <c r="K360" s="349">
        <f>+K359-K358</f>
        <v>1.5418609843850675</v>
      </c>
      <c r="L360" s="53"/>
    </row>
    <row r="361" spans="1:12" ht="16.5" thickBot="1" x14ac:dyDescent="0.3">
      <c r="A361" s="338" t="s">
        <v>248</v>
      </c>
      <c r="B361" s="463" t="s">
        <v>249</v>
      </c>
      <c r="C361" s="1433"/>
      <c r="D361" s="1433"/>
      <c r="E361" s="616" t="s">
        <v>442</v>
      </c>
      <c r="F361" s="616" t="s">
        <v>443</v>
      </c>
      <c r="G361" s="616" t="s">
        <v>444</v>
      </c>
      <c r="H361" s="616" t="s">
        <v>445</v>
      </c>
      <c r="I361" s="616" t="s">
        <v>446</v>
      </c>
      <c r="J361" s="616" t="s">
        <v>447</v>
      </c>
      <c r="K361" s="616" t="s">
        <v>448</v>
      </c>
      <c r="L361" s="616" t="s">
        <v>449</v>
      </c>
    </row>
    <row r="362" spans="1:12" x14ac:dyDescent="0.25">
      <c r="A362" s="1774" t="s">
        <v>456</v>
      </c>
      <c r="B362" s="1150" t="s">
        <v>457</v>
      </c>
      <c r="C362" s="1347" t="s">
        <v>458</v>
      </c>
      <c r="D362" s="229" t="s">
        <v>459</v>
      </c>
      <c r="E362" s="225" t="s">
        <v>460</v>
      </c>
      <c r="F362" s="195">
        <v>2657</v>
      </c>
      <c r="G362" s="195">
        <v>2641</v>
      </c>
      <c r="H362" s="195">
        <v>2802</v>
      </c>
      <c r="I362" s="195">
        <v>2725</v>
      </c>
      <c r="J362" s="195">
        <v>2713</v>
      </c>
      <c r="K362" s="1002">
        <v>2589</v>
      </c>
      <c r="L362" s="20"/>
    </row>
    <row r="363" spans="1:12" ht="14.1" customHeight="1" x14ac:dyDescent="0.25">
      <c r="A363" s="1775"/>
      <c r="B363" s="1151"/>
      <c r="C363" s="1348"/>
      <c r="D363" s="227" t="s">
        <v>436</v>
      </c>
      <c r="E363" s="96"/>
      <c r="F363" s="96">
        <v>1329</v>
      </c>
      <c r="G363" s="96">
        <v>1313</v>
      </c>
      <c r="H363" s="96">
        <v>1359</v>
      </c>
      <c r="I363" s="96">
        <v>1315</v>
      </c>
      <c r="J363" s="96">
        <v>1302</v>
      </c>
      <c r="K363" s="972">
        <v>1213</v>
      </c>
      <c r="L363" s="21"/>
    </row>
    <row r="364" spans="1:12" x14ac:dyDescent="0.25">
      <c r="A364" s="1775"/>
      <c r="B364" s="1151"/>
      <c r="C364" s="1348"/>
      <c r="D364" s="227" t="s">
        <v>437</v>
      </c>
      <c r="E364" s="96"/>
      <c r="F364" s="96">
        <v>1328</v>
      </c>
      <c r="G364" s="96">
        <v>1328</v>
      </c>
      <c r="H364" s="96">
        <v>1443</v>
      </c>
      <c r="I364" s="96">
        <v>1410</v>
      </c>
      <c r="J364" s="96">
        <v>1411</v>
      </c>
      <c r="K364" s="972">
        <v>1372</v>
      </c>
      <c r="L364" s="21"/>
    </row>
    <row r="365" spans="1:12" ht="15" customHeight="1" x14ac:dyDescent="0.25">
      <c r="A365" s="1775"/>
      <c r="B365" s="1151"/>
      <c r="C365" s="1348" t="s">
        <v>461</v>
      </c>
      <c r="D365" s="226" t="s">
        <v>459</v>
      </c>
      <c r="E365" s="157"/>
      <c r="F365" s="157">
        <v>1236</v>
      </c>
      <c r="G365" s="157">
        <f>570+706</f>
        <v>1276</v>
      </c>
      <c r="H365" s="157">
        <v>1420</v>
      </c>
      <c r="I365" s="157">
        <v>1383</v>
      </c>
      <c r="J365" s="157">
        <f>712+649</f>
        <v>1361</v>
      </c>
      <c r="K365" s="972">
        <v>1377</v>
      </c>
      <c r="L365" s="21"/>
    </row>
    <row r="366" spans="1:12" x14ac:dyDescent="0.25">
      <c r="A366" s="1775"/>
      <c r="B366" s="1151"/>
      <c r="C366" s="1348"/>
      <c r="D366" s="227" t="s">
        <v>436</v>
      </c>
      <c r="E366" s="96"/>
      <c r="F366" s="96">
        <v>708</v>
      </c>
      <c r="G366" s="96">
        <f>325+394</f>
        <v>719</v>
      </c>
      <c r="H366" s="96">
        <v>763</v>
      </c>
      <c r="I366" s="96">
        <v>739</v>
      </c>
      <c r="J366" s="96">
        <f>372+340</f>
        <v>712</v>
      </c>
      <c r="K366" s="972">
        <v>719</v>
      </c>
      <c r="L366" s="21"/>
    </row>
    <row r="367" spans="1:12" ht="16.5" thickBot="1" x14ac:dyDescent="0.3">
      <c r="A367" s="1775"/>
      <c r="B367" s="1151"/>
      <c r="C367" s="1349"/>
      <c r="D367" s="239" t="s">
        <v>437</v>
      </c>
      <c r="E367" s="190"/>
      <c r="F367" s="190">
        <v>528</v>
      </c>
      <c r="G367" s="190">
        <f>245+312</f>
        <v>557</v>
      </c>
      <c r="H367" s="190">
        <v>657</v>
      </c>
      <c r="I367" s="190">
        <v>644</v>
      </c>
      <c r="J367" s="190">
        <f>340+309</f>
        <v>649</v>
      </c>
      <c r="K367" s="998">
        <v>658</v>
      </c>
      <c r="L367" s="22"/>
    </row>
    <row r="368" spans="1:12" x14ac:dyDescent="0.25">
      <c r="A368" s="1775"/>
      <c r="B368" s="1151"/>
      <c r="C368" s="1389" t="s">
        <v>462</v>
      </c>
      <c r="D368" s="1390"/>
      <c r="E368" s="225"/>
      <c r="F368" s="283">
        <f>F366/F363*100</f>
        <v>53.273137697516923</v>
      </c>
      <c r="G368" s="283">
        <f t="shared" ref="G368:I369" si="25">G366/G363*100</f>
        <v>54.760091393754763</v>
      </c>
      <c r="H368" s="283">
        <f t="shared" si="25"/>
        <v>56.14422369389257</v>
      </c>
      <c r="I368" s="283">
        <f t="shared" si="25"/>
        <v>56.197718631178702</v>
      </c>
      <c r="J368" s="283">
        <f>J366/J363*100</f>
        <v>54.685099846390173</v>
      </c>
      <c r="K368" s="283">
        <f>K366/K363*100</f>
        <v>59.274525968672705</v>
      </c>
      <c r="L368" s="20"/>
    </row>
    <row r="369" spans="1:12" x14ac:dyDescent="0.25">
      <c r="A369" s="1775"/>
      <c r="B369" s="1151"/>
      <c r="C369" s="1123" t="s">
        <v>463</v>
      </c>
      <c r="D369" s="1124"/>
      <c r="E369" s="96"/>
      <c r="F369" s="29">
        <f>F367/F364*100</f>
        <v>39.75903614457831</v>
      </c>
      <c r="G369" s="29">
        <f t="shared" si="25"/>
        <v>41.942771084337352</v>
      </c>
      <c r="H369" s="29">
        <f t="shared" si="25"/>
        <v>45.530145530145532</v>
      </c>
      <c r="I369" s="29">
        <f t="shared" si="25"/>
        <v>45.673758865248224</v>
      </c>
      <c r="J369" s="29">
        <f>J367/J364*100</f>
        <v>45.995747696669028</v>
      </c>
      <c r="K369" s="29">
        <f>K367/K364*100</f>
        <v>47.959183673469383</v>
      </c>
      <c r="L369" s="21"/>
    </row>
    <row r="370" spans="1:12" ht="16.5" thickBot="1" x14ac:dyDescent="0.3">
      <c r="A370" s="1775"/>
      <c r="B370" s="1152"/>
      <c r="C370" s="1125" t="s">
        <v>354</v>
      </c>
      <c r="D370" s="1126"/>
      <c r="E370" s="33"/>
      <c r="F370" s="161">
        <f>+F369-F368</f>
        <v>-13.514101552938612</v>
      </c>
      <c r="G370" s="161">
        <f t="shared" ref="G370:I370" si="26">+G369-G368</f>
        <v>-12.817320309417411</v>
      </c>
      <c r="H370" s="161">
        <f t="shared" si="26"/>
        <v>-10.614078163747038</v>
      </c>
      <c r="I370" s="161">
        <f t="shared" si="26"/>
        <v>-10.523959765930478</v>
      </c>
      <c r="J370" s="161">
        <f>+J369-J368</f>
        <v>-8.6893521497211452</v>
      </c>
      <c r="K370" s="161">
        <f>+K369-K368</f>
        <v>-11.315342295203322</v>
      </c>
      <c r="L370" s="22"/>
    </row>
    <row r="371" spans="1:12" ht="16.5" thickBot="1" x14ac:dyDescent="0.3">
      <c r="A371" s="1775"/>
      <c r="B371" s="463" t="s">
        <v>249</v>
      </c>
      <c r="C371" s="1433"/>
      <c r="D371" s="1433"/>
      <c r="E371" s="616" t="s">
        <v>442</v>
      </c>
      <c r="F371" s="616" t="s">
        <v>443</v>
      </c>
      <c r="G371" s="616" t="s">
        <v>444</v>
      </c>
      <c r="H371" s="616" t="s">
        <v>445</v>
      </c>
      <c r="I371" s="616" t="s">
        <v>446</v>
      </c>
      <c r="J371" s="616" t="s">
        <v>447</v>
      </c>
      <c r="K371" s="616" t="s">
        <v>448</v>
      </c>
      <c r="L371" s="616" t="s">
        <v>449</v>
      </c>
    </row>
    <row r="372" spans="1:12" ht="15" customHeight="1" x14ac:dyDescent="0.25">
      <c r="A372" s="1775"/>
      <c r="B372" s="1150" t="s">
        <v>464</v>
      </c>
      <c r="C372" s="1205" t="s">
        <v>459</v>
      </c>
      <c r="D372" s="1206"/>
      <c r="E372" s="36"/>
      <c r="F372" s="195">
        <v>1390</v>
      </c>
      <c r="G372" s="195">
        <v>1614</v>
      </c>
      <c r="H372" s="195">
        <v>2301</v>
      </c>
      <c r="I372" s="195">
        <v>2187</v>
      </c>
      <c r="J372" s="195">
        <v>2164</v>
      </c>
      <c r="K372" s="195">
        <v>2282</v>
      </c>
      <c r="L372" s="20"/>
    </row>
    <row r="373" spans="1:12" x14ac:dyDescent="0.25">
      <c r="A373" s="1775"/>
      <c r="B373" s="1151"/>
      <c r="C373" s="1148" t="s">
        <v>436</v>
      </c>
      <c r="D373" s="1124"/>
      <c r="E373" s="96"/>
      <c r="F373" s="96">
        <v>804</v>
      </c>
      <c r="G373" s="96">
        <v>874</v>
      </c>
      <c r="H373" s="96">
        <v>1185</v>
      </c>
      <c r="I373" s="96">
        <v>1079</v>
      </c>
      <c r="J373" s="96">
        <v>1075</v>
      </c>
      <c r="K373" s="96">
        <v>1145</v>
      </c>
      <c r="L373" s="21"/>
    </row>
    <row r="374" spans="1:12" x14ac:dyDescent="0.25">
      <c r="A374" s="1775"/>
      <c r="B374" s="1151"/>
      <c r="C374" s="1148" t="s">
        <v>437</v>
      </c>
      <c r="D374" s="1124"/>
      <c r="E374" s="96"/>
      <c r="F374" s="96">
        <v>586</v>
      </c>
      <c r="G374" s="96">
        <v>740</v>
      </c>
      <c r="H374" s="96">
        <v>1116</v>
      </c>
      <c r="I374" s="96">
        <v>1108</v>
      </c>
      <c r="J374" s="96">
        <v>1089</v>
      </c>
      <c r="K374" s="96">
        <v>1137</v>
      </c>
      <c r="L374" s="21"/>
    </row>
    <row r="375" spans="1:12" ht="16.5" thickBot="1" x14ac:dyDescent="0.3">
      <c r="A375" s="1775"/>
      <c r="B375" s="1151"/>
      <c r="C375" s="1154" t="s">
        <v>270</v>
      </c>
      <c r="D375" s="1155"/>
      <c r="E375" s="190"/>
      <c r="F375" s="285">
        <f t="shared" ref="F375:K375" si="27">F374/F372*100</f>
        <v>42.158273381294961</v>
      </c>
      <c r="G375" s="285">
        <f t="shared" si="27"/>
        <v>45.848822800495661</v>
      </c>
      <c r="H375" s="285">
        <f t="shared" si="27"/>
        <v>48.500651890482402</v>
      </c>
      <c r="I375" s="285">
        <f t="shared" si="27"/>
        <v>50.663008687700049</v>
      </c>
      <c r="J375" s="285">
        <f t="shared" si="27"/>
        <v>50.323475046210717</v>
      </c>
      <c r="K375" s="285">
        <f t="shared" si="27"/>
        <v>49.824715162138475</v>
      </c>
      <c r="L375" s="22"/>
    </row>
    <row r="376" spans="1:12" ht="14.85" customHeight="1" x14ac:dyDescent="0.25">
      <c r="A376" s="1775"/>
      <c r="B376" s="1151"/>
      <c r="C376" s="1159" t="s">
        <v>523</v>
      </c>
      <c r="D376" s="248" t="s">
        <v>251</v>
      </c>
      <c r="E376" s="249"/>
      <c r="F376" s="225">
        <v>253</v>
      </c>
      <c r="G376" s="225">
        <v>232</v>
      </c>
      <c r="H376" s="225">
        <v>253</v>
      </c>
      <c r="I376" s="225">
        <v>304</v>
      </c>
      <c r="J376" s="225">
        <v>260</v>
      </c>
      <c r="K376" s="36">
        <v>285</v>
      </c>
      <c r="L376" s="20"/>
    </row>
    <row r="377" spans="1:12" x14ac:dyDescent="0.25">
      <c r="A377" s="1775"/>
      <c r="B377" s="1151"/>
      <c r="C377" s="1160"/>
      <c r="D377" s="28" t="s">
        <v>257</v>
      </c>
      <c r="E377" s="94"/>
      <c r="F377" s="96">
        <v>82</v>
      </c>
      <c r="G377" s="96">
        <v>91</v>
      </c>
      <c r="H377" s="96">
        <v>102</v>
      </c>
      <c r="I377" s="96">
        <v>140</v>
      </c>
      <c r="J377" s="96">
        <v>113</v>
      </c>
      <c r="K377" s="28">
        <v>127</v>
      </c>
      <c r="L377" s="21"/>
    </row>
    <row r="378" spans="1:12" x14ac:dyDescent="0.25">
      <c r="A378" s="1775"/>
      <c r="B378" s="1151"/>
      <c r="C378" s="1160"/>
      <c r="D378" s="28" t="s">
        <v>263</v>
      </c>
      <c r="E378" s="94"/>
      <c r="F378" s="96">
        <v>171</v>
      </c>
      <c r="G378" s="96">
        <v>141</v>
      </c>
      <c r="H378" s="96">
        <v>151</v>
      </c>
      <c r="I378" s="96">
        <v>164</v>
      </c>
      <c r="J378" s="96">
        <v>147</v>
      </c>
      <c r="K378" s="28">
        <v>158</v>
      </c>
      <c r="L378" s="21"/>
    </row>
    <row r="379" spans="1:12" ht="16.5" thickBot="1" x14ac:dyDescent="0.3">
      <c r="A379" s="1775"/>
      <c r="B379" s="1151"/>
      <c r="C379" s="1161"/>
      <c r="D379" s="203" t="s">
        <v>270</v>
      </c>
      <c r="E379" s="104"/>
      <c r="F379" s="251">
        <f>(F378*100)/F376</f>
        <v>67.588932806324109</v>
      </c>
      <c r="G379" s="251">
        <f t="shared" ref="G379:K379" si="28">(G378*100)/G376</f>
        <v>60.775862068965516</v>
      </c>
      <c r="H379" s="252">
        <f t="shared" si="28"/>
        <v>59.683794466403164</v>
      </c>
      <c r="I379" s="252">
        <f t="shared" si="28"/>
        <v>53.94736842105263</v>
      </c>
      <c r="J379" s="252">
        <f t="shared" si="28"/>
        <v>56.53846153846154</v>
      </c>
      <c r="K379" s="252">
        <f t="shared" si="28"/>
        <v>55.438596491228068</v>
      </c>
      <c r="L379" s="22"/>
    </row>
    <row r="380" spans="1:12" ht="14.85" customHeight="1" x14ac:dyDescent="0.25">
      <c r="A380" s="1775"/>
      <c r="B380" s="1151"/>
      <c r="C380" s="1159" t="s">
        <v>465</v>
      </c>
      <c r="D380" s="248" t="s">
        <v>251</v>
      </c>
      <c r="E380" s="249"/>
      <c r="F380" s="250">
        <v>223</v>
      </c>
      <c r="G380" s="250">
        <v>353</v>
      </c>
      <c r="H380" s="250">
        <v>743</v>
      </c>
      <c r="I380" s="250">
        <v>805</v>
      </c>
      <c r="J380" s="250">
        <v>835</v>
      </c>
      <c r="K380" s="36">
        <v>848</v>
      </c>
      <c r="L380" s="20"/>
    </row>
    <row r="381" spans="1:12" x14ac:dyDescent="0.25">
      <c r="A381" s="1775"/>
      <c r="B381" s="1151"/>
      <c r="C381" s="1160"/>
      <c r="D381" s="28" t="s">
        <v>257</v>
      </c>
      <c r="E381" s="94"/>
      <c r="F381" s="80">
        <v>34</v>
      </c>
      <c r="G381" s="80">
        <v>44</v>
      </c>
      <c r="H381" s="80">
        <v>156</v>
      </c>
      <c r="I381" s="80">
        <v>173</v>
      </c>
      <c r="J381" s="80">
        <v>182</v>
      </c>
      <c r="K381" s="1005">
        <v>185</v>
      </c>
      <c r="L381" s="21"/>
    </row>
    <row r="382" spans="1:12" x14ac:dyDescent="0.25">
      <c r="A382" s="1775"/>
      <c r="B382" s="1151"/>
      <c r="C382" s="1160"/>
      <c r="D382" s="28" t="s">
        <v>263</v>
      </c>
      <c r="E382" s="94"/>
      <c r="F382" s="80">
        <v>189</v>
      </c>
      <c r="G382" s="80">
        <v>309</v>
      </c>
      <c r="H382" s="80">
        <v>587</v>
      </c>
      <c r="I382" s="80">
        <v>632</v>
      </c>
      <c r="J382" s="80">
        <v>653</v>
      </c>
      <c r="K382" s="28">
        <v>663</v>
      </c>
      <c r="L382" s="21"/>
    </row>
    <row r="383" spans="1:12" ht="16.5" thickBot="1" x14ac:dyDescent="0.3">
      <c r="A383" s="1775"/>
      <c r="B383" s="1151"/>
      <c r="C383" s="1161"/>
      <c r="D383" s="203" t="s">
        <v>270</v>
      </c>
      <c r="E383" s="104"/>
      <c r="F383" s="251">
        <f>(F382*100)/F380</f>
        <v>84.753363228699556</v>
      </c>
      <c r="G383" s="251">
        <f t="shared" ref="G383:H383" si="29">(G382*100)/G380</f>
        <v>87.535410764872523</v>
      </c>
      <c r="H383" s="251">
        <f t="shared" si="29"/>
        <v>79.004037685060567</v>
      </c>
      <c r="I383" s="251">
        <f>(I382*100)/I380</f>
        <v>78.509316770186331</v>
      </c>
      <c r="J383" s="251">
        <f>(J382*100)/J380</f>
        <v>78.203592814371262</v>
      </c>
      <c r="K383" s="251">
        <f>(K382*100)/K380</f>
        <v>78.183962264150949</v>
      </c>
      <c r="L383" s="22"/>
    </row>
    <row r="384" spans="1:12" ht="14.85" customHeight="1" x14ac:dyDescent="0.25">
      <c r="A384" s="1775"/>
      <c r="B384" s="1151"/>
      <c r="C384" s="1159" t="s">
        <v>559</v>
      </c>
      <c r="D384" s="248" t="s">
        <v>251</v>
      </c>
      <c r="E384" s="249"/>
      <c r="F384" s="250">
        <v>241</v>
      </c>
      <c r="G384" s="250">
        <v>235</v>
      </c>
      <c r="H384" s="250">
        <v>220</v>
      </c>
      <c r="I384" s="250">
        <v>226</v>
      </c>
      <c r="J384" s="250">
        <v>235</v>
      </c>
      <c r="K384" s="36">
        <v>225</v>
      </c>
      <c r="L384" s="20"/>
    </row>
    <row r="385" spans="1:12" x14ac:dyDescent="0.25">
      <c r="A385" s="1775"/>
      <c r="B385" s="1151"/>
      <c r="C385" s="1160"/>
      <c r="D385" s="28" t="s">
        <v>257</v>
      </c>
      <c r="E385" s="94"/>
      <c r="F385" s="80">
        <v>239</v>
      </c>
      <c r="G385" s="80">
        <v>234</v>
      </c>
      <c r="H385" s="80">
        <v>217</v>
      </c>
      <c r="I385" s="80">
        <v>223</v>
      </c>
      <c r="J385" s="80">
        <v>230</v>
      </c>
      <c r="K385" s="28">
        <v>217</v>
      </c>
      <c r="L385" s="21"/>
    </row>
    <row r="386" spans="1:12" x14ac:dyDescent="0.25">
      <c r="A386" s="1775"/>
      <c r="B386" s="1151"/>
      <c r="C386" s="1160"/>
      <c r="D386" s="28" t="s">
        <v>263</v>
      </c>
      <c r="E386" s="94"/>
      <c r="F386" s="80">
        <v>2</v>
      </c>
      <c r="G386" s="80">
        <v>1</v>
      </c>
      <c r="H386" s="80">
        <v>3</v>
      </c>
      <c r="I386" s="80">
        <v>3</v>
      </c>
      <c r="J386" s="80">
        <v>5</v>
      </c>
      <c r="K386" s="28">
        <v>8</v>
      </c>
      <c r="L386" s="21"/>
    </row>
    <row r="387" spans="1:12" ht="16.5" thickBot="1" x14ac:dyDescent="0.3">
      <c r="A387" s="1775"/>
      <c r="B387" s="1151"/>
      <c r="C387" s="1161"/>
      <c r="D387" s="203" t="s">
        <v>270</v>
      </c>
      <c r="E387" s="106"/>
      <c r="F387" s="253">
        <f>(F386*100)/F384</f>
        <v>0.82987551867219922</v>
      </c>
      <c r="G387" s="253">
        <f t="shared" ref="G387:K387" si="30">(G386*100)/G384</f>
        <v>0.42553191489361702</v>
      </c>
      <c r="H387" s="253">
        <f t="shared" si="30"/>
        <v>1.3636363636363635</v>
      </c>
      <c r="I387" s="253">
        <f t="shared" si="30"/>
        <v>1.3274336283185841</v>
      </c>
      <c r="J387" s="253">
        <f t="shared" si="30"/>
        <v>2.1276595744680851</v>
      </c>
      <c r="K387" s="253">
        <f t="shared" si="30"/>
        <v>3.5555555555555554</v>
      </c>
      <c r="L387" s="22"/>
    </row>
    <row r="388" spans="1:12" ht="14.85" customHeight="1" x14ac:dyDescent="0.25">
      <c r="A388" s="1775"/>
      <c r="B388" s="1151"/>
      <c r="C388" s="1159" t="s">
        <v>522</v>
      </c>
      <c r="D388" s="248" t="s">
        <v>251</v>
      </c>
      <c r="E388" s="249"/>
      <c r="F388" s="250">
        <v>185</v>
      </c>
      <c r="G388" s="250">
        <v>108</v>
      </c>
      <c r="H388" s="250">
        <v>129</v>
      </c>
      <c r="I388" s="250">
        <v>142</v>
      </c>
      <c r="J388" s="250">
        <v>142</v>
      </c>
      <c r="K388" s="36">
        <v>141</v>
      </c>
      <c r="L388" s="20"/>
    </row>
    <row r="389" spans="1:12" x14ac:dyDescent="0.25">
      <c r="A389" s="1775"/>
      <c r="B389" s="1151"/>
      <c r="C389" s="1160"/>
      <c r="D389" s="28" t="s">
        <v>257</v>
      </c>
      <c r="E389" s="94"/>
      <c r="F389" s="80">
        <v>177</v>
      </c>
      <c r="G389" s="80">
        <v>107</v>
      </c>
      <c r="H389" s="80">
        <v>126</v>
      </c>
      <c r="I389" s="80">
        <v>139</v>
      </c>
      <c r="J389" s="80">
        <v>141</v>
      </c>
      <c r="K389" s="28">
        <v>138</v>
      </c>
      <c r="L389" s="21"/>
    </row>
    <row r="390" spans="1:12" x14ac:dyDescent="0.25">
      <c r="A390" s="1775"/>
      <c r="B390" s="1151"/>
      <c r="C390" s="1160"/>
      <c r="D390" s="28" t="s">
        <v>263</v>
      </c>
      <c r="E390" s="94"/>
      <c r="F390" s="80">
        <v>8</v>
      </c>
      <c r="G390" s="80">
        <v>1</v>
      </c>
      <c r="H390" s="80">
        <v>3</v>
      </c>
      <c r="I390" s="80">
        <v>3</v>
      </c>
      <c r="J390" s="80">
        <v>1</v>
      </c>
      <c r="K390" s="28">
        <v>3</v>
      </c>
      <c r="L390" s="21"/>
    </row>
    <row r="391" spans="1:12" ht="16.5" thickBot="1" x14ac:dyDescent="0.3">
      <c r="A391" s="1775"/>
      <c r="B391" s="1151"/>
      <c r="C391" s="1161"/>
      <c r="D391" s="203" t="s">
        <v>270</v>
      </c>
      <c r="E391" s="106"/>
      <c r="F391" s="253">
        <f>(F390*100)/F388</f>
        <v>4.3243243243243246</v>
      </c>
      <c r="G391" s="253">
        <f t="shared" ref="G391:K391" si="31">(G390*100)/G388</f>
        <v>0.92592592592592593</v>
      </c>
      <c r="H391" s="253">
        <f t="shared" si="31"/>
        <v>2.3255813953488373</v>
      </c>
      <c r="I391" s="253">
        <f t="shared" si="31"/>
        <v>2.112676056338028</v>
      </c>
      <c r="J391" s="253">
        <f t="shared" si="31"/>
        <v>0.70422535211267601</v>
      </c>
      <c r="K391" s="253">
        <f t="shared" si="31"/>
        <v>2.1276595744680851</v>
      </c>
      <c r="L391" s="22"/>
    </row>
    <row r="392" spans="1:12" ht="14.85" customHeight="1" x14ac:dyDescent="0.25">
      <c r="A392" s="1775"/>
      <c r="B392" s="1151"/>
      <c r="C392" s="1159" t="s">
        <v>524</v>
      </c>
      <c r="D392" s="248" t="s">
        <v>251</v>
      </c>
      <c r="E392" s="249"/>
      <c r="F392" s="344">
        <v>180</v>
      </c>
      <c r="G392" s="250">
        <v>245</v>
      </c>
      <c r="H392" s="250">
        <v>258</v>
      </c>
      <c r="I392" s="250">
        <v>237</v>
      </c>
      <c r="J392" s="250">
        <v>257</v>
      </c>
      <c r="K392" s="36">
        <v>335</v>
      </c>
      <c r="L392" s="20"/>
    </row>
    <row r="393" spans="1:12" x14ac:dyDescent="0.25">
      <c r="A393" s="1775"/>
      <c r="B393" s="1151"/>
      <c r="C393" s="1160"/>
      <c r="D393" s="28" t="s">
        <v>257</v>
      </c>
      <c r="E393" s="94"/>
      <c r="F393" s="181">
        <v>161</v>
      </c>
      <c r="G393" s="80">
        <v>228</v>
      </c>
      <c r="H393" s="80">
        <v>231</v>
      </c>
      <c r="I393" s="80">
        <v>214</v>
      </c>
      <c r="J393" s="80">
        <v>232</v>
      </c>
      <c r="K393" s="28">
        <v>312</v>
      </c>
      <c r="L393" s="21"/>
    </row>
    <row r="394" spans="1:12" x14ac:dyDescent="0.25">
      <c r="A394" s="1775"/>
      <c r="B394" s="1151"/>
      <c r="C394" s="1160"/>
      <c r="D394" s="28" t="s">
        <v>263</v>
      </c>
      <c r="E394" s="94"/>
      <c r="F394" s="181">
        <v>19</v>
      </c>
      <c r="G394" s="80">
        <v>17</v>
      </c>
      <c r="H394" s="80">
        <v>27</v>
      </c>
      <c r="I394" s="80">
        <v>23</v>
      </c>
      <c r="J394" s="80">
        <v>25</v>
      </c>
      <c r="K394" s="28">
        <v>23</v>
      </c>
      <c r="L394" s="21"/>
    </row>
    <row r="395" spans="1:12" ht="16.5" thickBot="1" x14ac:dyDescent="0.3">
      <c r="A395" s="1775"/>
      <c r="B395" s="1151"/>
      <c r="C395" s="1161"/>
      <c r="D395" s="203" t="s">
        <v>270</v>
      </c>
      <c r="E395" s="106"/>
      <c r="F395" s="253">
        <f>(F394*100)/F392</f>
        <v>10.555555555555555</v>
      </c>
      <c r="G395" s="253">
        <f t="shared" ref="G395:K395" si="32">(G394*100)/G392</f>
        <v>6.9387755102040813</v>
      </c>
      <c r="H395" s="253">
        <f t="shared" si="32"/>
        <v>10.465116279069768</v>
      </c>
      <c r="I395" s="253">
        <f t="shared" si="32"/>
        <v>9.7046413502109701</v>
      </c>
      <c r="J395" s="253">
        <f t="shared" si="32"/>
        <v>9.7276264591439681</v>
      </c>
      <c r="K395" s="253">
        <f t="shared" si="32"/>
        <v>6.8656716417910451</v>
      </c>
      <c r="L395" s="22"/>
    </row>
    <row r="396" spans="1:12" ht="14.85" customHeight="1" x14ac:dyDescent="0.25">
      <c r="A396" s="1775"/>
      <c r="B396" s="1151"/>
      <c r="C396" s="1159" t="s">
        <v>531</v>
      </c>
      <c r="D396" s="207" t="s">
        <v>251</v>
      </c>
      <c r="E396" s="612"/>
      <c r="F396" s="195">
        <v>111</v>
      </c>
      <c r="G396" s="195">
        <v>161</v>
      </c>
      <c r="H396" s="195">
        <v>147</v>
      </c>
      <c r="I396" s="195">
        <v>138</v>
      </c>
      <c r="J396" s="195">
        <v>103</v>
      </c>
      <c r="K396" s="36">
        <v>113</v>
      </c>
      <c r="L396" s="20"/>
    </row>
    <row r="397" spans="1:12" x14ac:dyDescent="0.25">
      <c r="A397" s="1775"/>
      <c r="B397" s="1151"/>
      <c r="C397" s="1160"/>
      <c r="D397" s="28" t="s">
        <v>257</v>
      </c>
      <c r="E397" s="94"/>
      <c r="F397" s="96">
        <v>21</v>
      </c>
      <c r="G397" s="96">
        <v>30</v>
      </c>
      <c r="H397" s="96">
        <v>20</v>
      </c>
      <c r="I397" s="96">
        <v>24</v>
      </c>
      <c r="J397" s="96">
        <v>15</v>
      </c>
      <c r="K397" s="28">
        <v>9</v>
      </c>
      <c r="L397" s="21"/>
    </row>
    <row r="398" spans="1:12" x14ac:dyDescent="0.25">
      <c r="A398" s="1775"/>
      <c r="B398" s="1151"/>
      <c r="C398" s="1160"/>
      <c r="D398" s="28" t="s">
        <v>263</v>
      </c>
      <c r="E398" s="94"/>
      <c r="F398" s="96">
        <v>90</v>
      </c>
      <c r="G398" s="96">
        <v>131</v>
      </c>
      <c r="H398" s="96">
        <v>127</v>
      </c>
      <c r="I398" s="96">
        <v>114</v>
      </c>
      <c r="J398" s="96">
        <v>88</v>
      </c>
      <c r="K398" s="28">
        <v>104</v>
      </c>
      <c r="L398" s="21"/>
    </row>
    <row r="399" spans="1:12" ht="16.5" thickBot="1" x14ac:dyDescent="0.3">
      <c r="A399" s="1775"/>
      <c r="B399" s="1151"/>
      <c r="C399" s="1161"/>
      <c r="D399" s="203" t="s">
        <v>270</v>
      </c>
      <c r="E399" s="106"/>
      <c r="F399" s="251">
        <f>(F398*100)/F396</f>
        <v>81.081081081081081</v>
      </c>
      <c r="G399" s="251">
        <f t="shared" ref="G399:K399" si="33">(G398*100)/G396</f>
        <v>81.366459627329192</v>
      </c>
      <c r="H399" s="251">
        <f t="shared" si="33"/>
        <v>86.394557823129247</v>
      </c>
      <c r="I399" s="251">
        <f t="shared" si="33"/>
        <v>82.608695652173907</v>
      </c>
      <c r="J399" s="251">
        <f t="shared" si="33"/>
        <v>85.4368932038835</v>
      </c>
      <c r="K399" s="251">
        <f t="shared" si="33"/>
        <v>92.035398230088489</v>
      </c>
      <c r="L399" s="22"/>
    </row>
    <row r="400" spans="1:12" ht="14.85" customHeight="1" x14ac:dyDescent="0.25">
      <c r="A400" s="1775"/>
      <c r="B400" s="1151"/>
      <c r="C400" s="1159" t="s">
        <v>556</v>
      </c>
      <c r="D400" s="248" t="s">
        <v>251</v>
      </c>
      <c r="E400" s="249"/>
      <c r="F400" s="250">
        <v>77</v>
      </c>
      <c r="G400" s="250">
        <v>96</v>
      </c>
      <c r="H400" s="250">
        <v>103</v>
      </c>
      <c r="I400" s="250">
        <v>88</v>
      </c>
      <c r="J400" s="250">
        <v>85</v>
      </c>
      <c r="K400" s="36">
        <v>83</v>
      </c>
      <c r="L400" s="20"/>
    </row>
    <row r="401" spans="1:12" x14ac:dyDescent="0.25">
      <c r="A401" s="1775"/>
      <c r="B401" s="1151"/>
      <c r="C401" s="1160"/>
      <c r="D401" s="28" t="s">
        <v>257</v>
      </c>
      <c r="E401" s="94"/>
      <c r="F401" s="80">
        <v>6</v>
      </c>
      <c r="G401" s="80">
        <v>6</v>
      </c>
      <c r="H401" s="80">
        <v>10</v>
      </c>
      <c r="I401" s="80">
        <v>7</v>
      </c>
      <c r="J401" s="80">
        <v>9</v>
      </c>
      <c r="K401" s="28">
        <v>15</v>
      </c>
      <c r="L401" s="21"/>
    </row>
    <row r="402" spans="1:12" x14ac:dyDescent="0.25">
      <c r="A402" s="1775"/>
      <c r="B402" s="1151"/>
      <c r="C402" s="1160"/>
      <c r="D402" s="28" t="s">
        <v>263</v>
      </c>
      <c r="E402" s="94"/>
      <c r="F402" s="80">
        <v>71</v>
      </c>
      <c r="G402" s="80">
        <v>90</v>
      </c>
      <c r="H402" s="80">
        <v>93</v>
      </c>
      <c r="I402" s="80">
        <v>81</v>
      </c>
      <c r="J402" s="80">
        <v>76</v>
      </c>
      <c r="K402" s="28">
        <v>68</v>
      </c>
      <c r="L402" s="21"/>
    </row>
    <row r="403" spans="1:12" ht="16.5" thickBot="1" x14ac:dyDescent="0.3">
      <c r="A403" s="1775"/>
      <c r="B403" s="1151"/>
      <c r="C403" s="1161"/>
      <c r="D403" s="203" t="s">
        <v>270</v>
      </c>
      <c r="E403" s="106"/>
      <c r="F403" s="251">
        <f t="shared" ref="F403:K403" si="34">(F402*100)/F400</f>
        <v>92.20779220779221</v>
      </c>
      <c r="G403" s="251">
        <f t="shared" si="34"/>
        <v>93.75</v>
      </c>
      <c r="H403" s="251">
        <f t="shared" si="34"/>
        <v>90.291262135922324</v>
      </c>
      <c r="I403" s="251">
        <f t="shared" si="34"/>
        <v>92.045454545454547</v>
      </c>
      <c r="J403" s="251">
        <f t="shared" si="34"/>
        <v>89.411764705882348</v>
      </c>
      <c r="K403" s="251">
        <f t="shared" si="34"/>
        <v>81.92771084337349</v>
      </c>
      <c r="L403" s="22"/>
    </row>
    <row r="404" spans="1:12" ht="14.85" customHeight="1" x14ac:dyDescent="0.25">
      <c r="A404" s="1775"/>
      <c r="B404" s="1151"/>
      <c r="C404" s="1159" t="s">
        <v>560</v>
      </c>
      <c r="D404" s="248" t="s">
        <v>251</v>
      </c>
      <c r="E404" s="249"/>
      <c r="F404" s="250">
        <v>37</v>
      </c>
      <c r="G404" s="250">
        <v>59</v>
      </c>
      <c r="H404" s="250">
        <v>113</v>
      </c>
      <c r="I404" s="250"/>
      <c r="J404" s="250"/>
      <c r="K404" s="36"/>
      <c r="L404" s="20"/>
    </row>
    <row r="405" spans="1:12" x14ac:dyDescent="0.25">
      <c r="A405" s="1775"/>
      <c r="B405" s="1151"/>
      <c r="C405" s="1160"/>
      <c r="D405" s="28" t="s">
        <v>257</v>
      </c>
      <c r="E405" s="94"/>
      <c r="F405" s="80">
        <v>28</v>
      </c>
      <c r="G405" s="80">
        <v>48</v>
      </c>
      <c r="H405" s="80">
        <v>87</v>
      </c>
      <c r="I405" s="80"/>
      <c r="J405" s="80"/>
      <c r="K405" s="28"/>
      <c r="L405" s="21"/>
    </row>
    <row r="406" spans="1:12" x14ac:dyDescent="0.25">
      <c r="A406" s="1775"/>
      <c r="B406" s="1151"/>
      <c r="C406" s="1160"/>
      <c r="D406" s="28" t="s">
        <v>263</v>
      </c>
      <c r="E406" s="94"/>
      <c r="F406" s="80">
        <v>9</v>
      </c>
      <c r="G406" s="80">
        <v>11</v>
      </c>
      <c r="H406" s="80">
        <v>26</v>
      </c>
      <c r="I406" s="80"/>
      <c r="J406" s="80"/>
      <c r="K406" s="28"/>
      <c r="L406" s="21"/>
    </row>
    <row r="407" spans="1:12" ht="16.5" thickBot="1" x14ac:dyDescent="0.3">
      <c r="A407" s="1775"/>
      <c r="B407" s="1151"/>
      <c r="C407" s="1161"/>
      <c r="D407" s="203" t="s">
        <v>270</v>
      </c>
      <c r="E407" s="106"/>
      <c r="F407" s="253">
        <f t="shared" ref="F407:H407" si="35">(F406*100)/F404</f>
        <v>24.324324324324323</v>
      </c>
      <c r="G407" s="253">
        <f t="shared" si="35"/>
        <v>18.64406779661017</v>
      </c>
      <c r="H407" s="253">
        <f t="shared" si="35"/>
        <v>23.008849557522122</v>
      </c>
      <c r="I407" s="190"/>
      <c r="J407" s="190"/>
      <c r="K407" s="33"/>
      <c r="L407" s="22"/>
    </row>
    <row r="408" spans="1:12" ht="14.85" customHeight="1" x14ac:dyDescent="0.25">
      <c r="A408" s="1775"/>
      <c r="B408" s="1151"/>
      <c r="C408" s="1159" t="s">
        <v>566</v>
      </c>
      <c r="D408" s="248" t="s">
        <v>251</v>
      </c>
      <c r="E408" s="249"/>
      <c r="F408" s="250">
        <v>37</v>
      </c>
      <c r="G408" s="250">
        <v>43</v>
      </c>
      <c r="H408" s="250">
        <v>47</v>
      </c>
      <c r="I408" s="250"/>
      <c r="J408" s="250"/>
      <c r="K408" s="36"/>
      <c r="L408" s="20"/>
    </row>
    <row r="409" spans="1:12" x14ac:dyDescent="0.25">
      <c r="A409" s="1775"/>
      <c r="B409" s="1151"/>
      <c r="C409" s="1160"/>
      <c r="D409" s="28" t="s">
        <v>257</v>
      </c>
      <c r="E409" s="94"/>
      <c r="F409" s="80">
        <v>28</v>
      </c>
      <c r="G409" s="80">
        <v>31</v>
      </c>
      <c r="H409" s="80">
        <v>31</v>
      </c>
      <c r="I409" s="80"/>
      <c r="J409" s="80"/>
      <c r="K409" s="28"/>
      <c r="L409" s="21"/>
    </row>
    <row r="410" spans="1:12" x14ac:dyDescent="0.25">
      <c r="A410" s="1775"/>
      <c r="B410" s="1151"/>
      <c r="C410" s="1160"/>
      <c r="D410" s="28" t="s">
        <v>263</v>
      </c>
      <c r="E410" s="94"/>
      <c r="F410" s="80">
        <v>9</v>
      </c>
      <c r="G410" s="80">
        <v>12</v>
      </c>
      <c r="H410" s="80">
        <v>16</v>
      </c>
      <c r="I410" s="80"/>
      <c r="J410" s="80"/>
      <c r="K410" s="28"/>
      <c r="L410" s="21"/>
    </row>
    <row r="411" spans="1:12" ht="16.5" thickBot="1" x14ac:dyDescent="0.3">
      <c r="A411" s="1775"/>
      <c r="B411" s="1151"/>
      <c r="C411" s="1161"/>
      <c r="D411" s="203" t="s">
        <v>270</v>
      </c>
      <c r="E411" s="106"/>
      <c r="F411" s="253">
        <f t="shared" ref="F411:H411" si="36">(F410*100)/F408</f>
        <v>24.324324324324323</v>
      </c>
      <c r="G411" s="253">
        <f t="shared" si="36"/>
        <v>27.906976744186046</v>
      </c>
      <c r="H411" s="253">
        <f t="shared" si="36"/>
        <v>34.042553191489361</v>
      </c>
      <c r="I411" s="190"/>
      <c r="J411" s="190"/>
      <c r="K411" s="33"/>
      <c r="L411" s="22"/>
    </row>
    <row r="412" spans="1:12" ht="14.85" customHeight="1" x14ac:dyDescent="0.25">
      <c r="A412" s="1775"/>
      <c r="B412" s="1151"/>
      <c r="C412" s="1159" t="s">
        <v>532</v>
      </c>
      <c r="D412" s="248" t="s">
        <v>251</v>
      </c>
      <c r="E412" s="249"/>
      <c r="F412" s="225">
        <v>28</v>
      </c>
      <c r="G412" s="225">
        <v>39</v>
      </c>
      <c r="H412" s="225">
        <v>53</v>
      </c>
      <c r="I412" s="225">
        <v>67</v>
      </c>
      <c r="J412" s="225">
        <v>70</v>
      </c>
      <c r="K412" s="36">
        <v>98</v>
      </c>
      <c r="L412" s="20"/>
    </row>
    <row r="413" spans="1:12" x14ac:dyDescent="0.25">
      <c r="A413" s="1775"/>
      <c r="B413" s="1151"/>
      <c r="C413" s="1160"/>
      <c r="D413" s="28" t="s">
        <v>257</v>
      </c>
      <c r="E413" s="94"/>
      <c r="F413" s="96">
        <v>10</v>
      </c>
      <c r="G413" s="96">
        <v>16</v>
      </c>
      <c r="H413" s="96">
        <v>26</v>
      </c>
      <c r="I413" s="96">
        <v>33</v>
      </c>
      <c r="J413" s="96">
        <v>38</v>
      </c>
      <c r="K413" s="28">
        <v>52</v>
      </c>
      <c r="L413" s="21"/>
    </row>
    <row r="414" spans="1:12" x14ac:dyDescent="0.25">
      <c r="A414" s="1775"/>
      <c r="B414" s="1151"/>
      <c r="C414" s="1160"/>
      <c r="D414" s="28" t="s">
        <v>263</v>
      </c>
      <c r="E414" s="94"/>
      <c r="F414" s="96">
        <v>18</v>
      </c>
      <c r="G414" s="96">
        <v>23</v>
      </c>
      <c r="H414" s="96">
        <v>27</v>
      </c>
      <c r="I414" s="96">
        <v>34</v>
      </c>
      <c r="J414" s="96">
        <v>32</v>
      </c>
      <c r="K414" s="28">
        <v>46</v>
      </c>
      <c r="L414" s="21"/>
    </row>
    <row r="415" spans="1:12" ht="16.5" thickBot="1" x14ac:dyDescent="0.3">
      <c r="A415" s="1775"/>
      <c r="B415" s="1151"/>
      <c r="C415" s="1161"/>
      <c r="D415" s="203" t="s">
        <v>270</v>
      </c>
      <c r="E415" s="106"/>
      <c r="F415" s="251">
        <f>(F414*100)/F412</f>
        <v>64.285714285714292</v>
      </c>
      <c r="G415" s="252">
        <f t="shared" ref="G415:K415" si="37">(G414*100)/G412</f>
        <v>58.974358974358971</v>
      </c>
      <c r="H415" s="252">
        <f t="shared" si="37"/>
        <v>50.943396226415096</v>
      </c>
      <c r="I415" s="252">
        <f t="shared" si="37"/>
        <v>50.746268656716417</v>
      </c>
      <c r="J415" s="252">
        <f t="shared" si="37"/>
        <v>45.714285714285715</v>
      </c>
      <c r="K415" s="252">
        <f t="shared" si="37"/>
        <v>46.938775510204081</v>
      </c>
      <c r="L415" s="22"/>
    </row>
    <row r="416" spans="1:12" ht="14.85" customHeight="1" x14ac:dyDescent="0.25">
      <c r="A416" s="1775"/>
      <c r="B416" s="1151"/>
      <c r="C416" s="1159" t="s">
        <v>480</v>
      </c>
      <c r="D416" s="248" t="s">
        <v>251</v>
      </c>
      <c r="E416" s="249"/>
      <c r="F416" s="250"/>
      <c r="G416" s="250">
        <v>43</v>
      </c>
      <c r="H416" s="250"/>
      <c r="I416" s="250"/>
      <c r="J416" s="250"/>
      <c r="K416" s="36"/>
      <c r="L416" s="20"/>
    </row>
    <row r="417" spans="1:12" x14ac:dyDescent="0.25">
      <c r="A417" s="1775"/>
      <c r="B417" s="1151"/>
      <c r="C417" s="1160"/>
      <c r="D417" s="28" t="s">
        <v>257</v>
      </c>
      <c r="E417" s="94"/>
      <c r="F417" s="80"/>
      <c r="G417" s="80">
        <v>39</v>
      </c>
      <c r="H417" s="80"/>
      <c r="I417" s="80"/>
      <c r="J417" s="80"/>
      <c r="K417" s="28"/>
      <c r="L417" s="21"/>
    </row>
    <row r="418" spans="1:12" x14ac:dyDescent="0.25">
      <c r="A418" s="1775"/>
      <c r="B418" s="1151"/>
      <c r="C418" s="1160"/>
      <c r="D418" s="28" t="s">
        <v>263</v>
      </c>
      <c r="E418" s="94"/>
      <c r="F418" s="80"/>
      <c r="G418" s="80">
        <v>4</v>
      </c>
      <c r="H418" s="80"/>
      <c r="I418" s="80"/>
      <c r="J418" s="80"/>
      <c r="K418" s="28"/>
      <c r="L418" s="21"/>
    </row>
    <row r="419" spans="1:12" ht="16.5" thickBot="1" x14ac:dyDescent="0.3">
      <c r="A419" s="1775"/>
      <c r="B419" s="1151"/>
      <c r="C419" s="1161"/>
      <c r="D419" s="203" t="s">
        <v>270</v>
      </c>
      <c r="E419" s="106"/>
      <c r="F419" s="197"/>
      <c r="G419" s="253">
        <f>(G418*100)/G416</f>
        <v>9.3023255813953494</v>
      </c>
      <c r="H419" s="190"/>
      <c r="I419" s="190"/>
      <c r="J419" s="190"/>
      <c r="K419" s="33"/>
      <c r="L419" s="22"/>
    </row>
    <row r="420" spans="1:12" ht="14.85" customHeight="1" x14ac:dyDescent="0.25">
      <c r="A420" s="1775"/>
      <c r="B420" s="1151"/>
      <c r="C420" s="1159" t="s">
        <v>539</v>
      </c>
      <c r="D420" s="248" t="s">
        <v>251</v>
      </c>
      <c r="E420" s="249"/>
      <c r="F420" s="250"/>
      <c r="G420" s="250"/>
      <c r="H420" s="250">
        <v>235</v>
      </c>
      <c r="I420" s="250">
        <v>153</v>
      </c>
      <c r="J420" s="250">
        <v>130</v>
      </c>
      <c r="K420" s="36">
        <v>106</v>
      </c>
      <c r="L420" s="20"/>
    </row>
    <row r="421" spans="1:12" x14ac:dyDescent="0.25">
      <c r="A421" s="1775"/>
      <c r="B421" s="1151"/>
      <c r="C421" s="1160"/>
      <c r="D421" s="28" t="s">
        <v>257</v>
      </c>
      <c r="E421" s="94"/>
      <c r="F421" s="80"/>
      <c r="G421" s="80"/>
      <c r="H421" s="80">
        <v>179</v>
      </c>
      <c r="I421" s="80">
        <v>121</v>
      </c>
      <c r="J421" s="80">
        <v>103</v>
      </c>
      <c r="K421" s="28">
        <v>77</v>
      </c>
      <c r="L421" s="21"/>
    </row>
    <row r="422" spans="1:12" x14ac:dyDescent="0.25">
      <c r="A422" s="1775"/>
      <c r="B422" s="1151"/>
      <c r="C422" s="1160"/>
      <c r="D422" s="28" t="s">
        <v>263</v>
      </c>
      <c r="E422" s="94"/>
      <c r="F422" s="80"/>
      <c r="G422" s="80"/>
      <c r="H422" s="80">
        <v>56</v>
      </c>
      <c r="I422" s="80">
        <v>32</v>
      </c>
      <c r="J422" s="80">
        <v>27</v>
      </c>
      <c r="K422" s="28">
        <v>29</v>
      </c>
      <c r="L422" s="21"/>
    </row>
    <row r="423" spans="1:12" ht="16.5" thickBot="1" x14ac:dyDescent="0.3">
      <c r="A423" s="1775"/>
      <c r="B423" s="1151"/>
      <c r="C423" s="1161"/>
      <c r="D423" s="203" t="s">
        <v>270</v>
      </c>
      <c r="E423" s="106"/>
      <c r="F423" s="197"/>
      <c r="G423" s="197"/>
      <c r="H423" s="253">
        <f>(H422*100)/H420</f>
        <v>23.829787234042552</v>
      </c>
      <c r="I423" s="253">
        <f t="shared" ref="I423:K423" si="38">(I422*100)/I420</f>
        <v>20.915032679738562</v>
      </c>
      <c r="J423" s="253">
        <f t="shared" si="38"/>
        <v>20.76923076923077</v>
      </c>
      <c r="K423" s="253">
        <f t="shared" si="38"/>
        <v>27.358490566037737</v>
      </c>
      <c r="L423" s="22"/>
    </row>
    <row r="424" spans="1:12" ht="14.85" customHeight="1" x14ac:dyDescent="0.25">
      <c r="A424" s="1775"/>
      <c r="B424" s="1151"/>
      <c r="C424" s="1159" t="s">
        <v>571</v>
      </c>
      <c r="D424" s="248" t="s">
        <v>251</v>
      </c>
      <c r="E424" s="249"/>
      <c r="F424" s="250"/>
      <c r="G424" s="250"/>
      <c r="H424" s="250"/>
      <c r="I424" s="250">
        <v>27</v>
      </c>
      <c r="J424" s="250">
        <v>47</v>
      </c>
      <c r="K424" s="36">
        <v>48</v>
      </c>
      <c r="L424" s="20"/>
    </row>
    <row r="425" spans="1:12" x14ac:dyDescent="0.25">
      <c r="A425" s="1775"/>
      <c r="B425" s="1151"/>
      <c r="C425" s="1160"/>
      <c r="D425" s="28" t="s">
        <v>257</v>
      </c>
      <c r="E425" s="94"/>
      <c r="F425" s="80"/>
      <c r="G425" s="80"/>
      <c r="H425" s="80"/>
      <c r="I425" s="80">
        <v>5</v>
      </c>
      <c r="J425" s="80">
        <v>12</v>
      </c>
      <c r="K425" s="28">
        <v>13</v>
      </c>
      <c r="L425" s="21"/>
    </row>
    <row r="426" spans="1:12" x14ac:dyDescent="0.25">
      <c r="A426" s="1775"/>
      <c r="B426" s="1151"/>
      <c r="C426" s="1160"/>
      <c r="D426" s="28" t="s">
        <v>263</v>
      </c>
      <c r="E426" s="94"/>
      <c r="F426" s="80"/>
      <c r="G426" s="80"/>
      <c r="H426" s="80"/>
      <c r="I426" s="80">
        <v>22</v>
      </c>
      <c r="J426" s="80">
        <v>35</v>
      </c>
      <c r="K426" s="28">
        <v>35</v>
      </c>
      <c r="L426" s="21"/>
    </row>
    <row r="427" spans="1:12" ht="16.5" thickBot="1" x14ac:dyDescent="0.3">
      <c r="A427" s="1775"/>
      <c r="B427" s="1151"/>
      <c r="C427" s="1161"/>
      <c r="D427" s="203" t="s">
        <v>270</v>
      </c>
      <c r="E427" s="106"/>
      <c r="F427" s="197"/>
      <c r="G427" s="197"/>
      <c r="H427" s="197"/>
      <c r="I427" s="251">
        <f>(I426*100)/I424</f>
        <v>81.481481481481481</v>
      </c>
      <c r="J427" s="251">
        <f>(J426*100)/J424</f>
        <v>74.468085106382972</v>
      </c>
      <c r="K427" s="251">
        <f>(K426*100)/K424</f>
        <v>72.916666666666671</v>
      </c>
      <c r="L427" s="22"/>
    </row>
    <row r="428" spans="1:12" x14ac:dyDescent="0.25">
      <c r="A428" s="1775"/>
      <c r="B428" s="1151"/>
      <c r="C428" s="1166" t="s">
        <v>472</v>
      </c>
      <c r="D428" s="308" t="s">
        <v>473</v>
      </c>
      <c r="E428" s="612"/>
      <c r="F428" s="261">
        <f>5/10*100</f>
        <v>50</v>
      </c>
      <c r="G428" s="261">
        <f>6/11*100</f>
        <v>54.54545454545454</v>
      </c>
      <c r="H428" s="261">
        <f>6/11*100</f>
        <v>54.54545454545454</v>
      </c>
      <c r="I428" s="261">
        <f>5/10*100</f>
        <v>50</v>
      </c>
      <c r="J428" s="261">
        <f>4/10*100</f>
        <v>40</v>
      </c>
      <c r="K428" s="261">
        <f>4/10*100</f>
        <v>40</v>
      </c>
      <c r="L428" s="20"/>
    </row>
    <row r="429" spans="1:12" x14ac:dyDescent="0.25">
      <c r="A429" s="1775"/>
      <c r="B429" s="1151"/>
      <c r="C429" s="1167"/>
      <c r="D429" s="232" t="s">
        <v>474</v>
      </c>
      <c r="E429" s="92"/>
      <c r="F429" s="234">
        <f>5/10*100</f>
        <v>50</v>
      </c>
      <c r="G429" s="234">
        <f>4/11*100</f>
        <v>36.363636363636367</v>
      </c>
      <c r="H429" s="234">
        <f>3/11*100</f>
        <v>27.27272727272727</v>
      </c>
      <c r="I429" s="234">
        <f>4/10*100</f>
        <v>40</v>
      </c>
      <c r="J429" s="234">
        <f>4/10*100</f>
        <v>40</v>
      </c>
      <c r="K429" s="234">
        <f>4/10*100</f>
        <v>40</v>
      </c>
      <c r="L429" s="21"/>
    </row>
    <row r="430" spans="1:12" ht="16.5" thickBot="1" x14ac:dyDescent="0.3">
      <c r="A430" s="1775"/>
      <c r="B430" s="1152"/>
      <c r="C430" s="1255"/>
      <c r="D430" s="311" t="s">
        <v>475</v>
      </c>
      <c r="E430" s="106"/>
      <c r="F430" s="312">
        <v>0</v>
      </c>
      <c r="G430" s="312">
        <f>1/11*100</f>
        <v>9.0909090909090917</v>
      </c>
      <c r="H430" s="312">
        <f>2/11*100</f>
        <v>18.181818181818183</v>
      </c>
      <c r="I430" s="312">
        <f>2/10*100</f>
        <v>20</v>
      </c>
      <c r="J430" s="312">
        <f>2/10*100</f>
        <v>20</v>
      </c>
      <c r="K430" s="312">
        <f>2/10*100</f>
        <v>20</v>
      </c>
      <c r="L430" s="22"/>
    </row>
    <row r="431" spans="1:12" ht="16.5" thickBot="1" x14ac:dyDescent="0.3">
      <c r="A431" s="1775"/>
      <c r="B431" s="822" t="s">
        <v>249</v>
      </c>
      <c r="C431" s="1681"/>
      <c r="D431" s="1681"/>
      <c r="E431" s="112" t="s">
        <v>442</v>
      </c>
      <c r="F431" s="112" t="s">
        <v>443</v>
      </c>
      <c r="G431" s="112" t="s">
        <v>444</v>
      </c>
      <c r="H431" s="112" t="s">
        <v>445</v>
      </c>
      <c r="I431" s="112" t="s">
        <v>446</v>
      </c>
      <c r="J431" s="112" t="s">
        <v>447</v>
      </c>
      <c r="K431" s="112" t="s">
        <v>448</v>
      </c>
      <c r="L431" s="112" t="s">
        <v>449</v>
      </c>
    </row>
    <row r="432" spans="1:12" ht="15" customHeight="1" x14ac:dyDescent="0.25">
      <c r="A432" s="1775"/>
      <c r="B432" s="1744" t="s">
        <v>476</v>
      </c>
      <c r="C432" s="1251" t="s">
        <v>459</v>
      </c>
      <c r="D432" s="1206"/>
      <c r="E432" s="36"/>
      <c r="F432" s="195">
        <v>1197</v>
      </c>
      <c r="G432" s="195">
        <v>1446</v>
      </c>
      <c r="H432" s="195">
        <v>2395</v>
      </c>
      <c r="I432" s="195">
        <v>2199</v>
      </c>
      <c r="J432" s="195">
        <v>2163</v>
      </c>
      <c r="K432" s="195">
        <v>2107</v>
      </c>
      <c r="L432" s="20"/>
    </row>
    <row r="433" spans="1:12" x14ac:dyDescent="0.25">
      <c r="A433" s="1775"/>
      <c r="B433" s="1678"/>
      <c r="C433" s="1123" t="s">
        <v>436</v>
      </c>
      <c r="D433" s="1124"/>
      <c r="E433" s="96"/>
      <c r="F433" s="96">
        <v>614</v>
      </c>
      <c r="G433" s="96">
        <v>732</v>
      </c>
      <c r="H433" s="96">
        <v>1223</v>
      </c>
      <c r="I433" s="96">
        <v>1142</v>
      </c>
      <c r="J433" s="96">
        <v>1097</v>
      </c>
      <c r="K433" s="1004">
        <v>1050</v>
      </c>
      <c r="L433" s="21"/>
    </row>
    <row r="434" spans="1:12" x14ac:dyDescent="0.25">
      <c r="A434" s="1775"/>
      <c r="B434" s="1678"/>
      <c r="C434" s="1123" t="s">
        <v>437</v>
      </c>
      <c r="D434" s="1124"/>
      <c r="E434" s="96"/>
      <c r="F434" s="96">
        <v>583</v>
      </c>
      <c r="G434" s="96">
        <v>714</v>
      </c>
      <c r="H434" s="96">
        <v>1172</v>
      </c>
      <c r="I434" s="96">
        <v>1057</v>
      </c>
      <c r="J434" s="96">
        <v>1066</v>
      </c>
      <c r="K434" s="1004">
        <v>1057</v>
      </c>
      <c r="L434" s="21"/>
    </row>
    <row r="435" spans="1:12" ht="16.5" thickBot="1" x14ac:dyDescent="0.3">
      <c r="A435" s="1775"/>
      <c r="B435" s="1678"/>
      <c r="C435" s="1170" t="s">
        <v>270</v>
      </c>
      <c r="D435" s="1155"/>
      <c r="E435" s="190"/>
      <c r="F435" s="285">
        <f t="shared" ref="F435:H435" si="39">F434/F432*100</f>
        <v>48.705096073517126</v>
      </c>
      <c r="G435" s="285">
        <f t="shared" si="39"/>
        <v>49.377593360995853</v>
      </c>
      <c r="H435" s="285">
        <f t="shared" si="39"/>
        <v>48.935281837160751</v>
      </c>
      <c r="I435" s="285">
        <f>I434/I432*100</f>
        <v>48.067303319690765</v>
      </c>
      <c r="J435" s="285">
        <f t="shared" ref="J435:K435" si="40">J434/J432*100</f>
        <v>49.283402681460935</v>
      </c>
      <c r="K435" s="285">
        <f t="shared" si="40"/>
        <v>50.166112956810629</v>
      </c>
      <c r="L435" s="22"/>
    </row>
    <row r="436" spans="1:12" ht="14.85" customHeight="1" x14ac:dyDescent="0.25">
      <c r="A436" s="1775"/>
      <c r="B436" s="1678"/>
      <c r="C436" s="1749" t="s">
        <v>523</v>
      </c>
      <c r="D436" s="825" t="s">
        <v>251</v>
      </c>
      <c r="E436" s="249"/>
      <c r="F436" s="225">
        <v>246</v>
      </c>
      <c r="G436" s="225">
        <v>235</v>
      </c>
      <c r="H436" s="225">
        <v>390</v>
      </c>
      <c r="I436" s="225">
        <v>386</v>
      </c>
      <c r="J436" s="225">
        <v>413</v>
      </c>
      <c r="K436" s="36">
        <v>366</v>
      </c>
      <c r="L436" s="20"/>
    </row>
    <row r="437" spans="1:12" x14ac:dyDescent="0.25">
      <c r="A437" s="1775"/>
      <c r="B437" s="1678"/>
      <c r="C437" s="1750"/>
      <c r="D437" s="316" t="s">
        <v>257</v>
      </c>
      <c r="E437" s="94"/>
      <c r="F437" s="96">
        <v>88</v>
      </c>
      <c r="G437" s="96">
        <v>107</v>
      </c>
      <c r="H437" s="96">
        <v>166</v>
      </c>
      <c r="I437" s="96">
        <v>166</v>
      </c>
      <c r="J437" s="96">
        <v>191</v>
      </c>
      <c r="K437" s="956">
        <v>177</v>
      </c>
      <c r="L437" s="21"/>
    </row>
    <row r="438" spans="1:12" x14ac:dyDescent="0.25">
      <c r="A438" s="1775"/>
      <c r="B438" s="1678"/>
      <c r="C438" s="1750"/>
      <c r="D438" s="316" t="s">
        <v>263</v>
      </c>
      <c r="E438" s="94"/>
      <c r="F438" s="96">
        <v>158</v>
      </c>
      <c r="G438" s="96">
        <v>128</v>
      </c>
      <c r="H438" s="96">
        <v>224</v>
      </c>
      <c r="I438" s="96">
        <v>220</v>
      </c>
      <c r="J438" s="96">
        <v>222</v>
      </c>
      <c r="K438" s="956">
        <v>189</v>
      </c>
      <c r="L438" s="21"/>
    </row>
    <row r="439" spans="1:12" ht="16.5" thickBot="1" x14ac:dyDescent="0.3">
      <c r="A439" s="1775"/>
      <c r="B439" s="1678"/>
      <c r="C439" s="1751"/>
      <c r="D439" s="826" t="s">
        <v>270</v>
      </c>
      <c r="E439" s="104"/>
      <c r="F439" s="251">
        <f>(F438*100)/F436</f>
        <v>64.22764227642277</v>
      </c>
      <c r="G439" s="252">
        <f t="shared" ref="G439:K439" si="41">(G438*100)/G436</f>
        <v>54.468085106382979</v>
      </c>
      <c r="H439" s="252">
        <f t="shared" si="41"/>
        <v>57.435897435897438</v>
      </c>
      <c r="I439" s="252">
        <f t="shared" si="41"/>
        <v>56.994818652849744</v>
      </c>
      <c r="J439" s="252">
        <f t="shared" si="41"/>
        <v>53.753026634382564</v>
      </c>
      <c r="K439" s="252">
        <f t="shared" si="41"/>
        <v>51.639344262295083</v>
      </c>
      <c r="L439" s="22"/>
    </row>
    <row r="440" spans="1:12" ht="14.85" customHeight="1" x14ac:dyDescent="0.25">
      <c r="A440" s="1775"/>
      <c r="B440" s="1151"/>
      <c r="C440" s="1159" t="s">
        <v>465</v>
      </c>
      <c r="D440" s="248" t="s">
        <v>251</v>
      </c>
      <c r="E440" s="249"/>
      <c r="F440" s="250">
        <v>161</v>
      </c>
      <c r="G440" s="250">
        <v>276</v>
      </c>
      <c r="H440" s="250">
        <v>406</v>
      </c>
      <c r="I440" s="250">
        <v>384</v>
      </c>
      <c r="J440" s="250">
        <v>367</v>
      </c>
      <c r="K440" s="36">
        <v>380</v>
      </c>
      <c r="L440" s="20"/>
    </row>
    <row r="441" spans="1:12" x14ac:dyDescent="0.25">
      <c r="A441" s="1775"/>
      <c r="B441" s="1151"/>
      <c r="C441" s="1160"/>
      <c r="D441" s="28" t="s">
        <v>257</v>
      </c>
      <c r="E441" s="94"/>
      <c r="F441" s="80">
        <v>50</v>
      </c>
      <c r="G441" s="80">
        <v>103</v>
      </c>
      <c r="H441" s="80">
        <v>105</v>
      </c>
      <c r="I441" s="80">
        <v>97</v>
      </c>
      <c r="J441" s="80">
        <v>90</v>
      </c>
      <c r="K441" s="28">
        <v>94</v>
      </c>
      <c r="L441" s="21"/>
    </row>
    <row r="442" spans="1:12" x14ac:dyDescent="0.25">
      <c r="A442" s="1775"/>
      <c r="B442" s="1151"/>
      <c r="C442" s="1160"/>
      <c r="D442" s="28" t="s">
        <v>263</v>
      </c>
      <c r="E442" s="94"/>
      <c r="F442" s="80">
        <v>111</v>
      </c>
      <c r="G442" s="80">
        <v>173</v>
      </c>
      <c r="H442" s="80">
        <v>301</v>
      </c>
      <c r="I442" s="80">
        <v>287</v>
      </c>
      <c r="J442" s="80">
        <v>277</v>
      </c>
      <c r="K442" s="28">
        <v>286</v>
      </c>
      <c r="L442" s="21"/>
    </row>
    <row r="443" spans="1:12" ht="16.5" thickBot="1" x14ac:dyDescent="0.3">
      <c r="A443" s="1775"/>
      <c r="B443" s="1151"/>
      <c r="C443" s="1161"/>
      <c r="D443" s="203" t="s">
        <v>270</v>
      </c>
      <c r="E443" s="104"/>
      <c r="F443" s="251">
        <f>(F442*100)/F440</f>
        <v>68.944099378881987</v>
      </c>
      <c r="G443" s="251">
        <f t="shared" ref="G443:K443" si="42">(G442*100)/G440</f>
        <v>62.681159420289852</v>
      </c>
      <c r="H443" s="251">
        <f t="shared" si="42"/>
        <v>74.137931034482762</v>
      </c>
      <c r="I443" s="251">
        <f t="shared" si="42"/>
        <v>74.739583333333329</v>
      </c>
      <c r="J443" s="251">
        <f t="shared" si="42"/>
        <v>75.47683923705722</v>
      </c>
      <c r="K443" s="251">
        <f t="shared" si="42"/>
        <v>75.263157894736835</v>
      </c>
      <c r="L443" s="22"/>
    </row>
    <row r="444" spans="1:12" ht="14.85" customHeight="1" x14ac:dyDescent="0.25">
      <c r="A444" s="1775"/>
      <c r="B444" s="1151"/>
      <c r="C444" s="1159" t="s">
        <v>559</v>
      </c>
      <c r="D444" s="248" t="s">
        <v>251</v>
      </c>
      <c r="E444" s="249"/>
      <c r="F444" s="250">
        <v>86</v>
      </c>
      <c r="G444" s="250">
        <v>95</v>
      </c>
      <c r="H444" s="250">
        <v>98</v>
      </c>
      <c r="I444" s="250">
        <v>85</v>
      </c>
      <c r="J444" s="250">
        <v>105</v>
      </c>
      <c r="K444" s="36">
        <v>88</v>
      </c>
      <c r="L444" s="20"/>
    </row>
    <row r="445" spans="1:12" x14ac:dyDescent="0.25">
      <c r="A445" s="1775"/>
      <c r="B445" s="1151"/>
      <c r="C445" s="1160"/>
      <c r="D445" s="28" t="s">
        <v>257</v>
      </c>
      <c r="E445" s="94"/>
      <c r="F445" s="80">
        <v>84</v>
      </c>
      <c r="G445" s="80">
        <v>93</v>
      </c>
      <c r="H445" s="80">
        <v>95</v>
      </c>
      <c r="I445" s="80">
        <v>81</v>
      </c>
      <c r="J445" s="80">
        <v>103</v>
      </c>
      <c r="K445" s="28">
        <v>86</v>
      </c>
      <c r="L445" s="21"/>
    </row>
    <row r="446" spans="1:12" x14ac:dyDescent="0.25">
      <c r="A446" s="1775"/>
      <c r="B446" s="1151"/>
      <c r="C446" s="1160"/>
      <c r="D446" s="28" t="s">
        <v>263</v>
      </c>
      <c r="E446" s="94"/>
      <c r="F446" s="80">
        <v>2</v>
      </c>
      <c r="G446" s="80">
        <v>2</v>
      </c>
      <c r="H446" s="80">
        <v>3</v>
      </c>
      <c r="I446" s="80">
        <v>4</v>
      </c>
      <c r="J446" s="80">
        <v>2</v>
      </c>
      <c r="K446" s="28">
        <v>2</v>
      </c>
      <c r="L446" s="21"/>
    </row>
    <row r="447" spans="1:12" ht="16.5" thickBot="1" x14ac:dyDescent="0.3">
      <c r="A447" s="1775"/>
      <c r="B447" s="1151"/>
      <c r="C447" s="1161"/>
      <c r="D447" s="203" t="s">
        <v>270</v>
      </c>
      <c r="E447" s="104"/>
      <c r="F447" s="253">
        <f>(F446*100)/F444</f>
        <v>2.3255813953488373</v>
      </c>
      <c r="G447" s="253">
        <f t="shared" ref="G447:K447" si="43">(G446*100)/G444</f>
        <v>2.1052631578947367</v>
      </c>
      <c r="H447" s="253">
        <f t="shared" si="43"/>
        <v>3.0612244897959182</v>
      </c>
      <c r="I447" s="253">
        <f t="shared" si="43"/>
        <v>4.7058823529411766</v>
      </c>
      <c r="J447" s="253">
        <f t="shared" si="43"/>
        <v>1.9047619047619047</v>
      </c>
      <c r="K447" s="253">
        <f t="shared" si="43"/>
        <v>2.2727272727272729</v>
      </c>
      <c r="L447" s="22"/>
    </row>
    <row r="448" spans="1:12" ht="14.85" customHeight="1" x14ac:dyDescent="0.25">
      <c r="A448" s="1775"/>
      <c r="B448" s="1151"/>
      <c r="C448" s="1159" t="s">
        <v>522</v>
      </c>
      <c r="D448" s="248" t="s">
        <v>251</v>
      </c>
      <c r="E448" s="249"/>
      <c r="F448" s="250">
        <v>106</v>
      </c>
      <c r="G448" s="250">
        <v>41</v>
      </c>
      <c r="H448" s="250">
        <v>59</v>
      </c>
      <c r="I448" s="250">
        <v>64</v>
      </c>
      <c r="J448" s="250">
        <v>68</v>
      </c>
      <c r="K448" s="36">
        <v>72</v>
      </c>
      <c r="L448" s="20"/>
    </row>
    <row r="449" spans="1:12" x14ac:dyDescent="0.25">
      <c r="A449" s="1775"/>
      <c r="B449" s="1151"/>
      <c r="C449" s="1160"/>
      <c r="D449" s="28" t="s">
        <v>257</v>
      </c>
      <c r="E449" s="94"/>
      <c r="F449" s="80">
        <v>106</v>
      </c>
      <c r="G449" s="80">
        <v>39</v>
      </c>
      <c r="H449" s="80">
        <v>59</v>
      </c>
      <c r="I449" s="80">
        <v>64</v>
      </c>
      <c r="J449" s="80">
        <v>68</v>
      </c>
      <c r="K449" s="28">
        <v>70</v>
      </c>
      <c r="L449" s="21"/>
    </row>
    <row r="450" spans="1:12" x14ac:dyDescent="0.25">
      <c r="A450" s="1775"/>
      <c r="B450" s="1151"/>
      <c r="C450" s="1160"/>
      <c r="D450" s="28" t="s">
        <v>263</v>
      </c>
      <c r="E450" s="94"/>
      <c r="F450" s="80">
        <v>0</v>
      </c>
      <c r="G450" s="80">
        <v>2</v>
      </c>
      <c r="H450" s="80">
        <v>0</v>
      </c>
      <c r="I450" s="80">
        <v>0</v>
      </c>
      <c r="J450" s="80">
        <v>0</v>
      </c>
      <c r="K450" s="28">
        <v>2</v>
      </c>
      <c r="L450" s="21"/>
    </row>
    <row r="451" spans="1:12" ht="16.5" thickBot="1" x14ac:dyDescent="0.3">
      <c r="A451" s="1775"/>
      <c r="B451" s="1151"/>
      <c r="C451" s="1161"/>
      <c r="D451" s="203" t="s">
        <v>270</v>
      </c>
      <c r="E451" s="104"/>
      <c r="F451" s="253">
        <f>(F450*100)/F448</f>
        <v>0</v>
      </c>
      <c r="G451" s="253">
        <f t="shared" ref="G451:K451" si="44">(G450*100)/G448</f>
        <v>4.8780487804878048</v>
      </c>
      <c r="H451" s="253">
        <f t="shared" si="44"/>
        <v>0</v>
      </c>
      <c r="I451" s="253">
        <f t="shared" si="44"/>
        <v>0</v>
      </c>
      <c r="J451" s="253">
        <f t="shared" si="44"/>
        <v>0</v>
      </c>
      <c r="K451" s="253">
        <f t="shared" si="44"/>
        <v>2.7777777777777777</v>
      </c>
      <c r="L451" s="22"/>
    </row>
    <row r="452" spans="1:12" ht="14.85" customHeight="1" x14ac:dyDescent="0.25">
      <c r="A452" s="1775"/>
      <c r="B452" s="1151"/>
      <c r="C452" s="1159" t="s">
        <v>524</v>
      </c>
      <c r="D452" s="248" t="s">
        <v>251</v>
      </c>
      <c r="E452" s="249"/>
      <c r="F452" s="344">
        <v>184</v>
      </c>
      <c r="G452" s="250">
        <v>203</v>
      </c>
      <c r="H452" s="250">
        <v>449</v>
      </c>
      <c r="I452" s="250">
        <v>474</v>
      </c>
      <c r="J452" s="250">
        <v>476</v>
      </c>
      <c r="K452" s="36">
        <v>469</v>
      </c>
      <c r="L452" s="20"/>
    </row>
    <row r="453" spans="1:12" x14ac:dyDescent="0.25">
      <c r="A453" s="1775"/>
      <c r="B453" s="1151"/>
      <c r="C453" s="1160"/>
      <c r="D453" s="28" t="s">
        <v>257</v>
      </c>
      <c r="E453" s="94"/>
      <c r="F453" s="181">
        <v>164</v>
      </c>
      <c r="G453" s="80">
        <v>180</v>
      </c>
      <c r="H453" s="80">
        <v>374</v>
      </c>
      <c r="I453" s="80">
        <v>396</v>
      </c>
      <c r="J453" s="80">
        <v>399</v>
      </c>
      <c r="K453" s="28">
        <v>391</v>
      </c>
      <c r="L453" s="21"/>
    </row>
    <row r="454" spans="1:12" x14ac:dyDescent="0.25">
      <c r="A454" s="1775"/>
      <c r="B454" s="1151"/>
      <c r="C454" s="1160"/>
      <c r="D454" s="28" t="s">
        <v>263</v>
      </c>
      <c r="E454" s="94"/>
      <c r="F454" s="181">
        <v>20</v>
      </c>
      <c r="G454" s="80">
        <v>23</v>
      </c>
      <c r="H454" s="80">
        <v>75</v>
      </c>
      <c r="I454" s="80">
        <v>78</v>
      </c>
      <c r="J454" s="80">
        <v>77</v>
      </c>
      <c r="K454" s="28">
        <v>78</v>
      </c>
      <c r="L454" s="21"/>
    </row>
    <row r="455" spans="1:12" ht="16.5" thickBot="1" x14ac:dyDescent="0.3">
      <c r="A455" s="1775"/>
      <c r="B455" s="1151"/>
      <c r="C455" s="1161"/>
      <c r="D455" s="203" t="s">
        <v>270</v>
      </c>
      <c r="E455" s="104"/>
      <c r="F455" s="253">
        <f>(F454*100)/F452</f>
        <v>10.869565217391305</v>
      </c>
      <c r="G455" s="253">
        <f t="shared" ref="G455:K455" si="45">(G454*100)/G452</f>
        <v>11.330049261083744</v>
      </c>
      <c r="H455" s="253">
        <f t="shared" si="45"/>
        <v>16.70378619153675</v>
      </c>
      <c r="I455" s="253">
        <f t="shared" si="45"/>
        <v>16.455696202531644</v>
      </c>
      <c r="J455" s="253">
        <f t="shared" si="45"/>
        <v>16.176470588235293</v>
      </c>
      <c r="K455" s="253">
        <f t="shared" si="45"/>
        <v>16.631130063965884</v>
      </c>
      <c r="L455" s="22"/>
    </row>
    <row r="456" spans="1:12" ht="14.85" customHeight="1" x14ac:dyDescent="0.25">
      <c r="A456" s="1775"/>
      <c r="B456" s="1151"/>
      <c r="C456" s="1159" t="s">
        <v>531</v>
      </c>
      <c r="D456" s="248" t="s">
        <v>251</v>
      </c>
      <c r="E456" s="249"/>
      <c r="F456" s="225">
        <v>220</v>
      </c>
      <c r="G456" s="225">
        <v>241</v>
      </c>
      <c r="H456" s="225">
        <v>381</v>
      </c>
      <c r="I456" s="225">
        <v>359</v>
      </c>
      <c r="J456" s="225">
        <v>343</v>
      </c>
      <c r="K456" s="36">
        <v>381</v>
      </c>
      <c r="L456" s="20"/>
    </row>
    <row r="457" spans="1:12" x14ac:dyDescent="0.25">
      <c r="A457" s="1775"/>
      <c r="B457" s="1151"/>
      <c r="C457" s="1160"/>
      <c r="D457" s="28" t="s">
        <v>257</v>
      </c>
      <c r="E457" s="94"/>
      <c r="F457" s="96">
        <v>15</v>
      </c>
      <c r="G457" s="96">
        <v>16</v>
      </c>
      <c r="H457" s="96">
        <v>65</v>
      </c>
      <c r="I457" s="96">
        <v>69</v>
      </c>
      <c r="J457" s="96">
        <v>54</v>
      </c>
      <c r="K457" s="28">
        <v>50</v>
      </c>
      <c r="L457" s="21"/>
    </row>
    <row r="458" spans="1:12" x14ac:dyDescent="0.25">
      <c r="A458" s="1775"/>
      <c r="B458" s="1151"/>
      <c r="C458" s="1160"/>
      <c r="D458" s="28" t="s">
        <v>263</v>
      </c>
      <c r="E458" s="94"/>
      <c r="F458" s="96">
        <v>205</v>
      </c>
      <c r="G458" s="96">
        <v>225</v>
      </c>
      <c r="H458" s="96">
        <v>316</v>
      </c>
      <c r="I458" s="96">
        <v>290</v>
      </c>
      <c r="J458" s="96">
        <v>289</v>
      </c>
      <c r="K458" s="28">
        <v>331</v>
      </c>
      <c r="L458" s="21"/>
    </row>
    <row r="459" spans="1:12" ht="16.5" thickBot="1" x14ac:dyDescent="0.3">
      <c r="A459" s="1775"/>
      <c r="B459" s="1151"/>
      <c r="C459" s="1161"/>
      <c r="D459" s="203" t="s">
        <v>270</v>
      </c>
      <c r="E459" s="104"/>
      <c r="F459" s="251">
        <f>(F458*100)/F456</f>
        <v>93.181818181818187</v>
      </c>
      <c r="G459" s="251">
        <f t="shared" ref="G459:K459" si="46">(G458*100)/G456</f>
        <v>93.360995850622402</v>
      </c>
      <c r="H459" s="251">
        <f t="shared" si="46"/>
        <v>82.939632545931758</v>
      </c>
      <c r="I459" s="251">
        <f t="shared" si="46"/>
        <v>80.779944289693589</v>
      </c>
      <c r="J459" s="251">
        <f t="shared" si="46"/>
        <v>84.256559766763843</v>
      </c>
      <c r="K459" s="251">
        <f t="shared" si="46"/>
        <v>86.876640419947506</v>
      </c>
      <c r="L459" s="22"/>
    </row>
    <row r="460" spans="1:12" ht="14.85" customHeight="1" x14ac:dyDescent="0.25">
      <c r="A460" s="1775"/>
      <c r="B460" s="1151"/>
      <c r="C460" s="1159" t="s">
        <v>566</v>
      </c>
      <c r="D460" s="248" t="s">
        <v>251</v>
      </c>
      <c r="E460" s="249"/>
      <c r="F460" s="250">
        <v>95</v>
      </c>
      <c r="G460" s="250">
        <v>113</v>
      </c>
      <c r="H460" s="250">
        <v>161</v>
      </c>
      <c r="I460" s="250"/>
      <c r="J460" s="250"/>
      <c r="K460" s="36"/>
      <c r="L460" s="20"/>
    </row>
    <row r="461" spans="1:12" x14ac:dyDescent="0.25">
      <c r="A461" s="1775"/>
      <c r="B461" s="1151"/>
      <c r="C461" s="1160"/>
      <c r="D461" s="28" t="s">
        <v>257</v>
      </c>
      <c r="E461" s="94"/>
      <c r="F461" s="80">
        <v>53</v>
      </c>
      <c r="G461" s="80">
        <v>57</v>
      </c>
      <c r="H461" s="80">
        <v>74</v>
      </c>
      <c r="I461" s="80"/>
      <c r="J461" s="80"/>
      <c r="K461" s="28"/>
      <c r="L461" s="21"/>
    </row>
    <row r="462" spans="1:12" x14ac:dyDescent="0.25">
      <c r="A462" s="1775"/>
      <c r="B462" s="1151"/>
      <c r="C462" s="1160"/>
      <c r="D462" s="28" t="s">
        <v>263</v>
      </c>
      <c r="E462" s="94"/>
      <c r="F462" s="80">
        <v>42</v>
      </c>
      <c r="G462" s="80">
        <v>56</v>
      </c>
      <c r="H462" s="80">
        <v>87</v>
      </c>
      <c r="I462" s="80"/>
      <c r="J462" s="80"/>
      <c r="K462" s="28"/>
      <c r="L462" s="21"/>
    </row>
    <row r="463" spans="1:12" ht="16.5" thickBot="1" x14ac:dyDescent="0.3">
      <c r="A463" s="1775"/>
      <c r="B463" s="1151"/>
      <c r="C463" s="1161"/>
      <c r="D463" s="203" t="s">
        <v>270</v>
      </c>
      <c r="E463" s="104"/>
      <c r="F463" s="252">
        <f>(F462*100)/F460</f>
        <v>44.210526315789473</v>
      </c>
      <c r="G463" s="252">
        <f t="shared" ref="G463:H463" si="47">(G462*100)/G460</f>
        <v>49.557522123893804</v>
      </c>
      <c r="H463" s="252">
        <f t="shared" si="47"/>
        <v>54.037267080745345</v>
      </c>
      <c r="I463" s="190"/>
      <c r="J463" s="190"/>
      <c r="K463" s="33"/>
      <c r="L463" s="22"/>
    </row>
    <row r="464" spans="1:12" ht="14.85" customHeight="1" x14ac:dyDescent="0.25">
      <c r="A464" s="1775"/>
      <c r="B464" s="1151"/>
      <c r="C464" s="1159" t="s">
        <v>539</v>
      </c>
      <c r="D464" s="248" t="s">
        <v>251</v>
      </c>
      <c r="E464" s="249"/>
      <c r="F464" s="250">
        <v>53</v>
      </c>
      <c r="G464" s="250">
        <v>87</v>
      </c>
      <c r="H464" s="250">
        <v>268</v>
      </c>
      <c r="I464" s="250">
        <v>251</v>
      </c>
      <c r="J464" s="250">
        <v>163</v>
      </c>
      <c r="K464" s="36">
        <v>139</v>
      </c>
      <c r="L464" s="20"/>
    </row>
    <row r="465" spans="1:12" x14ac:dyDescent="0.25">
      <c r="A465" s="1775"/>
      <c r="B465" s="1151"/>
      <c r="C465" s="1160"/>
      <c r="D465" s="28" t="s">
        <v>257</v>
      </c>
      <c r="E465" s="94"/>
      <c r="F465" s="80">
        <v>50</v>
      </c>
      <c r="G465" s="80">
        <v>76</v>
      </c>
      <c r="H465" s="80">
        <v>234</v>
      </c>
      <c r="I465" s="80">
        <v>213</v>
      </c>
      <c r="J465" s="80">
        <v>133</v>
      </c>
      <c r="K465" s="28">
        <v>119</v>
      </c>
      <c r="L465" s="21"/>
    </row>
    <row r="466" spans="1:12" x14ac:dyDescent="0.25">
      <c r="A466" s="1775"/>
      <c r="B466" s="1151"/>
      <c r="C466" s="1160"/>
      <c r="D466" s="28" t="s">
        <v>263</v>
      </c>
      <c r="E466" s="94"/>
      <c r="F466" s="80">
        <v>3</v>
      </c>
      <c r="G466" s="80">
        <v>11</v>
      </c>
      <c r="H466" s="80">
        <v>34</v>
      </c>
      <c r="I466" s="80">
        <v>38</v>
      </c>
      <c r="J466" s="80">
        <v>30</v>
      </c>
      <c r="K466" s="28">
        <v>20</v>
      </c>
      <c r="L466" s="21"/>
    </row>
    <row r="467" spans="1:12" ht="16.5" thickBot="1" x14ac:dyDescent="0.3">
      <c r="A467" s="1775"/>
      <c r="B467" s="1151"/>
      <c r="C467" s="1161"/>
      <c r="D467" s="203" t="s">
        <v>270</v>
      </c>
      <c r="E467" s="104"/>
      <c r="F467" s="253">
        <f>(F466*100)/F464</f>
        <v>5.6603773584905657</v>
      </c>
      <c r="G467" s="253">
        <f t="shared" ref="G467:K467" si="48">(G466*100)/G464</f>
        <v>12.64367816091954</v>
      </c>
      <c r="H467" s="253">
        <f t="shared" si="48"/>
        <v>12.686567164179104</v>
      </c>
      <c r="I467" s="253">
        <f t="shared" si="48"/>
        <v>15.139442231075698</v>
      </c>
      <c r="J467" s="253">
        <f t="shared" si="48"/>
        <v>18.404907975460123</v>
      </c>
      <c r="K467" s="253">
        <f t="shared" si="48"/>
        <v>14.388489208633093</v>
      </c>
      <c r="L467" s="22"/>
    </row>
    <row r="468" spans="1:12" ht="14.85" customHeight="1" x14ac:dyDescent="0.25">
      <c r="A468" s="1775"/>
      <c r="B468" s="1151"/>
      <c r="C468" s="1159" t="s">
        <v>572</v>
      </c>
      <c r="D468" s="248" t="s">
        <v>251</v>
      </c>
      <c r="E468" s="249"/>
      <c r="F468" s="250">
        <v>46</v>
      </c>
      <c r="G468" s="250">
        <v>58</v>
      </c>
      <c r="H468" s="250">
        <v>122</v>
      </c>
      <c r="I468" s="250">
        <v>124</v>
      </c>
      <c r="J468" s="250">
        <v>153</v>
      </c>
      <c r="K468" s="36">
        <v>154</v>
      </c>
      <c r="L468" s="20"/>
    </row>
    <row r="469" spans="1:12" x14ac:dyDescent="0.25">
      <c r="A469" s="1775"/>
      <c r="B469" s="1151"/>
      <c r="C469" s="1160"/>
      <c r="D469" s="28" t="s">
        <v>257</v>
      </c>
      <c r="E469" s="94"/>
      <c r="F469" s="80">
        <v>4</v>
      </c>
      <c r="G469" s="80">
        <v>2</v>
      </c>
      <c r="H469" s="80">
        <v>24</v>
      </c>
      <c r="I469" s="80">
        <v>26</v>
      </c>
      <c r="J469" s="80">
        <v>32</v>
      </c>
      <c r="K469" s="28">
        <v>35</v>
      </c>
      <c r="L469" s="21"/>
    </row>
    <row r="470" spans="1:12" x14ac:dyDescent="0.25">
      <c r="A470" s="1775"/>
      <c r="B470" s="1151"/>
      <c r="C470" s="1160"/>
      <c r="D470" s="28" t="s">
        <v>263</v>
      </c>
      <c r="E470" s="94"/>
      <c r="F470" s="80">
        <v>42</v>
      </c>
      <c r="G470" s="80">
        <v>56</v>
      </c>
      <c r="H470" s="80">
        <v>98</v>
      </c>
      <c r="I470" s="80">
        <v>98</v>
      </c>
      <c r="J470" s="80">
        <v>121</v>
      </c>
      <c r="K470" s="28">
        <v>119</v>
      </c>
      <c r="L470" s="21"/>
    </row>
    <row r="471" spans="1:12" ht="16.5" thickBot="1" x14ac:dyDescent="0.3">
      <c r="A471" s="1775"/>
      <c r="B471" s="1151"/>
      <c r="C471" s="1161"/>
      <c r="D471" s="203" t="s">
        <v>270</v>
      </c>
      <c r="E471" s="104"/>
      <c r="F471" s="251">
        <f>(F470*100)/F468</f>
        <v>91.304347826086953</v>
      </c>
      <c r="G471" s="251">
        <f t="shared" ref="G471:K471" si="49">(G470*100)/G468</f>
        <v>96.551724137931032</v>
      </c>
      <c r="H471" s="251">
        <f t="shared" si="49"/>
        <v>80.327868852459019</v>
      </c>
      <c r="I471" s="251">
        <f t="shared" si="49"/>
        <v>79.032258064516128</v>
      </c>
      <c r="J471" s="251">
        <f t="shared" si="49"/>
        <v>79.084967320261441</v>
      </c>
      <c r="K471" s="251">
        <f t="shared" si="49"/>
        <v>77.272727272727266</v>
      </c>
      <c r="L471" s="22"/>
    </row>
    <row r="472" spans="1:12" ht="14.85" customHeight="1" x14ac:dyDescent="0.25">
      <c r="A472" s="1775"/>
      <c r="B472" s="1151"/>
      <c r="C472" s="1159" t="s">
        <v>480</v>
      </c>
      <c r="D472" s="248" t="s">
        <v>251</v>
      </c>
      <c r="E472" s="249"/>
      <c r="F472" s="225"/>
      <c r="G472" s="225">
        <v>97</v>
      </c>
      <c r="H472" s="225">
        <v>36</v>
      </c>
      <c r="I472" s="225">
        <v>28</v>
      </c>
      <c r="J472" s="225">
        <v>33</v>
      </c>
      <c r="K472" s="36">
        <v>37</v>
      </c>
      <c r="L472" s="20"/>
    </row>
    <row r="473" spans="1:12" x14ac:dyDescent="0.25">
      <c r="A473" s="1775"/>
      <c r="B473" s="1151"/>
      <c r="C473" s="1160"/>
      <c r="D473" s="28" t="s">
        <v>257</v>
      </c>
      <c r="E473" s="94"/>
      <c r="F473" s="96"/>
      <c r="G473" s="96">
        <v>59</v>
      </c>
      <c r="H473" s="96">
        <v>17</v>
      </c>
      <c r="I473" s="96">
        <v>12</v>
      </c>
      <c r="J473" s="96">
        <v>13</v>
      </c>
      <c r="K473" s="28">
        <v>22</v>
      </c>
      <c r="L473" s="21"/>
    </row>
    <row r="474" spans="1:12" x14ac:dyDescent="0.25">
      <c r="A474" s="1775"/>
      <c r="B474" s="1151"/>
      <c r="C474" s="1160"/>
      <c r="D474" s="28" t="s">
        <v>263</v>
      </c>
      <c r="E474" s="94"/>
      <c r="F474" s="96"/>
      <c r="G474" s="96">
        <v>38</v>
      </c>
      <c r="H474" s="96">
        <v>19</v>
      </c>
      <c r="I474" s="96">
        <v>16</v>
      </c>
      <c r="J474" s="96">
        <v>20</v>
      </c>
      <c r="K474" s="28">
        <v>15</v>
      </c>
      <c r="L474" s="21"/>
    </row>
    <row r="475" spans="1:12" ht="16.5" thickBot="1" x14ac:dyDescent="0.3">
      <c r="A475" s="1775"/>
      <c r="B475" s="1151"/>
      <c r="C475" s="1161"/>
      <c r="D475" s="203" t="s">
        <v>270</v>
      </c>
      <c r="E475" s="104"/>
      <c r="F475" s="190"/>
      <c r="G475" s="253">
        <f>(G474*100)/G472</f>
        <v>39.175257731958766</v>
      </c>
      <c r="H475" s="252">
        <f t="shared" ref="H475" si="50">(H474*100)/H472</f>
        <v>52.777777777777779</v>
      </c>
      <c r="I475" s="252">
        <f t="shared" ref="I475" si="51">(I474*100)/I472</f>
        <v>57.142857142857146</v>
      </c>
      <c r="J475" s="251">
        <f t="shared" ref="J475:K475" si="52">(J474*100)/J472</f>
        <v>60.606060606060609</v>
      </c>
      <c r="K475" s="251">
        <f t="shared" si="52"/>
        <v>40.54054054054054</v>
      </c>
      <c r="L475" s="22"/>
    </row>
    <row r="476" spans="1:12" ht="14.85" customHeight="1" x14ac:dyDescent="0.25">
      <c r="A476" s="1775"/>
      <c r="B476" s="1151"/>
      <c r="C476" s="1159" t="s">
        <v>561</v>
      </c>
      <c r="D476" s="248" t="s">
        <v>251</v>
      </c>
      <c r="E476" s="249"/>
      <c r="F476" s="250"/>
      <c r="G476" s="250"/>
      <c r="H476" s="250">
        <v>25</v>
      </c>
      <c r="I476" s="250">
        <v>44</v>
      </c>
      <c r="J476" s="250">
        <v>42</v>
      </c>
      <c r="K476" s="36">
        <v>21</v>
      </c>
      <c r="L476" s="20"/>
    </row>
    <row r="477" spans="1:12" x14ac:dyDescent="0.25">
      <c r="A477" s="1775"/>
      <c r="B477" s="1151"/>
      <c r="C477" s="1160"/>
      <c r="D477" s="28" t="s">
        <v>257</v>
      </c>
      <c r="E477" s="94"/>
      <c r="F477" s="80"/>
      <c r="G477" s="80"/>
      <c r="H477" s="80">
        <v>10</v>
      </c>
      <c r="I477" s="80">
        <v>18</v>
      </c>
      <c r="J477" s="80">
        <v>4</v>
      </c>
      <c r="K477" s="28">
        <v>6</v>
      </c>
      <c r="L477" s="21"/>
    </row>
    <row r="478" spans="1:12" x14ac:dyDescent="0.25">
      <c r="A478" s="1775"/>
      <c r="B478" s="1151"/>
      <c r="C478" s="1160"/>
      <c r="D478" s="28" t="s">
        <v>263</v>
      </c>
      <c r="E478" s="94"/>
      <c r="F478" s="80"/>
      <c r="G478" s="80"/>
      <c r="H478" s="80">
        <v>15</v>
      </c>
      <c r="I478" s="80">
        <v>26</v>
      </c>
      <c r="J478" s="80">
        <v>28</v>
      </c>
      <c r="K478" s="28">
        <v>15</v>
      </c>
      <c r="L478" s="21"/>
    </row>
    <row r="479" spans="1:12" ht="16.5" thickBot="1" x14ac:dyDescent="0.3">
      <c r="A479" s="1775"/>
      <c r="B479" s="1151"/>
      <c r="C479" s="1161"/>
      <c r="D479" s="203" t="s">
        <v>270</v>
      </c>
      <c r="E479" s="104"/>
      <c r="F479" s="197"/>
      <c r="G479" s="197"/>
      <c r="H479" s="251">
        <f>(H478*100)/H476</f>
        <v>60</v>
      </c>
      <c r="I479" s="252">
        <f t="shared" ref="I479:K479" si="53">(I478*100)/I476</f>
        <v>59.090909090909093</v>
      </c>
      <c r="J479" s="251">
        <f t="shared" si="53"/>
        <v>66.666666666666671</v>
      </c>
      <c r="K479" s="251">
        <f t="shared" si="53"/>
        <v>71.428571428571431</v>
      </c>
      <c r="L479" s="22"/>
    </row>
    <row r="480" spans="1:12" x14ac:dyDescent="0.25">
      <c r="A480" s="1775"/>
      <c r="B480" s="1151"/>
      <c r="C480" s="1166" t="s">
        <v>472</v>
      </c>
      <c r="D480" s="308" t="s">
        <v>473</v>
      </c>
      <c r="E480" s="249"/>
      <c r="F480" s="261">
        <f>4/9*100</f>
        <v>44.444444444444443</v>
      </c>
      <c r="G480" s="261">
        <v>50</v>
      </c>
      <c r="H480" s="261">
        <f>4/11*100</f>
        <v>36.363636363636367</v>
      </c>
      <c r="I480" s="261">
        <v>40</v>
      </c>
      <c r="J480" s="261">
        <v>40</v>
      </c>
      <c r="K480" s="261">
        <v>40</v>
      </c>
      <c r="L480" s="20"/>
    </row>
    <row r="481" spans="1:12" x14ac:dyDescent="0.25">
      <c r="A481" s="1775"/>
      <c r="B481" s="1151"/>
      <c r="C481" s="1167"/>
      <c r="D481" s="232" t="s">
        <v>474</v>
      </c>
      <c r="E481" s="94"/>
      <c r="F481" s="234">
        <f>4/9*100</f>
        <v>44.444444444444443</v>
      </c>
      <c r="G481" s="234">
        <v>30</v>
      </c>
      <c r="H481" s="234">
        <f>4/11*100</f>
        <v>36.363636363636367</v>
      </c>
      <c r="I481" s="234">
        <v>30</v>
      </c>
      <c r="J481" s="234">
        <v>50</v>
      </c>
      <c r="K481" s="234">
        <v>50</v>
      </c>
      <c r="L481" s="21"/>
    </row>
    <row r="482" spans="1:12" ht="16.5" thickBot="1" x14ac:dyDescent="0.3">
      <c r="A482" s="1775"/>
      <c r="B482" s="1152"/>
      <c r="C482" s="1255"/>
      <c r="D482" s="311" t="s">
        <v>475</v>
      </c>
      <c r="E482" s="104"/>
      <c r="F482" s="312">
        <f>1/9*100</f>
        <v>11.111111111111111</v>
      </c>
      <c r="G482" s="312">
        <v>20</v>
      </c>
      <c r="H482" s="312">
        <f>3/11*100</f>
        <v>27.27272727272727</v>
      </c>
      <c r="I482" s="312">
        <v>30</v>
      </c>
      <c r="J482" s="312">
        <v>10</v>
      </c>
      <c r="K482" s="312">
        <v>10</v>
      </c>
      <c r="L482" s="22"/>
    </row>
    <row r="483" spans="1:12" ht="16.5" thickBot="1" x14ac:dyDescent="0.3">
      <c r="A483" s="1775"/>
      <c r="B483" s="823" t="s">
        <v>249</v>
      </c>
      <c r="C483" s="1681"/>
      <c r="D483" s="1681"/>
      <c r="E483" s="112">
        <v>2005</v>
      </c>
      <c r="F483" s="112">
        <v>2010</v>
      </c>
      <c r="G483" s="112">
        <v>2015</v>
      </c>
      <c r="H483" s="112">
        <v>2020</v>
      </c>
      <c r="I483" s="112">
        <v>2021</v>
      </c>
      <c r="J483" s="112">
        <v>2022</v>
      </c>
      <c r="K483" s="112">
        <v>2023</v>
      </c>
      <c r="L483" s="796">
        <v>2024</v>
      </c>
    </row>
    <row r="484" spans="1:12" x14ac:dyDescent="0.25">
      <c r="A484" s="1776"/>
      <c r="B484" s="1150" t="s">
        <v>219</v>
      </c>
      <c r="C484" s="1205" t="s">
        <v>459</v>
      </c>
      <c r="D484" s="1206"/>
      <c r="E484" s="36"/>
      <c r="F484" s="259"/>
      <c r="G484" s="260"/>
      <c r="H484" s="359">
        <v>235</v>
      </c>
      <c r="I484" s="359">
        <v>693</v>
      </c>
      <c r="J484" s="359">
        <v>921</v>
      </c>
      <c r="K484" s="359">
        <v>793</v>
      </c>
      <c r="L484" s="20"/>
    </row>
    <row r="485" spans="1:12" x14ac:dyDescent="0.25">
      <c r="A485" s="1776"/>
      <c r="B485" s="1151"/>
      <c r="C485" s="1148" t="s">
        <v>436</v>
      </c>
      <c r="D485" s="1124"/>
      <c r="E485" s="28"/>
      <c r="F485" s="187"/>
      <c r="G485" s="187"/>
      <c r="H485" s="358">
        <v>106</v>
      </c>
      <c r="I485" s="358">
        <v>416</v>
      </c>
      <c r="J485" s="358">
        <v>510</v>
      </c>
      <c r="K485" s="358">
        <v>461</v>
      </c>
      <c r="L485" s="21"/>
    </row>
    <row r="486" spans="1:12" x14ac:dyDescent="0.25">
      <c r="A486" s="1776"/>
      <c r="B486" s="1151"/>
      <c r="C486" s="1148" t="s">
        <v>437</v>
      </c>
      <c r="D486" s="1124"/>
      <c r="E486" s="96"/>
      <c r="F486" s="96"/>
      <c r="G486" s="96"/>
      <c r="H486" s="358">
        <v>129</v>
      </c>
      <c r="I486" s="358">
        <v>277</v>
      </c>
      <c r="J486" s="358">
        <v>411</v>
      </c>
      <c r="K486" s="358">
        <v>332</v>
      </c>
      <c r="L486" s="21"/>
    </row>
    <row r="487" spans="1:12" x14ac:dyDescent="0.25">
      <c r="A487" s="1776"/>
      <c r="B487" s="1151"/>
      <c r="C487" s="1190" t="s">
        <v>353</v>
      </c>
      <c r="D487" s="1112"/>
      <c r="E487" s="157"/>
      <c r="F487" s="157"/>
      <c r="G487" s="157"/>
      <c r="H487" s="157">
        <f>H486-H485</f>
        <v>23</v>
      </c>
      <c r="I487" s="157">
        <f>I486-I485</f>
        <v>-139</v>
      </c>
      <c r="J487" s="157">
        <f>J486-J485</f>
        <v>-99</v>
      </c>
      <c r="K487" s="157">
        <f>K486-K485</f>
        <v>-129</v>
      </c>
      <c r="L487" s="21"/>
    </row>
    <row r="488" spans="1:12" x14ac:dyDescent="0.25">
      <c r="A488" s="1776"/>
      <c r="B488" s="1151"/>
      <c r="C488" s="1561" t="s">
        <v>270</v>
      </c>
      <c r="D488" s="1128"/>
      <c r="E488" s="96"/>
      <c r="F488" s="96"/>
      <c r="G488" s="96"/>
      <c r="H488" s="765">
        <f>H486/H484*100</f>
        <v>54.893617021276597</v>
      </c>
      <c r="I488" s="31">
        <f>I486/I484*100</f>
        <v>39.971139971139969</v>
      </c>
      <c r="J488" s="31">
        <f>J486/J484*100</f>
        <v>44.625407166123779</v>
      </c>
      <c r="K488" s="31">
        <f>K486/K484*100</f>
        <v>41.866330390920552</v>
      </c>
      <c r="L488" s="21"/>
    </row>
    <row r="489" spans="1:12" x14ac:dyDescent="0.25">
      <c r="A489" s="1776"/>
      <c r="B489" s="1151"/>
      <c r="C489" s="1190" t="s">
        <v>484</v>
      </c>
      <c r="D489" s="1112"/>
      <c r="E489" s="96"/>
      <c r="F489" s="96"/>
      <c r="G489" s="96"/>
      <c r="H489" s="233">
        <f>2/10*100</f>
        <v>20</v>
      </c>
      <c r="I489" s="233">
        <f>11/17*100</f>
        <v>64.705882352941174</v>
      </c>
      <c r="J489" s="233">
        <f>8/19*100</f>
        <v>42.105263157894733</v>
      </c>
      <c r="K489" s="818">
        <v>53.333333333333336</v>
      </c>
      <c r="L489" s="21"/>
    </row>
    <row r="490" spans="1:12" x14ac:dyDescent="0.25">
      <c r="A490" s="1776"/>
      <c r="B490" s="1151"/>
      <c r="C490" s="1190" t="s">
        <v>485</v>
      </c>
      <c r="D490" s="1112"/>
      <c r="E490" s="96"/>
      <c r="F490" s="96"/>
      <c r="G490" s="96"/>
      <c r="H490" s="235">
        <f>4/10*100</f>
        <v>40</v>
      </c>
      <c r="I490" s="235">
        <f>2/17*100</f>
        <v>11.76470588235294</v>
      </c>
      <c r="J490" s="235">
        <f>3/19*100</f>
        <v>15.789473684210526</v>
      </c>
      <c r="K490" s="237">
        <v>20</v>
      </c>
      <c r="L490" s="21"/>
    </row>
    <row r="491" spans="1:12" ht="16.5" thickBot="1" x14ac:dyDescent="0.3">
      <c r="A491" s="1777"/>
      <c r="B491" s="1152"/>
      <c r="C491" s="1224" t="s">
        <v>486</v>
      </c>
      <c r="D491" s="1225"/>
      <c r="E491" s="190"/>
      <c r="F491" s="190"/>
      <c r="G491" s="190"/>
      <c r="H491" s="904">
        <f>4/10*100</f>
        <v>40</v>
      </c>
      <c r="I491" s="904">
        <f>4/17*100</f>
        <v>23.52941176470588</v>
      </c>
      <c r="J491" s="904">
        <f>8/19*100</f>
        <v>42.105263157894733</v>
      </c>
      <c r="K491" s="256">
        <v>26.666666666666668</v>
      </c>
      <c r="L491" s="22"/>
    </row>
    <row r="492" spans="1:12" ht="16.5" thickBot="1" x14ac:dyDescent="0.3">
      <c r="A492" s="338" t="s">
        <v>248</v>
      </c>
      <c r="B492" s="822" t="s">
        <v>249</v>
      </c>
      <c r="C492" s="1681"/>
      <c r="D492" s="1681"/>
      <c r="E492" s="112">
        <v>2005</v>
      </c>
      <c r="F492" s="112">
        <v>2010</v>
      </c>
      <c r="G492" s="112">
        <v>2015</v>
      </c>
      <c r="H492" s="112">
        <v>2020</v>
      </c>
      <c r="I492" s="112">
        <v>2021</v>
      </c>
      <c r="J492" s="112">
        <v>2022</v>
      </c>
      <c r="K492" s="112">
        <v>2023</v>
      </c>
      <c r="L492" s="112">
        <v>2024</v>
      </c>
    </row>
    <row r="493" spans="1:12" ht="15" customHeight="1" x14ac:dyDescent="0.25">
      <c r="A493" s="1766" t="s">
        <v>487</v>
      </c>
      <c r="B493" s="1572" t="s">
        <v>227</v>
      </c>
      <c r="C493" s="1251" t="s">
        <v>435</v>
      </c>
      <c r="D493" s="1206"/>
      <c r="E493" s="36"/>
      <c r="F493" s="36"/>
      <c r="G493" s="36"/>
      <c r="H493" s="36"/>
      <c r="I493" s="36"/>
      <c r="J493" s="36"/>
      <c r="K493" s="195">
        <v>1129</v>
      </c>
      <c r="L493" s="325">
        <v>1192</v>
      </c>
    </row>
    <row r="494" spans="1:12" x14ac:dyDescent="0.25">
      <c r="A494" s="1767"/>
      <c r="B494" s="1573"/>
      <c r="C494" s="1123" t="s">
        <v>533</v>
      </c>
      <c r="D494" s="1124"/>
      <c r="E494" s="28"/>
      <c r="F494" s="28"/>
      <c r="G494" s="28"/>
      <c r="H494" s="28"/>
      <c r="I494" s="28"/>
      <c r="J494" s="28"/>
      <c r="K494" s="28">
        <v>367</v>
      </c>
      <c r="L494" s="21">
        <v>384</v>
      </c>
    </row>
    <row r="495" spans="1:12" x14ac:dyDescent="0.25">
      <c r="A495" s="1767"/>
      <c r="B495" s="1573"/>
      <c r="C495" s="1123" t="s">
        <v>534</v>
      </c>
      <c r="D495" s="1124"/>
      <c r="E495" s="28"/>
      <c r="F495" s="28"/>
      <c r="G495" s="28"/>
      <c r="H495" s="28"/>
      <c r="I495" s="28"/>
      <c r="J495" s="28"/>
      <c r="K495" s="28">
        <v>762</v>
      </c>
      <c r="L495" s="21">
        <v>808</v>
      </c>
    </row>
    <row r="496" spans="1:12" x14ac:dyDescent="0.25">
      <c r="A496" s="1767"/>
      <c r="B496" s="1573"/>
      <c r="C496" s="1127" t="s">
        <v>353</v>
      </c>
      <c r="D496" s="1128"/>
      <c r="E496" s="28"/>
      <c r="F496" s="28"/>
      <c r="G496" s="28"/>
      <c r="H496" s="28"/>
      <c r="I496" s="28"/>
      <c r="J496" s="28"/>
      <c r="K496" s="262">
        <f t="shared" ref="K496" si="54">K495-K494</f>
        <v>395</v>
      </c>
      <c r="L496" s="317">
        <v>424</v>
      </c>
    </row>
    <row r="497" spans="1:12" ht="16.5" thickBot="1" x14ac:dyDescent="0.3">
      <c r="A497" s="1767"/>
      <c r="B497" s="1573"/>
      <c r="C497" s="1353" t="s">
        <v>270</v>
      </c>
      <c r="D497" s="1178"/>
      <c r="E497" s="441"/>
      <c r="F497" s="441"/>
      <c r="G497" s="441"/>
      <c r="H497" s="441"/>
      <c r="I497" s="441"/>
      <c r="J497" s="441"/>
      <c r="K497" s="165">
        <f t="shared" ref="K497" si="55">K495/K493*100</f>
        <v>67.493356953055809</v>
      </c>
      <c r="L497" s="166">
        <v>67.785234899328856</v>
      </c>
    </row>
    <row r="498" spans="1:12" x14ac:dyDescent="0.25">
      <c r="A498" s="1767"/>
      <c r="B498" s="1769" t="s">
        <v>573</v>
      </c>
      <c r="C498" s="1406" t="s">
        <v>489</v>
      </c>
      <c r="D498" s="1405"/>
      <c r="E498" s="40"/>
      <c r="F498" s="40">
        <v>112</v>
      </c>
      <c r="G498" s="40">
        <v>121</v>
      </c>
      <c r="H498" s="40">
        <v>165</v>
      </c>
      <c r="I498" s="40"/>
      <c r="J498" s="40"/>
      <c r="K498" s="40">
        <v>184</v>
      </c>
      <c r="L498" s="1072">
        <v>48</v>
      </c>
    </row>
    <row r="499" spans="1:12" x14ac:dyDescent="0.25">
      <c r="A499" s="1767"/>
      <c r="B499" s="1769"/>
      <c r="C499" s="1111" t="s">
        <v>490</v>
      </c>
      <c r="D499" s="1112"/>
      <c r="E499" s="44"/>
      <c r="F499" s="44">
        <v>5</v>
      </c>
      <c r="G499" s="44">
        <v>3</v>
      </c>
      <c r="H499" s="44">
        <v>3</v>
      </c>
      <c r="I499" s="44"/>
      <c r="J499" s="44"/>
      <c r="K499" s="44">
        <v>4</v>
      </c>
      <c r="L499" s="1072">
        <v>3</v>
      </c>
    </row>
    <row r="500" spans="1:12" ht="16.5" thickBot="1" x14ac:dyDescent="0.3">
      <c r="A500" s="1768"/>
      <c r="B500" s="1770"/>
      <c r="C500" s="1359" t="s">
        <v>491</v>
      </c>
      <c r="D500" s="1225"/>
      <c r="E500" s="203"/>
      <c r="F500" s="161">
        <f>F499/F498*100</f>
        <v>4.4642857142857144</v>
      </c>
      <c r="G500" s="161">
        <f t="shared" ref="G500:H500" si="56">G499/G498*100</f>
        <v>2.4793388429752068</v>
      </c>
      <c r="H500" s="161">
        <f t="shared" si="56"/>
        <v>1.8181818181818181</v>
      </c>
      <c r="I500" s="203"/>
      <c r="J500" s="203"/>
      <c r="K500" s="161">
        <f>K499/K498*100</f>
        <v>2.1739130434782608</v>
      </c>
      <c r="L500" s="859">
        <v>6.25</v>
      </c>
    </row>
    <row r="501" spans="1:12" ht="16.5" thickBot="1" x14ac:dyDescent="0.3">
      <c r="A501" s="338" t="s">
        <v>248</v>
      </c>
      <c r="B501" s="824" t="s">
        <v>249</v>
      </c>
      <c r="C501" s="1681"/>
      <c r="D501" s="1681"/>
      <c r="E501" s="774">
        <v>2005</v>
      </c>
      <c r="F501" s="774">
        <v>2010</v>
      </c>
      <c r="G501" s="774">
        <v>2015</v>
      </c>
      <c r="H501" s="774">
        <v>2020</v>
      </c>
      <c r="I501" s="774">
        <v>2021</v>
      </c>
      <c r="J501" s="774">
        <v>2022</v>
      </c>
      <c r="K501" s="774">
        <v>2023</v>
      </c>
      <c r="L501" s="112">
        <v>2024</v>
      </c>
    </row>
    <row r="502" spans="1:12" ht="15" customHeight="1" x14ac:dyDescent="0.25">
      <c r="A502" s="1705" t="s">
        <v>492</v>
      </c>
      <c r="B502" s="1258" t="s">
        <v>493</v>
      </c>
      <c r="C502" s="1251" t="s">
        <v>459</v>
      </c>
      <c r="D502" s="1206"/>
      <c r="E502" s="36"/>
      <c r="F502" s="195">
        <v>1377</v>
      </c>
      <c r="G502" s="195">
        <v>1390</v>
      </c>
      <c r="H502" s="195">
        <v>1505</v>
      </c>
      <c r="I502" s="195">
        <v>2041</v>
      </c>
      <c r="J502" s="195">
        <v>2266</v>
      </c>
      <c r="K502" s="195">
        <v>2305</v>
      </c>
      <c r="L502" s="195">
        <v>2358</v>
      </c>
    </row>
    <row r="503" spans="1:12" x14ac:dyDescent="0.25">
      <c r="A503" s="1706"/>
      <c r="B503" s="1259"/>
      <c r="C503" s="1320" t="s">
        <v>436</v>
      </c>
      <c r="D503" s="28" t="s">
        <v>494</v>
      </c>
      <c r="E503" s="28"/>
      <c r="F503" s="96">
        <v>602</v>
      </c>
      <c r="G503" s="96">
        <v>602</v>
      </c>
      <c r="H503" s="96">
        <v>762</v>
      </c>
      <c r="I503" s="96">
        <v>1055</v>
      </c>
      <c r="J503" s="96">
        <v>1183</v>
      </c>
      <c r="K503" s="96">
        <v>1092</v>
      </c>
      <c r="L503" s="96">
        <v>1348</v>
      </c>
    </row>
    <row r="504" spans="1:12" x14ac:dyDescent="0.25">
      <c r="A504" s="1706"/>
      <c r="B504" s="1259"/>
      <c r="C504" s="1320"/>
      <c r="D504" s="28" t="s">
        <v>495</v>
      </c>
      <c r="E504" s="28"/>
      <c r="F504" s="96">
        <v>115</v>
      </c>
      <c r="G504" s="96">
        <v>111</v>
      </c>
      <c r="H504" s="96">
        <v>85</v>
      </c>
      <c r="I504" s="96">
        <v>97</v>
      </c>
      <c r="J504" s="96">
        <v>117</v>
      </c>
      <c r="K504" s="96">
        <v>150</v>
      </c>
      <c r="L504" s="96">
        <v>166</v>
      </c>
    </row>
    <row r="505" spans="1:12" x14ac:dyDescent="0.25">
      <c r="A505" s="1706"/>
      <c r="B505" s="1259"/>
      <c r="C505" s="1320" t="s">
        <v>437</v>
      </c>
      <c r="D505" s="28" t="s">
        <v>496</v>
      </c>
      <c r="E505" s="28"/>
      <c r="F505" s="96">
        <v>171</v>
      </c>
      <c r="G505" s="96">
        <v>189</v>
      </c>
      <c r="H505" s="96">
        <v>232</v>
      </c>
      <c r="I505" s="96">
        <v>368</v>
      </c>
      <c r="J505" s="96">
        <v>361</v>
      </c>
      <c r="K505" s="96">
        <v>398</v>
      </c>
      <c r="L505" s="96">
        <v>361</v>
      </c>
    </row>
    <row r="506" spans="1:12" ht="16.5" thickBot="1" x14ac:dyDescent="0.3">
      <c r="A506" s="1706"/>
      <c r="B506" s="1259"/>
      <c r="C506" s="1321"/>
      <c r="D506" s="33" t="s">
        <v>497</v>
      </c>
      <c r="E506" s="33"/>
      <c r="F506" s="190">
        <v>158</v>
      </c>
      <c r="G506" s="190">
        <v>162</v>
      </c>
      <c r="H506" s="190">
        <v>116</v>
      </c>
      <c r="I506" s="190">
        <v>144</v>
      </c>
      <c r="J506" s="190">
        <v>179</v>
      </c>
      <c r="K506" s="190">
        <v>233</v>
      </c>
      <c r="L506" s="190">
        <v>248</v>
      </c>
    </row>
    <row r="507" spans="1:12" x14ac:dyDescent="0.25">
      <c r="A507" s="1706"/>
      <c r="B507" s="1259"/>
      <c r="C507" s="1441" t="s">
        <v>353</v>
      </c>
      <c r="D507" s="40" t="s">
        <v>498</v>
      </c>
      <c r="E507" s="36"/>
      <c r="F507" s="81">
        <f t="shared" ref="F507:L507" si="57">+F505-F503</f>
        <v>-431</v>
      </c>
      <c r="G507" s="81">
        <f t="shared" si="57"/>
        <v>-413</v>
      </c>
      <c r="H507" s="81">
        <f t="shared" si="57"/>
        <v>-530</v>
      </c>
      <c r="I507" s="81">
        <f t="shared" si="57"/>
        <v>-687</v>
      </c>
      <c r="J507" s="81">
        <f t="shared" si="57"/>
        <v>-822</v>
      </c>
      <c r="K507" s="81">
        <f t="shared" si="57"/>
        <v>-694</v>
      </c>
      <c r="L507" s="81">
        <f t="shared" si="57"/>
        <v>-987</v>
      </c>
    </row>
    <row r="508" spans="1:12" ht="16.5" customHeight="1" x14ac:dyDescent="0.25">
      <c r="A508" s="1706"/>
      <c r="B508" s="1259"/>
      <c r="C508" s="1560"/>
      <c r="D508" s="44" t="s">
        <v>499</v>
      </c>
      <c r="E508" s="28"/>
      <c r="F508" s="79">
        <f t="shared" ref="F508:L508" si="58">F506-F504</f>
        <v>43</v>
      </c>
      <c r="G508" s="79">
        <f t="shared" si="58"/>
        <v>51</v>
      </c>
      <c r="H508" s="79">
        <f t="shared" si="58"/>
        <v>31</v>
      </c>
      <c r="I508" s="79">
        <f t="shared" si="58"/>
        <v>47</v>
      </c>
      <c r="J508" s="79">
        <f t="shared" si="58"/>
        <v>62</v>
      </c>
      <c r="K508" s="79">
        <f t="shared" si="58"/>
        <v>83</v>
      </c>
      <c r="L508" s="79">
        <f t="shared" si="58"/>
        <v>82</v>
      </c>
    </row>
    <row r="509" spans="1:12" ht="16.5" customHeight="1" x14ac:dyDescent="0.25">
      <c r="A509" s="1706"/>
      <c r="B509" s="1259"/>
      <c r="C509" s="1560" t="s">
        <v>270</v>
      </c>
      <c r="D509" s="44" t="s">
        <v>500</v>
      </c>
      <c r="E509" s="28"/>
      <c r="F509" s="263">
        <f>+F505/(F505+F503)*100</f>
        <v>22.121604139715394</v>
      </c>
      <c r="G509" s="263">
        <f t="shared" ref="G509:L510" si="59">+G505/(G505+G503)*100</f>
        <v>23.893805309734514</v>
      </c>
      <c r="H509" s="263">
        <f t="shared" si="59"/>
        <v>23.340040241448694</v>
      </c>
      <c r="I509" s="263">
        <f t="shared" si="59"/>
        <v>25.860857343640198</v>
      </c>
      <c r="J509" s="263">
        <f t="shared" si="59"/>
        <v>23.380829015544041</v>
      </c>
      <c r="K509" s="263">
        <f t="shared" si="59"/>
        <v>26.711409395973156</v>
      </c>
      <c r="L509" s="263">
        <f t="shared" si="59"/>
        <v>21.1234640140433</v>
      </c>
    </row>
    <row r="510" spans="1:12" ht="16.5" thickBot="1" x14ac:dyDescent="0.3">
      <c r="A510" s="1707"/>
      <c r="B510" s="1260"/>
      <c r="C510" s="1421"/>
      <c r="D510" s="203" t="s">
        <v>501</v>
      </c>
      <c r="E510" s="33"/>
      <c r="F510" s="230">
        <f>+F506/(F506+F504)*100</f>
        <v>57.875457875457883</v>
      </c>
      <c r="G510" s="230">
        <f t="shared" si="59"/>
        <v>59.340659340659343</v>
      </c>
      <c r="H510" s="230">
        <f t="shared" si="59"/>
        <v>57.711442786069654</v>
      </c>
      <c r="I510" s="230">
        <f t="shared" si="59"/>
        <v>59.751037344398341</v>
      </c>
      <c r="J510" s="230">
        <f t="shared" si="59"/>
        <v>60.472972972972968</v>
      </c>
      <c r="K510" s="230">
        <f t="shared" si="59"/>
        <v>60.835509138381205</v>
      </c>
      <c r="L510" s="230">
        <f t="shared" si="59"/>
        <v>59.903381642512073</v>
      </c>
    </row>
  </sheetData>
  <mergeCells count="238">
    <mergeCell ref="C509:C510"/>
    <mergeCell ref="A502:A510"/>
    <mergeCell ref="B502:B510"/>
    <mergeCell ref="C361:D361"/>
    <mergeCell ref="C368:D368"/>
    <mergeCell ref="C369:D369"/>
    <mergeCell ref="C370:D370"/>
    <mergeCell ref="C434:D434"/>
    <mergeCell ref="C483:D483"/>
    <mergeCell ref="C484:D484"/>
    <mergeCell ref="C485:D485"/>
    <mergeCell ref="C486:D486"/>
    <mergeCell ref="C376:C379"/>
    <mergeCell ref="C380:C383"/>
    <mergeCell ref="C384:C387"/>
    <mergeCell ref="C388:C391"/>
    <mergeCell ref="C392:C395"/>
    <mergeCell ref="C396:C399"/>
    <mergeCell ref="C400:C403"/>
    <mergeCell ref="C404:C407"/>
    <mergeCell ref="C408:C411"/>
    <mergeCell ref="C412:C415"/>
    <mergeCell ref="C416:C419"/>
    <mergeCell ref="C372:D372"/>
    <mergeCell ref="A351:A360"/>
    <mergeCell ref="B351:B360"/>
    <mergeCell ref="C354:C356"/>
    <mergeCell ref="A362:A491"/>
    <mergeCell ref="B362:B370"/>
    <mergeCell ref="C362:C364"/>
    <mergeCell ref="C365:C367"/>
    <mergeCell ref="C432:D432"/>
    <mergeCell ref="C433:D433"/>
    <mergeCell ref="B484:B491"/>
    <mergeCell ref="C480:C482"/>
    <mergeCell ref="B372:B430"/>
    <mergeCell ref="B432:B482"/>
    <mergeCell ref="C374:D374"/>
    <mergeCell ref="C375:D375"/>
    <mergeCell ref="C435:D435"/>
    <mergeCell ref="C490:D490"/>
    <mergeCell ref="C491:D491"/>
    <mergeCell ref="C488:D488"/>
    <mergeCell ref="C489:D489"/>
    <mergeCell ref="C448:C451"/>
    <mergeCell ref="C371:D371"/>
    <mergeCell ref="C420:C423"/>
    <mergeCell ref="C424:C427"/>
    <mergeCell ref="C501:D501"/>
    <mergeCell ref="C502:D502"/>
    <mergeCell ref="C492:D492"/>
    <mergeCell ref="A493:A500"/>
    <mergeCell ref="B493:B497"/>
    <mergeCell ref="C493:D493"/>
    <mergeCell ref="C494:D494"/>
    <mergeCell ref="C495:D495"/>
    <mergeCell ref="C497:D497"/>
    <mergeCell ref="B498:B500"/>
    <mergeCell ref="C498:D498"/>
    <mergeCell ref="C500:D500"/>
    <mergeCell ref="C499:D499"/>
    <mergeCell ref="C503:C504"/>
    <mergeCell ref="C505:C506"/>
    <mergeCell ref="C507:C508"/>
    <mergeCell ref="C496:D496"/>
    <mergeCell ref="B322:B325"/>
    <mergeCell ref="C316:D316"/>
    <mergeCell ref="C341:D341"/>
    <mergeCell ref="A342:A349"/>
    <mergeCell ref="B342:B345"/>
    <mergeCell ref="C342:D342"/>
    <mergeCell ref="C343:D343"/>
    <mergeCell ref="C344:D344"/>
    <mergeCell ref="C345:D345"/>
    <mergeCell ref="B346:B349"/>
    <mergeCell ref="C346:D346"/>
    <mergeCell ref="C347:D347"/>
    <mergeCell ref="C348:D348"/>
    <mergeCell ref="C349:D349"/>
    <mergeCell ref="B326:B335"/>
    <mergeCell ref="C326:C330"/>
    <mergeCell ref="C350:D350"/>
    <mergeCell ref="C358:D358"/>
    <mergeCell ref="C472:C475"/>
    <mergeCell ref="C476:C479"/>
    <mergeCell ref="C61:D61"/>
    <mergeCell ref="B62:B315"/>
    <mergeCell ref="C62:C64"/>
    <mergeCell ref="C65:C68"/>
    <mergeCell ref="C69:C72"/>
    <mergeCell ref="C73:C76"/>
    <mergeCell ref="A317:A340"/>
    <mergeCell ref="B317:B321"/>
    <mergeCell ref="C317:D317"/>
    <mergeCell ref="C318:D318"/>
    <mergeCell ref="C319:D319"/>
    <mergeCell ref="C320:D320"/>
    <mergeCell ref="C321:D321"/>
    <mergeCell ref="C322:D322"/>
    <mergeCell ref="C323:D323"/>
    <mergeCell ref="C324:D324"/>
    <mergeCell ref="C325:D325"/>
    <mergeCell ref="C331:C335"/>
    <mergeCell ref="B336:B340"/>
    <mergeCell ref="C336:D336"/>
    <mergeCell ref="C337:D337"/>
    <mergeCell ref="C338:D338"/>
    <mergeCell ref="C339:D339"/>
    <mergeCell ref="C340:D340"/>
    <mergeCell ref="C53:D53"/>
    <mergeCell ref="C54:D54"/>
    <mergeCell ref="C55:D55"/>
    <mergeCell ref="B56:B60"/>
    <mergeCell ref="C56:D56"/>
    <mergeCell ref="C57:D57"/>
    <mergeCell ref="C58:D58"/>
    <mergeCell ref="C59:D59"/>
    <mergeCell ref="C60:D60"/>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45:C248"/>
    <mergeCell ref="C249:C252"/>
    <mergeCell ref="C253:C256"/>
    <mergeCell ref="C359:D359"/>
    <mergeCell ref="C360:D360"/>
    <mergeCell ref="C293:C296"/>
    <mergeCell ref="C297:C300"/>
    <mergeCell ref="C301:C304"/>
    <mergeCell ref="C305:C308"/>
    <mergeCell ref="C309:C312"/>
    <mergeCell ref="C313:D313"/>
    <mergeCell ref="C314:D314"/>
    <mergeCell ref="C315:D315"/>
    <mergeCell ref="C351:C353"/>
    <mergeCell ref="C357:D357"/>
    <mergeCell ref="A47:A315"/>
    <mergeCell ref="B47:B51"/>
    <mergeCell ref="C47:D47"/>
    <mergeCell ref="C48:D48"/>
    <mergeCell ref="C49:D49"/>
    <mergeCell ref="C50:D50"/>
    <mergeCell ref="C51:D51"/>
    <mergeCell ref="B52:B55"/>
    <mergeCell ref="C52:D52"/>
    <mergeCell ref="C257:C260"/>
    <mergeCell ref="C261:C264"/>
    <mergeCell ref="C265:C268"/>
    <mergeCell ref="C269:C272"/>
    <mergeCell ref="C273:C276"/>
    <mergeCell ref="C277:C280"/>
    <mergeCell ref="C281:C284"/>
    <mergeCell ref="C285:C288"/>
    <mergeCell ref="C289:C292"/>
    <mergeCell ref="C221:C224"/>
    <mergeCell ref="C225:C228"/>
    <mergeCell ref="C229:C232"/>
    <mergeCell ref="C233:C236"/>
    <mergeCell ref="C237:C240"/>
    <mergeCell ref="C241:C244"/>
    <mergeCell ref="C373:D373"/>
    <mergeCell ref="C464:C467"/>
    <mergeCell ref="C468:C471"/>
    <mergeCell ref="C436:C439"/>
    <mergeCell ref="C440:C443"/>
    <mergeCell ref="C444:C447"/>
    <mergeCell ref="C431:D431"/>
    <mergeCell ref="C428:C430"/>
    <mergeCell ref="C487:D487"/>
    <mergeCell ref="C452:C455"/>
    <mergeCell ref="C456:C459"/>
    <mergeCell ref="C460:C463"/>
  </mergeCells>
  <conditionalFormatting sqref="E50 G50:L50">
    <cfRule type="cellIs" dxfId="769" priority="189" operator="greaterThan">
      <formula>1</formula>
    </cfRule>
    <cfRule type="cellIs" dxfId="768" priority="185" operator="lessThan">
      <formula>1</formula>
    </cfRule>
    <cfRule type="cellIs" dxfId="767" priority="186" operator="greaterThan">
      <formula>1</formula>
    </cfRule>
    <cfRule type="cellIs" dxfId="766" priority="187" operator="greaterThan">
      <formula>1</formula>
    </cfRule>
    <cfRule type="cellIs" dxfId="765" priority="188" operator="lessThan">
      <formula>1</formula>
    </cfRule>
  </conditionalFormatting>
  <conditionalFormatting sqref="E349:F349">
    <cfRule type="cellIs" dxfId="764" priority="117" operator="greaterThan">
      <formula>0</formula>
    </cfRule>
    <cfRule type="cellIs" dxfId="763" priority="116" operator="lessThan">
      <formula>0</formula>
    </cfRule>
  </conditionalFormatting>
  <conditionalFormatting sqref="E39:L39">
    <cfRule type="cellIs" dxfId="762" priority="330" operator="greaterThan">
      <formula>1</formula>
    </cfRule>
    <cfRule type="cellIs" dxfId="761" priority="329" operator="lessThan">
      <formula>1</formula>
    </cfRule>
    <cfRule type="cellIs" dxfId="760" priority="328" operator="greaterThan">
      <formula>1</formula>
    </cfRule>
    <cfRule type="cellIs" dxfId="759" priority="327" operator="greaterThan">
      <formula>1</formula>
    </cfRule>
  </conditionalFormatting>
  <conditionalFormatting sqref="E40:L40">
    <cfRule type="cellIs" dxfId="758" priority="331" operator="lessThan">
      <formula>50</formula>
    </cfRule>
    <cfRule type="cellIs" dxfId="757" priority="326" operator="greaterThan">
      <formula>50</formula>
    </cfRule>
    <cfRule type="cellIs" dxfId="756" priority="332" operator="greaterThan">
      <formula>50</formula>
    </cfRule>
  </conditionalFormatting>
  <conditionalFormatting sqref="E44:L44">
    <cfRule type="cellIs" dxfId="755" priority="325" operator="greaterThan">
      <formula>1</formula>
    </cfRule>
    <cfRule type="cellIs" dxfId="754" priority="324" operator="lessThan">
      <formula>1</formula>
    </cfRule>
    <cfRule type="cellIs" dxfId="753" priority="323" operator="greaterThan">
      <formula>1</formula>
    </cfRule>
    <cfRule type="cellIs" dxfId="752" priority="322" operator="greaterThan">
      <formula>1</formula>
    </cfRule>
  </conditionalFormatting>
  <conditionalFormatting sqref="E45:L45">
    <cfRule type="cellIs" dxfId="751" priority="319" operator="greaterThan">
      <formula>50</formula>
    </cfRule>
    <cfRule type="cellIs" dxfId="750" priority="321" operator="greaterThan">
      <formula>50</formula>
    </cfRule>
    <cfRule type="cellIs" dxfId="749" priority="320" operator="lessThan">
      <formula>50</formula>
    </cfRule>
  </conditionalFormatting>
  <conditionalFormatting sqref="E51:L51">
    <cfRule type="cellIs" dxfId="748" priority="196" operator="greaterThan">
      <formula>50</formula>
    </cfRule>
    <cfRule type="cellIs" dxfId="747" priority="198" operator="greaterThan">
      <formula>50</formula>
    </cfRule>
    <cfRule type="cellIs" dxfId="746" priority="197" operator="lessThan">
      <formula>50</formula>
    </cfRule>
  </conditionalFormatting>
  <conditionalFormatting sqref="F370:K370">
    <cfRule type="cellIs" dxfId="745" priority="112" operator="lessThan">
      <formula>0</formula>
    </cfRule>
  </conditionalFormatting>
  <conditionalFormatting sqref="F320:L321">
    <cfRule type="cellIs" dxfId="744" priority="216" operator="lessThan">
      <formula>1</formula>
    </cfRule>
  </conditionalFormatting>
  <conditionalFormatting sqref="F507:L507">
    <cfRule type="cellIs" dxfId="743" priority="13" operator="lessThan">
      <formula>0</formula>
    </cfRule>
  </conditionalFormatting>
  <conditionalFormatting sqref="F508:L510">
    <cfRule type="cellIs" dxfId="742" priority="11" operator="greaterThan">
      <formula>0</formula>
    </cfRule>
  </conditionalFormatting>
  <conditionalFormatting sqref="F510:L510">
    <cfRule type="cellIs" dxfId="741" priority="16" operator="lessThan">
      <formula>0</formula>
    </cfRule>
    <cfRule type="cellIs" dxfId="740" priority="15" operator="greaterThan">
      <formula>0</formula>
    </cfRule>
  </conditionalFormatting>
  <conditionalFormatting sqref="G325:L325">
    <cfRule type="cellIs" dxfId="739" priority="222" operator="greaterThan">
      <formula>0</formula>
    </cfRule>
    <cfRule type="cellIs" dxfId="738" priority="223" operator="lessThan">
      <formula>1</formula>
    </cfRule>
  </conditionalFormatting>
  <conditionalFormatting sqref="H487:J487">
    <cfRule type="cellIs" dxfId="737" priority="4" operator="greaterThan">
      <formula>0</formula>
    </cfRule>
  </conditionalFormatting>
  <conditionalFormatting sqref="H59:K59">
    <cfRule type="cellIs" dxfId="736" priority="192" operator="greaterThan">
      <formula>0</formula>
    </cfRule>
  </conditionalFormatting>
  <conditionalFormatting sqref="H60:K60">
    <cfRule type="cellIs" dxfId="735" priority="190" operator="lessThan">
      <formula>50</formula>
    </cfRule>
    <cfRule type="cellIs" dxfId="734" priority="191" operator="greaterThan">
      <formula>50</formula>
    </cfRule>
    <cfRule type="cellIs" dxfId="733" priority="193" operator="lessThan">
      <formula>50</formula>
    </cfRule>
    <cfRule type="cellIs" dxfId="732" priority="194" operator="greaterThan">
      <formula>50</formula>
    </cfRule>
  </conditionalFormatting>
  <conditionalFormatting sqref="H339:K339">
    <cfRule type="cellIs" dxfId="731" priority="232" operator="lessThan">
      <formula>0</formula>
    </cfRule>
    <cfRule type="cellIs" dxfId="730" priority="233" operator="greaterThan">
      <formula>0</formula>
    </cfRule>
    <cfRule type="cellIs" dxfId="729" priority="225" operator="lessThan">
      <formula>0</formula>
    </cfRule>
    <cfRule type="cellIs" dxfId="728" priority="231" operator="greaterThan">
      <formula>0</formula>
    </cfRule>
  </conditionalFormatting>
  <conditionalFormatting sqref="H340:K340">
    <cfRule type="cellIs" dxfId="727" priority="27" operator="greaterThan">
      <formula>50</formula>
    </cfRule>
    <cfRule type="cellIs" dxfId="726" priority="224" operator="lessThan">
      <formula>50</formula>
    </cfRule>
    <cfRule type="cellIs" dxfId="725" priority="230" operator="greaterThan">
      <formula>50</formula>
    </cfRule>
  </conditionalFormatting>
  <conditionalFormatting sqref="H360:K360">
    <cfRule type="cellIs" dxfId="724" priority="26" operator="greaterThan">
      <formula>0</formula>
    </cfRule>
    <cfRule type="cellIs" dxfId="723" priority="25" operator="lessThan">
      <formula>0</formula>
    </cfRule>
  </conditionalFormatting>
  <conditionalFormatting sqref="H487:K487">
    <cfRule type="cellIs" dxfId="722" priority="3" operator="lessThan">
      <formula>0</formula>
    </cfRule>
  </conditionalFormatting>
  <conditionalFormatting sqref="H55:L55">
    <cfRule type="cellIs" dxfId="721" priority="195" operator="greaterThan">
      <formula>0</formula>
    </cfRule>
  </conditionalFormatting>
  <conditionalFormatting sqref="I329:I330">
    <cfRule type="cellIs" dxfId="720" priority="35" operator="greaterThan">
      <formula>50</formula>
    </cfRule>
  </conditionalFormatting>
  <conditionalFormatting sqref="I488:K488">
    <cfRule type="cellIs" dxfId="719" priority="1" operator="lessThan">
      <formula>50</formula>
    </cfRule>
    <cfRule type="cellIs" dxfId="718" priority="2" operator="greaterThan">
      <formula>50</formula>
    </cfRule>
  </conditionalFormatting>
  <conditionalFormatting sqref="I329:L329">
    <cfRule type="cellIs" dxfId="717" priority="218" operator="greaterThan">
      <formula>0</formula>
    </cfRule>
    <cfRule type="cellIs" dxfId="716" priority="219" operator="lessThan">
      <formula>1</formula>
    </cfRule>
  </conditionalFormatting>
  <conditionalFormatting sqref="I330:L330">
    <cfRule type="cellIs" dxfId="715" priority="217" operator="greaterThan">
      <formula>50</formula>
    </cfRule>
    <cfRule type="cellIs" dxfId="714" priority="220" operator="lessThan">
      <formula>50</formula>
    </cfRule>
  </conditionalFormatting>
  <conditionalFormatting sqref="I334:L334">
    <cfRule type="cellIs" dxfId="713" priority="30" operator="greaterThan">
      <formula>0</formula>
    </cfRule>
    <cfRule type="cellIs" dxfId="712" priority="226" operator="greaterThan">
      <formula>0</formula>
    </cfRule>
    <cfRule type="cellIs" dxfId="711" priority="227" operator="lessThan">
      <formula>1</formula>
    </cfRule>
  </conditionalFormatting>
  <conditionalFormatting sqref="I335:L335">
    <cfRule type="cellIs" dxfId="710" priority="28" operator="greaterThan">
      <formula>50</formula>
    </cfRule>
  </conditionalFormatting>
  <conditionalFormatting sqref="J329:L329">
    <cfRule type="cellIs" dxfId="709" priority="33" operator="greaterThan">
      <formula>0</formula>
    </cfRule>
  </conditionalFormatting>
  <conditionalFormatting sqref="J330:L330">
    <cfRule type="cellIs" dxfId="708" priority="32" operator="greaterThan">
      <formula>50</formula>
    </cfRule>
  </conditionalFormatting>
  <conditionalFormatting sqref="K497">
    <cfRule type="cellIs" dxfId="707" priority="10" operator="greaterThan">
      <formula>50</formula>
    </cfRule>
    <cfRule type="cellIs" dxfId="706" priority="9" operator="lessThan">
      <formula>50</formula>
    </cfRule>
    <cfRule type="cellIs" dxfId="705" priority="8" operator="lessThan">
      <formula>50</formula>
    </cfRule>
  </conditionalFormatting>
  <hyperlinks>
    <hyperlink ref="M1" location="INDICADORES!A1" display="INDICADORES" xr:uid="{A16A8212-AD7C-4F98-8A58-8FEA284BD9F6}"/>
    <hyperlink ref="O1" location="DISTRITOS!A1" display="DISTRITOS" xr:uid="{8BE97262-1BBF-4763-8882-1753883C1EFC}"/>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210A0-E50B-495A-97EB-2C10B866E86D}">
  <sheetPr codeName="Hoja14">
    <tabColor theme="8" tint="-0.249977111117893"/>
  </sheetPr>
  <dimension ref="A1:O526"/>
  <sheetViews>
    <sheetView showGridLines="0" topLeftCell="B1" zoomScale="70" zoomScaleNormal="70" workbookViewId="0">
      <pane ySplit="2" topLeftCell="A503" activePane="bottomLeft" state="frozen"/>
      <selection activeCell="F334" sqref="F334"/>
      <selection pane="bottomLeft" activeCell="L513" sqref="L513"/>
    </sheetView>
  </sheetViews>
  <sheetFormatPr baseColWidth="10" defaultColWidth="11.42578125" defaultRowHeight="15.75" x14ac:dyDescent="0.25"/>
  <cols>
    <col min="1" max="1" width="26.5703125" style="11" customWidth="1"/>
    <col min="2" max="2" width="50.5703125" style="11" customWidth="1"/>
    <col min="3" max="4" width="30.5703125" style="11" customWidth="1"/>
    <col min="5" max="12" width="13.5703125" style="11" customWidth="1"/>
    <col min="13" max="13" width="14.5703125" style="11" customWidth="1"/>
    <col min="14" max="14" width="5.5703125" style="11" customWidth="1"/>
    <col min="15" max="15" width="11.5703125" style="11" customWidth="1"/>
    <col min="16" max="16384" width="11.42578125" style="11"/>
  </cols>
  <sheetData>
    <row r="1" spans="1:15" ht="30" customHeight="1" thickTop="1" thickBot="1" x14ac:dyDescent="0.3">
      <c r="A1" s="1020" t="s">
        <v>574</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row>
    <row r="3" spans="1:15" x14ac:dyDescent="0.25">
      <c r="A3" s="1782" t="s">
        <v>26</v>
      </c>
      <c r="B3" s="1672" t="s">
        <v>568</v>
      </c>
      <c r="C3" s="1211" t="s">
        <v>251</v>
      </c>
      <c r="D3" s="1211"/>
      <c r="E3" s="81">
        <v>239717</v>
      </c>
      <c r="F3" s="81">
        <v>256645</v>
      </c>
      <c r="G3" s="81">
        <v>240230</v>
      </c>
      <c r="H3" s="81">
        <v>260196</v>
      </c>
      <c r="I3" s="81">
        <v>258633</v>
      </c>
      <c r="J3" s="81">
        <v>255514</v>
      </c>
      <c r="K3" s="81">
        <v>262339</v>
      </c>
      <c r="L3" s="82">
        <v>274406</v>
      </c>
    </row>
    <row r="4" spans="1:15" x14ac:dyDescent="0.25">
      <c r="A4" s="1783"/>
      <c r="B4" s="1673"/>
      <c r="C4" s="1213" t="s">
        <v>257</v>
      </c>
      <c r="D4" s="1213"/>
      <c r="E4" s="80">
        <v>114007</v>
      </c>
      <c r="F4" s="80">
        <v>122445</v>
      </c>
      <c r="G4" s="80">
        <v>111790</v>
      </c>
      <c r="H4" s="80">
        <v>121317</v>
      </c>
      <c r="I4" s="80">
        <v>120600</v>
      </c>
      <c r="J4" s="80">
        <v>119381</v>
      </c>
      <c r="K4" s="80">
        <v>122632</v>
      </c>
      <c r="L4" s="83">
        <v>128997</v>
      </c>
    </row>
    <row r="5" spans="1:15" x14ac:dyDescent="0.25">
      <c r="A5" s="1783"/>
      <c r="B5" s="1673"/>
      <c r="C5" s="1213" t="s">
        <v>263</v>
      </c>
      <c r="D5" s="1213"/>
      <c r="E5" s="80">
        <v>125710</v>
      </c>
      <c r="F5" s="80">
        <v>134200</v>
      </c>
      <c r="G5" s="80">
        <v>128440</v>
      </c>
      <c r="H5" s="80">
        <v>138879</v>
      </c>
      <c r="I5" s="80">
        <v>138033</v>
      </c>
      <c r="J5" s="80">
        <v>136133</v>
      </c>
      <c r="K5" s="80">
        <v>139707</v>
      </c>
      <c r="L5" s="83">
        <v>145409</v>
      </c>
    </row>
    <row r="6" spans="1:15" x14ac:dyDescent="0.25">
      <c r="A6" s="1783"/>
      <c r="B6" s="1785"/>
      <c r="C6" s="1215" t="s">
        <v>269</v>
      </c>
      <c r="D6" s="1215"/>
      <c r="E6" s="363">
        <f>+E5-E4</f>
        <v>11703</v>
      </c>
      <c r="F6" s="363">
        <f t="shared" ref="F6:L6" si="0">+F5-F4</f>
        <v>11755</v>
      </c>
      <c r="G6" s="363">
        <f t="shared" si="0"/>
        <v>16650</v>
      </c>
      <c r="H6" s="363">
        <f t="shared" si="0"/>
        <v>17562</v>
      </c>
      <c r="I6" s="363">
        <f t="shared" si="0"/>
        <v>17433</v>
      </c>
      <c r="J6" s="363">
        <f t="shared" si="0"/>
        <v>16752</v>
      </c>
      <c r="K6" s="363">
        <f t="shared" si="0"/>
        <v>17075</v>
      </c>
      <c r="L6" s="365">
        <f t="shared" si="0"/>
        <v>16412</v>
      </c>
    </row>
    <row r="7" spans="1:15" ht="16.5" thickBot="1" x14ac:dyDescent="0.3">
      <c r="A7" s="1783"/>
      <c r="B7" s="1786"/>
      <c r="C7" s="1126" t="s">
        <v>270</v>
      </c>
      <c r="D7" s="1126"/>
      <c r="E7" s="366">
        <f>E5/E3*100</f>
        <v>52.441003349783287</v>
      </c>
      <c r="F7" s="366">
        <f t="shared" ref="F7:L7" si="1">F5/F3*100</f>
        <v>52.29012838746128</v>
      </c>
      <c r="G7" s="366">
        <f t="shared" si="1"/>
        <v>53.465428963909588</v>
      </c>
      <c r="H7" s="366">
        <f t="shared" si="1"/>
        <v>53.374763639717749</v>
      </c>
      <c r="I7" s="366">
        <f t="shared" si="1"/>
        <v>53.370219577548106</v>
      </c>
      <c r="J7" s="366">
        <f t="shared" si="1"/>
        <v>53.278098264674348</v>
      </c>
      <c r="K7" s="366">
        <f t="shared" si="1"/>
        <v>53.254376970256047</v>
      </c>
      <c r="L7" s="367">
        <f t="shared" si="1"/>
        <v>52.990459392287335</v>
      </c>
    </row>
    <row r="8" spans="1:15" x14ac:dyDescent="0.25">
      <c r="A8" s="1783"/>
      <c r="B8" s="1787" t="s">
        <v>569</v>
      </c>
      <c r="C8" s="1300" t="s">
        <v>257</v>
      </c>
      <c r="D8" s="168" t="s">
        <v>272</v>
      </c>
      <c r="E8" s="81">
        <v>114007</v>
      </c>
      <c r="F8" s="81">
        <v>122445</v>
      </c>
      <c r="G8" s="81">
        <v>111790</v>
      </c>
      <c r="H8" s="81">
        <v>121317</v>
      </c>
      <c r="I8" s="81">
        <v>120600</v>
      </c>
      <c r="J8" s="81">
        <v>119381</v>
      </c>
      <c r="K8" s="81">
        <v>122632</v>
      </c>
      <c r="L8" s="82">
        <v>128997</v>
      </c>
    </row>
    <row r="9" spans="1:15" x14ac:dyDescent="0.25">
      <c r="A9" s="1783"/>
      <c r="B9" s="1788"/>
      <c r="C9" s="1301"/>
      <c r="D9" s="164" t="s">
        <v>275</v>
      </c>
      <c r="E9" s="80">
        <v>15911</v>
      </c>
      <c r="F9" s="80">
        <v>19073</v>
      </c>
      <c r="G9" s="80">
        <v>18607</v>
      </c>
      <c r="H9" s="80">
        <v>19305</v>
      </c>
      <c r="I9" s="80">
        <v>18670</v>
      </c>
      <c r="J9" s="80">
        <v>18047</v>
      </c>
      <c r="K9" s="80">
        <v>18276</v>
      </c>
      <c r="L9" s="83">
        <v>17170</v>
      </c>
    </row>
    <row r="10" spans="1:15" x14ac:dyDescent="0.25">
      <c r="A10" s="1783"/>
      <c r="B10" s="1788"/>
      <c r="C10" s="1301"/>
      <c r="D10" s="164" t="s">
        <v>282</v>
      </c>
      <c r="E10" s="80">
        <v>79421</v>
      </c>
      <c r="F10" s="80">
        <v>84588</v>
      </c>
      <c r="G10" s="80">
        <v>74280</v>
      </c>
      <c r="H10" s="80">
        <v>83106</v>
      </c>
      <c r="I10" s="80">
        <v>83456</v>
      </c>
      <c r="J10" s="80">
        <v>82867</v>
      </c>
      <c r="K10" s="80">
        <v>85761</v>
      </c>
      <c r="L10" s="83">
        <v>92787</v>
      </c>
    </row>
    <row r="11" spans="1:15" x14ac:dyDescent="0.25">
      <c r="A11" s="1783"/>
      <c r="B11" s="1788"/>
      <c r="C11" s="1301"/>
      <c r="D11" s="164" t="s">
        <v>288</v>
      </c>
      <c r="E11" s="80">
        <v>18670</v>
      </c>
      <c r="F11" s="80">
        <v>18783</v>
      </c>
      <c r="G11" s="80">
        <v>18903</v>
      </c>
      <c r="H11" s="80">
        <v>18906</v>
      </c>
      <c r="I11" s="80">
        <v>18474</v>
      </c>
      <c r="J11" s="80">
        <v>18467</v>
      </c>
      <c r="K11" s="80">
        <v>18595</v>
      </c>
      <c r="L11" s="83">
        <v>19040</v>
      </c>
    </row>
    <row r="12" spans="1:15" x14ac:dyDescent="0.25">
      <c r="A12" s="1783"/>
      <c r="B12" s="1788"/>
      <c r="C12" s="1301"/>
      <c r="D12" s="164" t="s">
        <v>295</v>
      </c>
      <c r="E12" s="80">
        <v>3868</v>
      </c>
      <c r="F12" s="80">
        <v>4956</v>
      </c>
      <c r="G12" s="80">
        <v>6078</v>
      </c>
      <c r="H12" s="80">
        <v>6257</v>
      </c>
      <c r="I12" s="80">
        <v>6138</v>
      </c>
      <c r="J12" s="80">
        <v>6016</v>
      </c>
      <c r="K12" s="80">
        <v>5965</v>
      </c>
      <c r="L12" s="83">
        <v>5985</v>
      </c>
    </row>
    <row r="13" spans="1:15" ht="16.5" thickBot="1" x14ac:dyDescent="0.3">
      <c r="A13" s="1783"/>
      <c r="B13" s="1788"/>
      <c r="C13" s="1302"/>
      <c r="D13" s="169" t="s">
        <v>296</v>
      </c>
      <c r="E13" s="381">
        <v>5</v>
      </c>
      <c r="F13" s="381">
        <v>1</v>
      </c>
      <c r="G13" s="381">
        <v>0</v>
      </c>
      <c r="H13" s="381">
        <v>0</v>
      </c>
      <c r="I13" s="381">
        <v>0</v>
      </c>
      <c r="J13" s="381">
        <v>0</v>
      </c>
      <c r="K13" s="381">
        <v>0</v>
      </c>
      <c r="L13" s="268">
        <v>0</v>
      </c>
    </row>
    <row r="14" spans="1:15" x14ac:dyDescent="0.25">
      <c r="A14" s="1783"/>
      <c r="B14" s="1788"/>
      <c r="C14" s="1303" t="s">
        <v>263</v>
      </c>
      <c r="D14" s="168" t="s">
        <v>272</v>
      </c>
      <c r="E14" s="81">
        <v>125710</v>
      </c>
      <c r="F14" s="81">
        <v>134200</v>
      </c>
      <c r="G14" s="81">
        <v>128440</v>
      </c>
      <c r="H14" s="81">
        <v>138879</v>
      </c>
      <c r="I14" s="81">
        <v>138033</v>
      </c>
      <c r="J14" s="81">
        <v>136133</v>
      </c>
      <c r="K14" s="81">
        <v>139707</v>
      </c>
      <c r="L14" s="82">
        <v>145409</v>
      </c>
    </row>
    <row r="15" spans="1:15" x14ac:dyDescent="0.25">
      <c r="A15" s="1783"/>
      <c r="B15" s="1788"/>
      <c r="C15" s="1304"/>
      <c r="D15" s="164" t="s">
        <v>275</v>
      </c>
      <c r="E15" s="80">
        <v>15195</v>
      </c>
      <c r="F15" s="80">
        <v>18266</v>
      </c>
      <c r="G15" s="80">
        <v>17857</v>
      </c>
      <c r="H15" s="80">
        <v>18534</v>
      </c>
      <c r="I15" s="80">
        <v>18072</v>
      </c>
      <c r="J15" s="80">
        <v>17406</v>
      </c>
      <c r="K15" s="80">
        <v>17517</v>
      </c>
      <c r="L15" s="83">
        <v>16304</v>
      </c>
    </row>
    <row r="16" spans="1:15" x14ac:dyDescent="0.25">
      <c r="A16" s="1783"/>
      <c r="B16" s="1788"/>
      <c r="C16" s="1304"/>
      <c r="D16" s="164" t="s">
        <v>282</v>
      </c>
      <c r="E16" s="80">
        <v>81916</v>
      </c>
      <c r="F16" s="80">
        <v>86702</v>
      </c>
      <c r="G16" s="80">
        <v>80864</v>
      </c>
      <c r="H16" s="80">
        <v>90331</v>
      </c>
      <c r="I16" s="80">
        <v>90424</v>
      </c>
      <c r="J16" s="80">
        <v>89325</v>
      </c>
      <c r="K16" s="80">
        <v>92647</v>
      </c>
      <c r="L16" s="83">
        <v>99019</v>
      </c>
    </row>
    <row r="17" spans="1:13" x14ac:dyDescent="0.25">
      <c r="A17" s="1783"/>
      <c r="B17" s="1788"/>
      <c r="C17" s="1304"/>
      <c r="D17" s="164" t="s">
        <v>288</v>
      </c>
      <c r="E17" s="80">
        <v>28596</v>
      </c>
      <c r="F17" s="80">
        <v>29232</v>
      </c>
      <c r="G17" s="80">
        <v>29719</v>
      </c>
      <c r="H17" s="80">
        <v>30014</v>
      </c>
      <c r="I17" s="80">
        <v>29537</v>
      </c>
      <c r="J17" s="80">
        <v>29402</v>
      </c>
      <c r="K17" s="80">
        <v>29543</v>
      </c>
      <c r="L17" s="83">
        <v>30086</v>
      </c>
    </row>
    <row r="18" spans="1:13" x14ac:dyDescent="0.25">
      <c r="A18" s="1783"/>
      <c r="B18" s="1788"/>
      <c r="C18" s="1304"/>
      <c r="D18" s="164" t="s">
        <v>295</v>
      </c>
      <c r="E18" s="80">
        <v>8040</v>
      </c>
      <c r="F18" s="80">
        <v>9692</v>
      </c>
      <c r="G18" s="80">
        <v>11447</v>
      </c>
      <c r="H18" s="80">
        <v>11892</v>
      </c>
      <c r="I18" s="80">
        <v>11854</v>
      </c>
      <c r="J18" s="80">
        <v>11695</v>
      </c>
      <c r="K18" s="80">
        <v>11556</v>
      </c>
      <c r="L18" s="83">
        <v>11799</v>
      </c>
    </row>
    <row r="19" spans="1:13" ht="16.5" thickBot="1" x14ac:dyDescent="0.3">
      <c r="A19" s="1783"/>
      <c r="B19" s="1788"/>
      <c r="C19" s="1305"/>
      <c r="D19" s="169" t="s">
        <v>296</v>
      </c>
      <c r="E19" s="381">
        <v>3</v>
      </c>
      <c r="F19" s="381">
        <v>0</v>
      </c>
      <c r="G19" s="381">
        <v>0</v>
      </c>
      <c r="H19" s="381">
        <v>0</v>
      </c>
      <c r="I19" s="381">
        <v>0</v>
      </c>
      <c r="J19" s="381">
        <v>0</v>
      </c>
      <c r="K19" s="267">
        <v>0</v>
      </c>
      <c r="L19" s="268">
        <v>0</v>
      </c>
    </row>
    <row r="20" spans="1:13" x14ac:dyDescent="0.25">
      <c r="A20" s="1783"/>
      <c r="B20" s="1788"/>
      <c r="C20" s="1306" t="s">
        <v>269</v>
      </c>
      <c r="D20" s="535" t="s">
        <v>272</v>
      </c>
      <c r="E20" s="375">
        <f>E14-E8</f>
        <v>11703</v>
      </c>
      <c r="F20" s="375">
        <f t="shared" ref="F20:L20" si="2">F14-F8</f>
        <v>11755</v>
      </c>
      <c r="G20" s="375">
        <f t="shared" si="2"/>
        <v>16650</v>
      </c>
      <c r="H20" s="375">
        <f t="shared" si="2"/>
        <v>17562</v>
      </c>
      <c r="I20" s="375">
        <f t="shared" si="2"/>
        <v>17433</v>
      </c>
      <c r="J20" s="375">
        <f t="shared" si="2"/>
        <v>16752</v>
      </c>
      <c r="K20" s="375">
        <f t="shared" si="2"/>
        <v>17075</v>
      </c>
      <c r="L20" s="376">
        <f t="shared" si="2"/>
        <v>16412</v>
      </c>
    </row>
    <row r="21" spans="1:13" x14ac:dyDescent="0.25">
      <c r="A21" s="1783"/>
      <c r="B21" s="1788"/>
      <c r="C21" s="1307"/>
      <c r="D21" s="527" t="s">
        <v>275</v>
      </c>
      <c r="E21" s="157">
        <f t="shared" ref="E21:L24" si="3">E15-E9</f>
        <v>-716</v>
      </c>
      <c r="F21" s="157">
        <f t="shared" si="3"/>
        <v>-807</v>
      </c>
      <c r="G21" s="157">
        <f t="shared" si="3"/>
        <v>-750</v>
      </c>
      <c r="H21" s="157">
        <f t="shared" si="3"/>
        <v>-771</v>
      </c>
      <c r="I21" s="157">
        <f t="shared" si="3"/>
        <v>-598</v>
      </c>
      <c r="J21" s="157">
        <f t="shared" si="3"/>
        <v>-641</v>
      </c>
      <c r="K21" s="157">
        <f t="shared" si="3"/>
        <v>-759</v>
      </c>
      <c r="L21" s="160">
        <f t="shared" si="3"/>
        <v>-866</v>
      </c>
    </row>
    <row r="22" spans="1:13" x14ac:dyDescent="0.25">
      <c r="A22" s="1783"/>
      <c r="B22" s="1788"/>
      <c r="C22" s="1307"/>
      <c r="D22" s="527" t="s">
        <v>282</v>
      </c>
      <c r="E22" s="363">
        <f t="shared" si="3"/>
        <v>2495</v>
      </c>
      <c r="F22" s="363">
        <f t="shared" si="3"/>
        <v>2114</v>
      </c>
      <c r="G22" s="363">
        <f t="shared" si="3"/>
        <v>6584</v>
      </c>
      <c r="H22" s="363">
        <f t="shared" si="3"/>
        <v>7225</v>
      </c>
      <c r="I22" s="363">
        <f t="shared" si="3"/>
        <v>6968</v>
      </c>
      <c r="J22" s="363">
        <f t="shared" si="3"/>
        <v>6458</v>
      </c>
      <c r="K22" s="363">
        <f t="shared" si="3"/>
        <v>6886</v>
      </c>
      <c r="L22" s="365">
        <f t="shared" si="3"/>
        <v>6232</v>
      </c>
    </row>
    <row r="23" spans="1:13" x14ac:dyDescent="0.25">
      <c r="A23" s="1783"/>
      <c r="B23" s="1788"/>
      <c r="C23" s="1307"/>
      <c r="D23" s="527" t="s">
        <v>288</v>
      </c>
      <c r="E23" s="363">
        <f t="shared" si="3"/>
        <v>9926</v>
      </c>
      <c r="F23" s="363">
        <f t="shared" si="3"/>
        <v>10449</v>
      </c>
      <c r="G23" s="363">
        <f t="shared" si="3"/>
        <v>10816</v>
      </c>
      <c r="H23" s="363">
        <f t="shared" si="3"/>
        <v>11108</v>
      </c>
      <c r="I23" s="363">
        <f t="shared" si="3"/>
        <v>11063</v>
      </c>
      <c r="J23" s="363">
        <f t="shared" si="3"/>
        <v>10935</v>
      </c>
      <c r="K23" s="363">
        <f t="shared" si="3"/>
        <v>10948</v>
      </c>
      <c r="L23" s="365">
        <f t="shared" si="3"/>
        <v>11046</v>
      </c>
    </row>
    <row r="24" spans="1:13" ht="16.5" thickBot="1" x14ac:dyDescent="0.3">
      <c r="A24" s="1783"/>
      <c r="B24" s="1788"/>
      <c r="C24" s="1308"/>
      <c r="D24" s="538" t="s">
        <v>295</v>
      </c>
      <c r="E24" s="382">
        <f t="shared" si="3"/>
        <v>4172</v>
      </c>
      <c r="F24" s="382">
        <f t="shared" si="3"/>
        <v>4736</v>
      </c>
      <c r="G24" s="382">
        <f t="shared" si="3"/>
        <v>5369</v>
      </c>
      <c r="H24" s="382">
        <f t="shared" si="3"/>
        <v>5635</v>
      </c>
      <c r="I24" s="382">
        <f t="shared" si="3"/>
        <v>5716</v>
      </c>
      <c r="J24" s="382">
        <f t="shared" si="3"/>
        <v>5679</v>
      </c>
      <c r="K24" s="382">
        <f t="shared" si="3"/>
        <v>5591</v>
      </c>
      <c r="L24" s="383">
        <f t="shared" si="3"/>
        <v>5814</v>
      </c>
    </row>
    <row r="25" spans="1:13" ht="15" customHeight="1" x14ac:dyDescent="0.25">
      <c r="A25" s="1783"/>
      <c r="B25" s="1788"/>
      <c r="C25" s="1265" t="s">
        <v>270</v>
      </c>
      <c r="D25" s="535" t="s">
        <v>272</v>
      </c>
      <c r="E25" s="384">
        <f>E14/E3*100</f>
        <v>52.441003349783287</v>
      </c>
      <c r="F25" s="384">
        <f t="shared" ref="F25:L25" si="4">F14/F3*100</f>
        <v>52.29012838746128</v>
      </c>
      <c r="G25" s="384">
        <f t="shared" si="4"/>
        <v>53.465428963909588</v>
      </c>
      <c r="H25" s="384">
        <f t="shared" si="4"/>
        <v>53.374763639717749</v>
      </c>
      <c r="I25" s="384">
        <f t="shared" si="4"/>
        <v>53.370219577548106</v>
      </c>
      <c r="J25" s="384">
        <f t="shared" si="4"/>
        <v>53.278098264674348</v>
      </c>
      <c r="K25" s="384">
        <f t="shared" si="4"/>
        <v>53.254376970256047</v>
      </c>
      <c r="L25" s="385">
        <f t="shared" si="4"/>
        <v>52.990459392287335</v>
      </c>
    </row>
    <row r="26" spans="1:13" x14ac:dyDescent="0.25">
      <c r="A26" s="1783"/>
      <c r="B26" s="1788"/>
      <c r="C26" s="1360"/>
      <c r="D26" s="527" t="s">
        <v>275</v>
      </c>
      <c r="E26" s="158">
        <f>(E15/(E15+E9))*100</f>
        <v>48.849096637304697</v>
      </c>
      <c r="F26" s="158">
        <f t="shared" ref="F26:L27" si="5">(F15/(F15+F9))*100</f>
        <v>48.919360454216772</v>
      </c>
      <c r="G26" s="158">
        <f t="shared" si="5"/>
        <v>48.971588415971915</v>
      </c>
      <c r="H26" s="158">
        <f t="shared" si="5"/>
        <v>48.981209862839926</v>
      </c>
      <c r="I26" s="158">
        <f t="shared" si="5"/>
        <v>49.186217407871105</v>
      </c>
      <c r="J26" s="158">
        <f t="shared" si="5"/>
        <v>49.095986235297431</v>
      </c>
      <c r="K26" s="158">
        <f t="shared" si="5"/>
        <v>48.939736820048616</v>
      </c>
      <c r="L26" s="330">
        <f t="shared" si="5"/>
        <v>48.706458744099898</v>
      </c>
    </row>
    <row r="27" spans="1:13" x14ac:dyDescent="0.25">
      <c r="A27" s="1783"/>
      <c r="B27" s="1788"/>
      <c r="C27" s="1360"/>
      <c r="D27" s="527" t="s">
        <v>282</v>
      </c>
      <c r="E27" s="364">
        <f>(E16/(E16+E10))*100</f>
        <v>50.773226228329527</v>
      </c>
      <c r="F27" s="364">
        <f t="shared" si="5"/>
        <v>50.617082141397631</v>
      </c>
      <c r="G27" s="364">
        <f t="shared" si="5"/>
        <v>52.121899654514515</v>
      </c>
      <c r="H27" s="364">
        <f t="shared" si="5"/>
        <v>52.082888887607602</v>
      </c>
      <c r="I27" s="364">
        <f t="shared" si="5"/>
        <v>52.003680699332875</v>
      </c>
      <c r="J27" s="364">
        <f t="shared" si="5"/>
        <v>51.875232298829211</v>
      </c>
      <c r="K27" s="364">
        <f t="shared" si="5"/>
        <v>51.929846195237886</v>
      </c>
      <c r="L27" s="386">
        <f t="shared" si="5"/>
        <v>51.624558147294664</v>
      </c>
    </row>
    <row r="28" spans="1:13" x14ac:dyDescent="0.25">
      <c r="A28" s="1783"/>
      <c r="B28" s="1788"/>
      <c r="C28" s="1360"/>
      <c r="D28" s="527" t="s">
        <v>288</v>
      </c>
      <c r="E28" s="364">
        <f t="shared" ref="E28:L29" si="6">(E17/(E17+E11))*100</f>
        <v>60.500148097998562</v>
      </c>
      <c r="F28" s="364">
        <f t="shared" si="6"/>
        <v>60.880974695407687</v>
      </c>
      <c r="G28" s="364">
        <f t="shared" si="6"/>
        <v>61.122537123112998</v>
      </c>
      <c r="H28" s="364">
        <f t="shared" si="6"/>
        <v>61.353229762878172</v>
      </c>
      <c r="I28" s="364">
        <f t="shared" si="6"/>
        <v>61.521318031284501</v>
      </c>
      <c r="J28" s="364">
        <f t="shared" si="6"/>
        <v>61.421796987612019</v>
      </c>
      <c r="K28" s="364">
        <f t="shared" si="6"/>
        <v>61.371473679837131</v>
      </c>
      <c r="L28" s="386">
        <f t="shared" si="6"/>
        <v>61.242519236249649</v>
      </c>
    </row>
    <row r="29" spans="1:13" ht="16.5" thickBot="1" x14ac:dyDescent="0.3">
      <c r="A29" s="1783"/>
      <c r="B29" s="1789"/>
      <c r="C29" s="1361"/>
      <c r="D29" s="538" t="s">
        <v>295</v>
      </c>
      <c r="E29" s="366">
        <f t="shared" si="6"/>
        <v>67.517635203224728</v>
      </c>
      <c r="F29" s="366">
        <f t="shared" si="6"/>
        <v>66.166029492080838</v>
      </c>
      <c r="G29" s="366">
        <f t="shared" si="6"/>
        <v>65.318116975748936</v>
      </c>
      <c r="H29" s="366">
        <f t="shared" si="6"/>
        <v>65.524271309714038</v>
      </c>
      <c r="I29" s="366">
        <f t="shared" si="6"/>
        <v>65.884837705646959</v>
      </c>
      <c r="J29" s="366">
        <f t="shared" si="6"/>
        <v>66.032409237197214</v>
      </c>
      <c r="K29" s="366">
        <f t="shared" si="6"/>
        <v>65.955139546829528</v>
      </c>
      <c r="L29" s="367">
        <f t="shared" si="6"/>
        <v>66.34615384615384</v>
      </c>
    </row>
    <row r="30" spans="1:13" ht="17.25" thickTop="1" thickBot="1" x14ac:dyDescent="0.3">
      <c r="A30" s="1783"/>
      <c r="B30" s="823" t="s">
        <v>249</v>
      </c>
      <c r="C30" s="1675"/>
      <c r="D30" s="1675"/>
      <c r="E30" s="112">
        <v>2005</v>
      </c>
      <c r="F30" s="112">
        <v>2010</v>
      </c>
      <c r="G30" s="112">
        <v>2015</v>
      </c>
      <c r="H30" s="112">
        <v>2020</v>
      </c>
      <c r="I30" s="112">
        <v>2021</v>
      </c>
      <c r="J30" s="112">
        <v>2022</v>
      </c>
      <c r="K30" s="112">
        <v>2023</v>
      </c>
      <c r="L30" s="819">
        <v>2024</v>
      </c>
      <c r="M30" s="482"/>
    </row>
    <row r="31" spans="1:13" x14ac:dyDescent="0.25">
      <c r="A31" s="1783"/>
      <c r="B31" s="1672" t="s">
        <v>570</v>
      </c>
      <c r="C31" s="1211" t="s">
        <v>272</v>
      </c>
      <c r="D31" s="1541"/>
      <c r="E31" s="81">
        <v>44850</v>
      </c>
      <c r="F31" s="81">
        <v>60049</v>
      </c>
      <c r="G31" s="81">
        <v>37712</v>
      </c>
      <c r="H31" s="81">
        <v>54964</v>
      </c>
      <c r="I31" s="81">
        <v>56311</v>
      </c>
      <c r="J31" s="81">
        <v>54941</v>
      </c>
      <c r="K31" s="82">
        <v>61660</v>
      </c>
      <c r="L31" s="828">
        <f>L32+L33</f>
        <v>70802</v>
      </c>
    </row>
    <row r="32" spans="1:13" x14ac:dyDescent="0.25">
      <c r="A32" s="1783"/>
      <c r="B32" s="1673"/>
      <c r="C32" s="1124" t="s">
        <v>257</v>
      </c>
      <c r="D32" s="1124"/>
      <c r="E32" s="80">
        <v>22977</v>
      </c>
      <c r="F32" s="80">
        <v>30823</v>
      </c>
      <c r="G32" s="80">
        <v>18077</v>
      </c>
      <c r="H32" s="80">
        <v>26035</v>
      </c>
      <c r="I32" s="80">
        <v>26728</v>
      </c>
      <c r="J32" s="80">
        <v>26227</v>
      </c>
      <c r="K32" s="83">
        <v>29552</v>
      </c>
      <c r="L32" s="369">
        <v>34419</v>
      </c>
    </row>
    <row r="33" spans="1:12" x14ac:dyDescent="0.25">
      <c r="A33" s="1783"/>
      <c r="B33" s="1673"/>
      <c r="C33" s="1124" t="s">
        <v>263</v>
      </c>
      <c r="D33" s="1124"/>
      <c r="E33" s="80">
        <v>21873</v>
      </c>
      <c r="F33" s="80">
        <v>29226</v>
      </c>
      <c r="G33" s="80">
        <v>19635</v>
      </c>
      <c r="H33" s="80">
        <v>28929</v>
      </c>
      <c r="I33" s="80">
        <v>29583</v>
      </c>
      <c r="J33" s="80">
        <v>28714</v>
      </c>
      <c r="K33" s="83">
        <v>32108</v>
      </c>
      <c r="L33" s="369">
        <v>36383</v>
      </c>
    </row>
    <row r="34" spans="1:12" x14ac:dyDescent="0.25">
      <c r="A34" s="1783"/>
      <c r="B34" s="1673"/>
      <c r="C34" s="1112" t="s">
        <v>269</v>
      </c>
      <c r="D34" s="1112"/>
      <c r="E34" s="157">
        <f>+E33-E32</f>
        <v>-1104</v>
      </c>
      <c r="F34" s="157">
        <f t="shared" ref="F34:L34" si="7">+F33-F32</f>
        <v>-1597</v>
      </c>
      <c r="G34" s="363">
        <f t="shared" si="7"/>
        <v>1558</v>
      </c>
      <c r="H34" s="363">
        <f t="shared" si="7"/>
        <v>2894</v>
      </c>
      <c r="I34" s="363">
        <f t="shared" si="7"/>
        <v>2855</v>
      </c>
      <c r="J34" s="363">
        <f t="shared" si="7"/>
        <v>2487</v>
      </c>
      <c r="K34" s="365">
        <f t="shared" si="7"/>
        <v>2556</v>
      </c>
      <c r="L34" s="370">
        <f t="shared" si="7"/>
        <v>1964</v>
      </c>
    </row>
    <row r="35" spans="1:12" ht="16.5" thickBot="1" x14ac:dyDescent="0.3">
      <c r="A35" s="1783"/>
      <c r="B35" s="1781"/>
      <c r="C35" s="1178" t="s">
        <v>270</v>
      </c>
      <c r="D35" s="1178"/>
      <c r="E35" s="165">
        <f>E33/E31*100</f>
        <v>48.769230769230774</v>
      </c>
      <c r="F35" s="165">
        <f t="shared" ref="F35:L35" si="8">F33/F31*100</f>
        <v>48.670252627021263</v>
      </c>
      <c r="G35" s="378">
        <f t="shared" si="8"/>
        <v>52.065655494272377</v>
      </c>
      <c r="H35" s="378">
        <f t="shared" si="8"/>
        <v>52.632632268393856</v>
      </c>
      <c r="I35" s="378">
        <f t="shared" si="8"/>
        <v>52.535028680009233</v>
      </c>
      <c r="J35" s="378">
        <f t="shared" si="8"/>
        <v>52.263337034273128</v>
      </c>
      <c r="K35" s="379">
        <f t="shared" si="8"/>
        <v>52.072656503405781</v>
      </c>
      <c r="L35" s="377">
        <f t="shared" si="8"/>
        <v>51.386966469873727</v>
      </c>
    </row>
    <row r="36" spans="1:12" ht="15" customHeight="1" x14ac:dyDescent="0.25">
      <c r="A36" s="1783"/>
      <c r="B36" s="1672" t="s">
        <v>342</v>
      </c>
      <c r="C36" s="1147" t="s">
        <v>343</v>
      </c>
      <c r="D36" s="1147"/>
      <c r="E36" s="195">
        <f>E37+E38</f>
        <v>9957</v>
      </c>
      <c r="F36" s="195">
        <f t="shared" ref="F36:L36" si="9">F37+F38</f>
        <v>11158</v>
      </c>
      <c r="G36" s="195">
        <f t="shared" si="9"/>
        <v>12234</v>
      </c>
      <c r="H36" s="195">
        <f t="shared" si="9"/>
        <v>12591</v>
      </c>
      <c r="I36" s="195">
        <f t="shared" si="9"/>
        <v>12662</v>
      </c>
      <c r="J36" s="195">
        <f t="shared" si="9"/>
        <v>12759</v>
      </c>
      <c r="K36" s="195">
        <f t="shared" si="9"/>
        <v>12769</v>
      </c>
      <c r="L36" s="196">
        <f t="shared" si="9"/>
        <v>13112</v>
      </c>
    </row>
    <row r="37" spans="1:12" x14ac:dyDescent="0.25">
      <c r="A37" s="1783"/>
      <c r="B37" s="1673"/>
      <c r="C37" s="1124" t="s">
        <v>344</v>
      </c>
      <c r="D37" s="1124"/>
      <c r="E37" s="80">
        <v>1770</v>
      </c>
      <c r="F37" s="80">
        <v>2091</v>
      </c>
      <c r="G37" s="80">
        <v>2517</v>
      </c>
      <c r="H37" s="80">
        <v>2801</v>
      </c>
      <c r="I37" s="80">
        <v>2805</v>
      </c>
      <c r="J37" s="80">
        <v>2884</v>
      </c>
      <c r="K37" s="80">
        <v>2915</v>
      </c>
      <c r="L37" s="83">
        <v>3057</v>
      </c>
    </row>
    <row r="38" spans="1:12" x14ac:dyDescent="0.25">
      <c r="A38" s="1783"/>
      <c r="B38" s="1673"/>
      <c r="C38" s="1124" t="s">
        <v>345</v>
      </c>
      <c r="D38" s="1124"/>
      <c r="E38" s="80">
        <v>8187</v>
      </c>
      <c r="F38" s="80">
        <v>9067</v>
      </c>
      <c r="G38" s="80">
        <v>9717</v>
      </c>
      <c r="H38" s="80">
        <v>9790</v>
      </c>
      <c r="I38" s="80">
        <v>9857</v>
      </c>
      <c r="J38" s="80">
        <v>9875</v>
      </c>
      <c r="K38" s="80">
        <v>9854</v>
      </c>
      <c r="L38" s="83">
        <v>10055</v>
      </c>
    </row>
    <row r="39" spans="1:12" x14ac:dyDescent="0.25">
      <c r="A39" s="1783"/>
      <c r="B39" s="1673"/>
      <c r="C39" s="1112" t="s">
        <v>269</v>
      </c>
      <c r="D39" s="1112"/>
      <c r="E39" s="157">
        <f>E38-E37</f>
        <v>6417</v>
      </c>
      <c r="F39" s="157">
        <f t="shared" ref="F39:L39" si="10">F38-F37</f>
        <v>6976</v>
      </c>
      <c r="G39" s="157">
        <f t="shared" si="10"/>
        <v>7200</v>
      </c>
      <c r="H39" s="157">
        <f t="shared" si="10"/>
        <v>6989</v>
      </c>
      <c r="I39" s="157">
        <f t="shared" si="10"/>
        <v>7052</v>
      </c>
      <c r="J39" s="157">
        <f t="shared" si="10"/>
        <v>6991</v>
      </c>
      <c r="K39" s="157">
        <f t="shared" si="10"/>
        <v>6939</v>
      </c>
      <c r="L39" s="160">
        <f t="shared" si="10"/>
        <v>6998</v>
      </c>
    </row>
    <row r="40" spans="1:12" ht="16.5" thickBot="1" x14ac:dyDescent="0.3">
      <c r="A40" s="1783"/>
      <c r="B40" s="1674"/>
      <c r="C40" s="1126" t="s">
        <v>346</v>
      </c>
      <c r="D40" s="1126"/>
      <c r="E40" s="161">
        <f t="shared" ref="E40:L40" si="11">E38/E36*100</f>
        <v>82.223561313648688</v>
      </c>
      <c r="F40" s="161">
        <f t="shared" si="11"/>
        <v>81.260082452052345</v>
      </c>
      <c r="G40" s="161">
        <f t="shared" si="11"/>
        <v>79.426189308484552</v>
      </c>
      <c r="H40" s="161">
        <f t="shared" si="11"/>
        <v>77.75395123500914</v>
      </c>
      <c r="I40" s="161">
        <f t="shared" si="11"/>
        <v>77.847101563734014</v>
      </c>
      <c r="J40" s="161">
        <f t="shared" si="11"/>
        <v>77.396347676150171</v>
      </c>
      <c r="K40" s="161">
        <f t="shared" si="11"/>
        <v>77.17127417965385</v>
      </c>
      <c r="L40" s="162">
        <f t="shared" si="11"/>
        <v>76.685478950579622</v>
      </c>
    </row>
    <row r="41" spans="1:12" ht="15" customHeight="1" x14ac:dyDescent="0.25">
      <c r="A41" s="1783"/>
      <c r="B41" s="1672" t="s">
        <v>134</v>
      </c>
      <c r="C41" s="1206" t="s">
        <v>348</v>
      </c>
      <c r="D41" s="1206"/>
      <c r="E41" s="225">
        <f>E42+E43</f>
        <v>1398</v>
      </c>
      <c r="F41" s="225">
        <f t="shared" ref="F41:L41" si="12">F42+F43</f>
        <v>1945</v>
      </c>
      <c r="G41" s="225">
        <f t="shared" si="12"/>
        <v>2520</v>
      </c>
      <c r="H41" s="225">
        <f t="shared" si="12"/>
        <v>2405</v>
      </c>
      <c r="I41" s="225">
        <f t="shared" si="12"/>
        <v>2373</v>
      </c>
      <c r="J41" s="225">
        <f t="shared" si="12"/>
        <v>2405</v>
      </c>
      <c r="K41" s="273">
        <f t="shared" si="12"/>
        <v>2382</v>
      </c>
      <c r="L41" s="829">
        <f t="shared" si="12"/>
        <v>2382</v>
      </c>
    </row>
    <row r="42" spans="1:12" x14ac:dyDescent="0.25">
      <c r="A42" s="1783"/>
      <c r="B42" s="1673"/>
      <c r="C42" s="1124" t="s">
        <v>349</v>
      </c>
      <c r="D42" s="1124"/>
      <c r="E42" s="181">
        <v>242</v>
      </c>
      <c r="F42" s="181">
        <v>308</v>
      </c>
      <c r="G42" s="181">
        <v>388</v>
      </c>
      <c r="H42" s="181">
        <v>332</v>
      </c>
      <c r="I42" s="181">
        <v>307</v>
      </c>
      <c r="J42" s="181">
        <v>329</v>
      </c>
      <c r="K42" s="199">
        <v>303</v>
      </c>
      <c r="L42" s="830">
        <v>305</v>
      </c>
    </row>
    <row r="43" spans="1:12" x14ac:dyDescent="0.25">
      <c r="A43" s="1783"/>
      <c r="B43" s="1673"/>
      <c r="C43" s="1124" t="s">
        <v>350</v>
      </c>
      <c r="D43" s="1124"/>
      <c r="E43" s="80">
        <v>1156</v>
      </c>
      <c r="F43" s="80">
        <v>1637</v>
      </c>
      <c r="G43" s="80">
        <v>2132</v>
      </c>
      <c r="H43" s="80">
        <v>2073</v>
      </c>
      <c r="I43" s="80">
        <v>2066</v>
      </c>
      <c r="J43" s="80">
        <v>2076</v>
      </c>
      <c r="K43" s="83">
        <v>2079</v>
      </c>
      <c r="L43" s="830">
        <v>2077</v>
      </c>
    </row>
    <row r="44" spans="1:12" x14ac:dyDescent="0.25">
      <c r="A44" s="1783"/>
      <c r="B44" s="1673"/>
      <c r="C44" s="1112" t="s">
        <v>269</v>
      </c>
      <c r="D44" s="1112"/>
      <c r="E44" s="157">
        <f>E43-E42</f>
        <v>914</v>
      </c>
      <c r="F44" s="157">
        <f t="shared" ref="F44:L44" si="13">F43-F42</f>
        <v>1329</v>
      </c>
      <c r="G44" s="157">
        <f t="shared" si="13"/>
        <v>1744</v>
      </c>
      <c r="H44" s="157">
        <f t="shared" si="13"/>
        <v>1741</v>
      </c>
      <c r="I44" s="157">
        <f t="shared" si="13"/>
        <v>1759</v>
      </c>
      <c r="J44" s="157">
        <f t="shared" si="13"/>
        <v>1747</v>
      </c>
      <c r="K44" s="160">
        <f t="shared" si="13"/>
        <v>1776</v>
      </c>
      <c r="L44" s="319">
        <f t="shared" si="13"/>
        <v>1772</v>
      </c>
    </row>
    <row r="45" spans="1:12" x14ac:dyDescent="0.25">
      <c r="A45" s="1784"/>
      <c r="B45" s="1781"/>
      <c r="C45" s="1178" t="s">
        <v>351</v>
      </c>
      <c r="D45" s="1178"/>
      <c r="E45" s="165">
        <f t="shared" ref="E45:L45" si="14">E43/E41*100</f>
        <v>82.689556509298995</v>
      </c>
      <c r="F45" s="165">
        <f t="shared" si="14"/>
        <v>84.164524421593839</v>
      </c>
      <c r="G45" s="165">
        <f t="shared" si="14"/>
        <v>84.603174603174608</v>
      </c>
      <c r="H45" s="165">
        <f t="shared" si="14"/>
        <v>86.195426195426194</v>
      </c>
      <c r="I45" s="165">
        <f t="shared" si="14"/>
        <v>87.062789717656969</v>
      </c>
      <c r="J45" s="165">
        <f t="shared" si="14"/>
        <v>86.320166320166322</v>
      </c>
      <c r="K45" s="166">
        <f t="shared" si="14"/>
        <v>87.279596977329973</v>
      </c>
      <c r="L45" s="831">
        <f t="shared" si="14"/>
        <v>87.195633921074716</v>
      </c>
    </row>
    <row r="46" spans="1:12" ht="16.5" thickBot="1" x14ac:dyDescent="0.3">
      <c r="A46" s="338" t="s">
        <v>248</v>
      </c>
      <c r="B46" s="338" t="s">
        <v>249</v>
      </c>
      <c r="C46" s="1422"/>
      <c r="D46" s="1422"/>
      <c r="E46" s="616">
        <v>2005</v>
      </c>
      <c r="F46" s="616">
        <v>2010</v>
      </c>
      <c r="G46" s="616">
        <v>2015</v>
      </c>
      <c r="H46" s="616">
        <v>2020</v>
      </c>
      <c r="I46" s="616">
        <v>2021</v>
      </c>
      <c r="J46" s="616">
        <v>2022</v>
      </c>
      <c r="K46" s="616">
        <v>2023</v>
      </c>
      <c r="L46" s="616">
        <v>2024</v>
      </c>
    </row>
    <row r="47" spans="1:12" x14ac:dyDescent="0.25">
      <c r="A47" s="1778" t="s">
        <v>38</v>
      </c>
      <c r="B47" s="1392" t="s">
        <v>352</v>
      </c>
      <c r="C47" s="1147" t="s">
        <v>251</v>
      </c>
      <c r="D47" s="1147"/>
      <c r="E47" s="195">
        <v>9242</v>
      </c>
      <c r="F47" s="195">
        <v>19909</v>
      </c>
      <c r="G47" s="195">
        <v>19948</v>
      </c>
      <c r="H47" s="195">
        <v>19468</v>
      </c>
      <c r="I47" s="195">
        <v>19699</v>
      </c>
      <c r="J47" s="195">
        <v>13699</v>
      </c>
      <c r="K47" s="195">
        <v>13944</v>
      </c>
      <c r="L47" s="82">
        <v>13433</v>
      </c>
    </row>
    <row r="48" spans="1:12" x14ac:dyDescent="0.25">
      <c r="A48" s="1779"/>
      <c r="B48" s="1393"/>
      <c r="C48" s="1124" t="s">
        <v>257</v>
      </c>
      <c r="D48" s="1124"/>
      <c r="E48" s="96">
        <v>3672</v>
      </c>
      <c r="F48" s="96">
        <v>10480</v>
      </c>
      <c r="G48" s="96">
        <v>9684</v>
      </c>
      <c r="H48" s="96">
        <v>8629</v>
      </c>
      <c r="I48" s="96">
        <v>8535</v>
      </c>
      <c r="J48" s="96">
        <v>5776</v>
      </c>
      <c r="K48" s="96">
        <v>5808</v>
      </c>
      <c r="L48" s="83">
        <v>5726</v>
      </c>
    </row>
    <row r="49" spans="1:12" x14ac:dyDescent="0.25">
      <c r="A49" s="1779"/>
      <c r="B49" s="1393"/>
      <c r="C49" s="1124" t="s">
        <v>263</v>
      </c>
      <c r="D49" s="1124"/>
      <c r="E49" s="96">
        <v>5570</v>
      </c>
      <c r="F49" s="96">
        <v>9429</v>
      </c>
      <c r="G49" s="96">
        <v>10264</v>
      </c>
      <c r="H49" s="96">
        <v>10839</v>
      </c>
      <c r="I49" s="96">
        <v>11164</v>
      </c>
      <c r="J49" s="96">
        <v>7923</v>
      </c>
      <c r="K49" s="96">
        <v>8136</v>
      </c>
      <c r="L49" s="83">
        <v>7707</v>
      </c>
    </row>
    <row r="50" spans="1:12" x14ac:dyDescent="0.25">
      <c r="A50" s="1779"/>
      <c r="B50" s="1393"/>
      <c r="C50" s="1112" t="s">
        <v>353</v>
      </c>
      <c r="D50" s="1112"/>
      <c r="E50" s="157">
        <f t="shared" ref="E50:L50" si="15">+E49-E48</f>
        <v>1898</v>
      </c>
      <c r="F50" s="363">
        <f t="shared" si="15"/>
        <v>-1051</v>
      </c>
      <c r="G50" s="157">
        <f t="shared" si="15"/>
        <v>580</v>
      </c>
      <c r="H50" s="157">
        <f t="shared" si="15"/>
        <v>2210</v>
      </c>
      <c r="I50" s="157">
        <f t="shared" si="15"/>
        <v>2629</v>
      </c>
      <c r="J50" s="157">
        <f t="shared" si="15"/>
        <v>2147</v>
      </c>
      <c r="K50" s="157">
        <f t="shared" si="15"/>
        <v>2328</v>
      </c>
      <c r="L50" s="160">
        <f t="shared" si="15"/>
        <v>1981</v>
      </c>
    </row>
    <row r="51" spans="1:12" ht="16.5" thickBot="1" x14ac:dyDescent="0.3">
      <c r="A51" s="1779"/>
      <c r="B51" s="1402"/>
      <c r="C51" s="1126" t="s">
        <v>270</v>
      </c>
      <c r="D51" s="1126"/>
      <c r="E51" s="161">
        <f>E49/E47*100</f>
        <v>60.268340186106904</v>
      </c>
      <c r="F51" s="161">
        <f t="shared" ref="F51:L51" si="16">F49/F47*100</f>
        <v>47.360490230548997</v>
      </c>
      <c r="G51" s="161">
        <f t="shared" si="16"/>
        <v>51.453779827551635</v>
      </c>
      <c r="H51" s="161">
        <f t="shared" si="16"/>
        <v>55.675981097185122</v>
      </c>
      <c r="I51" s="161">
        <f t="shared" si="16"/>
        <v>56.672927559774614</v>
      </c>
      <c r="J51" s="161">
        <f t="shared" si="16"/>
        <v>57.836338418862688</v>
      </c>
      <c r="K51" s="161">
        <f t="shared" si="16"/>
        <v>58.34767641996558</v>
      </c>
      <c r="L51" s="162">
        <f t="shared" si="16"/>
        <v>57.373632100052106</v>
      </c>
    </row>
    <row r="52" spans="1:12" x14ac:dyDescent="0.25">
      <c r="A52" s="1779"/>
      <c r="B52" s="1392" t="s">
        <v>146</v>
      </c>
      <c r="C52" s="1147" t="s">
        <v>251</v>
      </c>
      <c r="D52" s="1147"/>
      <c r="E52" s="40"/>
      <c r="F52" s="40"/>
      <c r="G52" s="40"/>
      <c r="H52" s="40">
        <v>11.72</v>
      </c>
      <c r="I52" s="40">
        <v>9.64</v>
      </c>
      <c r="J52" s="40">
        <v>7.67</v>
      </c>
      <c r="K52" s="40">
        <v>7.2</v>
      </c>
      <c r="L52" s="325">
        <v>6.7</v>
      </c>
    </row>
    <row r="53" spans="1:12" x14ac:dyDescent="0.25">
      <c r="A53" s="1779"/>
      <c r="B53" s="1393"/>
      <c r="C53" s="1124" t="s">
        <v>257</v>
      </c>
      <c r="D53" s="1124"/>
      <c r="E53" s="28"/>
      <c r="F53" s="28"/>
      <c r="G53" s="28"/>
      <c r="H53" s="28">
        <v>10.85</v>
      </c>
      <c r="I53" s="28">
        <v>8.7899999999999991</v>
      </c>
      <c r="J53" s="28">
        <v>6.9</v>
      </c>
      <c r="K53" s="28">
        <v>6.36</v>
      </c>
      <c r="L53" s="21">
        <v>5.9</v>
      </c>
    </row>
    <row r="54" spans="1:12" x14ac:dyDescent="0.25">
      <c r="A54" s="1779"/>
      <c r="B54" s="1393"/>
      <c r="C54" s="1223" t="s">
        <v>263</v>
      </c>
      <c r="D54" s="1223"/>
      <c r="E54" s="28"/>
      <c r="F54" s="28"/>
      <c r="G54" s="28"/>
      <c r="H54" s="28">
        <v>12.51</v>
      </c>
      <c r="I54" s="28">
        <v>10.43</v>
      </c>
      <c r="J54" s="28">
        <v>8.3800000000000008</v>
      </c>
      <c r="K54" s="28">
        <v>7.99</v>
      </c>
      <c r="L54" s="21">
        <v>7.5</v>
      </c>
    </row>
    <row r="55" spans="1:12" ht="16.5" thickBot="1" x14ac:dyDescent="0.3">
      <c r="A55" s="1779"/>
      <c r="B55" s="1402"/>
      <c r="C55" s="1225" t="s">
        <v>354</v>
      </c>
      <c r="D55" s="1225"/>
      <c r="E55" s="33"/>
      <c r="F55" s="33"/>
      <c r="G55" s="33"/>
      <c r="H55" s="34">
        <f>+H54-H53</f>
        <v>1.6600000000000001</v>
      </c>
      <c r="I55" s="34">
        <f>+I54-I53</f>
        <v>1.6400000000000006</v>
      </c>
      <c r="J55" s="34">
        <f>+J54-J53</f>
        <v>1.4800000000000004</v>
      </c>
      <c r="K55" s="34">
        <f>+K54-K53</f>
        <v>1.63</v>
      </c>
      <c r="L55" s="35">
        <f>+L54-L53</f>
        <v>1.5999999999999996</v>
      </c>
    </row>
    <row r="56" spans="1:12" x14ac:dyDescent="0.25">
      <c r="A56" s="1779"/>
      <c r="B56" s="1683" t="s">
        <v>151</v>
      </c>
      <c r="C56" s="1317" t="s">
        <v>251</v>
      </c>
      <c r="D56" s="1317"/>
      <c r="E56" s="36"/>
      <c r="F56" s="36"/>
      <c r="G56" s="36"/>
      <c r="H56" s="195">
        <v>1415</v>
      </c>
      <c r="I56" s="195">
        <v>1461</v>
      </c>
      <c r="J56" s="195">
        <v>1782</v>
      </c>
      <c r="K56" s="195">
        <v>1502</v>
      </c>
      <c r="L56" s="20"/>
    </row>
    <row r="57" spans="1:12" x14ac:dyDescent="0.25">
      <c r="A57" s="1779"/>
      <c r="B57" s="1684"/>
      <c r="C57" s="1230" t="s">
        <v>257</v>
      </c>
      <c r="D57" s="1230"/>
      <c r="E57" s="28"/>
      <c r="F57" s="28"/>
      <c r="G57" s="28"/>
      <c r="H57" s="96">
        <v>461</v>
      </c>
      <c r="I57" s="96">
        <v>476</v>
      </c>
      <c r="J57" s="96">
        <v>588</v>
      </c>
      <c r="K57" s="96">
        <v>523</v>
      </c>
      <c r="L57" s="21"/>
    </row>
    <row r="58" spans="1:12" x14ac:dyDescent="0.25">
      <c r="A58" s="1779"/>
      <c r="B58" s="1684"/>
      <c r="C58" s="1124" t="s">
        <v>263</v>
      </c>
      <c r="D58" s="1124"/>
      <c r="E58" s="28"/>
      <c r="F58" s="28"/>
      <c r="G58" s="28"/>
      <c r="H58" s="96">
        <v>954</v>
      </c>
      <c r="I58" s="96">
        <v>985</v>
      </c>
      <c r="J58" s="96">
        <v>1194</v>
      </c>
      <c r="K58" s="96">
        <v>979</v>
      </c>
      <c r="L58" s="21"/>
    </row>
    <row r="59" spans="1:12" x14ac:dyDescent="0.25">
      <c r="A59" s="1779"/>
      <c r="B59" s="1684"/>
      <c r="C59" s="1112" t="s">
        <v>575</v>
      </c>
      <c r="D59" s="1112"/>
      <c r="E59" s="44"/>
      <c r="F59" s="44"/>
      <c r="G59" s="44"/>
      <c r="H59" s="44">
        <f>+H58-H57</f>
        <v>493</v>
      </c>
      <c r="I59" s="44">
        <f>+I58-I57</f>
        <v>509</v>
      </c>
      <c r="J59" s="44">
        <f>+J58-J57</f>
        <v>606</v>
      </c>
      <c r="K59" s="44">
        <f>+K58-K57</f>
        <v>456</v>
      </c>
      <c r="L59" s="21"/>
    </row>
    <row r="60" spans="1:12" ht="16.5" thickBot="1" x14ac:dyDescent="0.3">
      <c r="A60" s="1779"/>
      <c r="B60" s="1754"/>
      <c r="C60" s="1126" t="s">
        <v>270</v>
      </c>
      <c r="D60" s="1126"/>
      <c r="E60" s="203"/>
      <c r="F60" s="203"/>
      <c r="G60" s="203"/>
      <c r="H60" s="161">
        <f>H58/H56*100</f>
        <v>67.420494699646639</v>
      </c>
      <c r="I60" s="161">
        <f>I58/I56*100</f>
        <v>67.419575633127991</v>
      </c>
      <c r="J60" s="161">
        <f>J58/J56*100</f>
        <v>67.003367003367003</v>
      </c>
      <c r="K60" s="161">
        <f>K58/K56*100</f>
        <v>65.179760319573901</v>
      </c>
      <c r="L60" s="22"/>
    </row>
    <row r="61" spans="1:12" x14ac:dyDescent="0.25">
      <c r="A61" s="1779"/>
      <c r="B61" s="832" t="s">
        <v>249</v>
      </c>
      <c r="C61" s="1571"/>
      <c r="D61" s="1571"/>
      <c r="E61" s="622"/>
      <c r="F61" s="622">
        <v>2011</v>
      </c>
      <c r="G61" s="622"/>
      <c r="H61" s="622"/>
      <c r="I61" s="622">
        <v>2021</v>
      </c>
      <c r="J61" s="622"/>
      <c r="K61" s="622"/>
      <c r="L61" s="473"/>
    </row>
    <row r="62" spans="1:12" x14ac:dyDescent="0.25">
      <c r="A62" s="1779"/>
      <c r="B62" s="1393" t="s">
        <v>156</v>
      </c>
      <c r="C62" s="1432" t="s">
        <v>355</v>
      </c>
      <c r="D62" s="814" t="s">
        <v>251</v>
      </c>
      <c r="E62" s="92"/>
      <c r="F62" s="79">
        <v>101760</v>
      </c>
      <c r="G62" s="93"/>
      <c r="H62" s="93"/>
      <c r="I62" s="79">
        <v>104811</v>
      </c>
      <c r="J62" s="44"/>
      <c r="K62" s="28"/>
      <c r="L62" s="21"/>
    </row>
    <row r="63" spans="1:12" ht="15" customHeight="1" x14ac:dyDescent="0.25">
      <c r="A63" s="1779"/>
      <c r="B63" s="1393"/>
      <c r="C63" s="1432"/>
      <c r="D63" s="28" t="s">
        <v>257</v>
      </c>
      <c r="E63" s="94"/>
      <c r="F63" s="80">
        <v>51470</v>
      </c>
      <c r="G63" s="95"/>
      <c r="H63" s="95"/>
      <c r="I63" s="80">
        <v>52206</v>
      </c>
      <c r="J63" s="28"/>
      <c r="K63" s="28"/>
      <c r="L63" s="21"/>
    </row>
    <row r="64" spans="1:12" x14ac:dyDescent="0.25">
      <c r="A64" s="1779"/>
      <c r="B64" s="1393"/>
      <c r="C64" s="1432"/>
      <c r="D64" s="28" t="s">
        <v>263</v>
      </c>
      <c r="E64" s="94"/>
      <c r="F64" s="80">
        <v>50290</v>
      </c>
      <c r="G64" s="95"/>
      <c r="H64" s="95"/>
      <c r="I64" s="80">
        <v>52605</v>
      </c>
      <c r="J64" s="28"/>
      <c r="K64" s="28"/>
      <c r="L64" s="21"/>
    </row>
    <row r="65" spans="1:12" hidden="1" x14ac:dyDescent="0.25">
      <c r="A65" s="1779"/>
      <c r="B65" s="1393"/>
      <c r="C65" s="1403" t="s">
        <v>356</v>
      </c>
      <c r="D65" s="144" t="s">
        <v>251</v>
      </c>
      <c r="E65" s="94"/>
      <c r="F65" s="80">
        <v>865</v>
      </c>
      <c r="G65" s="95"/>
      <c r="H65" s="95"/>
      <c r="I65" s="96"/>
      <c r="J65" s="28"/>
      <c r="K65" s="28"/>
      <c r="L65" s="21"/>
    </row>
    <row r="66" spans="1:12" hidden="1" x14ac:dyDescent="0.25">
      <c r="A66" s="1779"/>
      <c r="B66" s="1393"/>
      <c r="C66" s="1403"/>
      <c r="D66" s="28" t="s">
        <v>257</v>
      </c>
      <c r="E66" s="94"/>
      <c r="F66" s="80">
        <v>750</v>
      </c>
      <c r="G66" s="95"/>
      <c r="H66" s="95"/>
      <c r="I66" s="96"/>
      <c r="J66" s="28"/>
      <c r="K66" s="28"/>
      <c r="L66" s="21"/>
    </row>
    <row r="67" spans="1:12" hidden="1" x14ac:dyDescent="0.25">
      <c r="A67" s="1779"/>
      <c r="B67" s="1393"/>
      <c r="C67" s="1403"/>
      <c r="D67" s="28" t="s">
        <v>263</v>
      </c>
      <c r="E67" s="94"/>
      <c r="F67" s="80">
        <v>120</v>
      </c>
      <c r="G67" s="95"/>
      <c r="H67" s="95"/>
      <c r="I67" s="96"/>
      <c r="J67" s="28"/>
      <c r="K67" s="28"/>
      <c r="L67" s="21"/>
    </row>
    <row r="68" spans="1:12" hidden="1" x14ac:dyDescent="0.25">
      <c r="A68" s="1779"/>
      <c r="B68" s="1393"/>
      <c r="C68" s="1403"/>
      <c r="D68" s="28" t="s">
        <v>357</v>
      </c>
      <c r="E68" s="94"/>
      <c r="F68" s="97">
        <f>F67/F65*100</f>
        <v>13.872832369942195</v>
      </c>
      <c r="G68" s="94"/>
      <c r="H68" s="94"/>
      <c r="I68" s="28"/>
      <c r="J68" s="28"/>
      <c r="K68" s="28"/>
      <c r="L68" s="21"/>
    </row>
    <row r="69" spans="1:12" ht="14.85" hidden="1" customHeight="1" x14ac:dyDescent="0.25">
      <c r="A69" s="1779"/>
      <c r="B69" s="1393"/>
      <c r="C69" s="1403" t="s">
        <v>358</v>
      </c>
      <c r="D69" s="144" t="s">
        <v>251</v>
      </c>
      <c r="E69" s="94"/>
      <c r="F69" s="80">
        <v>465</v>
      </c>
      <c r="G69" s="80"/>
      <c r="H69" s="80"/>
      <c r="I69" s="80">
        <v>132</v>
      </c>
      <c r="J69" s="28"/>
      <c r="K69" s="28"/>
      <c r="L69" s="21"/>
    </row>
    <row r="70" spans="1:12" hidden="1" x14ac:dyDescent="0.25">
      <c r="A70" s="1779"/>
      <c r="B70" s="1393"/>
      <c r="C70" s="1403"/>
      <c r="D70" s="28" t="s">
        <v>257</v>
      </c>
      <c r="E70" s="94"/>
      <c r="F70" s="80">
        <v>375</v>
      </c>
      <c r="G70" s="80"/>
      <c r="H70" s="80"/>
      <c r="I70" s="80">
        <v>93</v>
      </c>
      <c r="J70" s="28"/>
      <c r="K70" s="28"/>
      <c r="L70" s="21"/>
    </row>
    <row r="71" spans="1:12" hidden="1" x14ac:dyDescent="0.25">
      <c r="A71" s="1779"/>
      <c r="B71" s="1393"/>
      <c r="C71" s="1403"/>
      <c r="D71" s="28" t="s">
        <v>263</v>
      </c>
      <c r="E71" s="94"/>
      <c r="F71" s="80">
        <v>90</v>
      </c>
      <c r="G71" s="80"/>
      <c r="H71" s="80"/>
      <c r="I71" s="80">
        <v>39</v>
      </c>
      <c r="J71" s="28"/>
      <c r="K71" s="28"/>
      <c r="L71" s="21"/>
    </row>
    <row r="72" spans="1:12" hidden="1" x14ac:dyDescent="0.25">
      <c r="A72" s="1779"/>
      <c r="B72" s="1393"/>
      <c r="C72" s="1403"/>
      <c r="D72" s="28" t="s">
        <v>357</v>
      </c>
      <c r="E72" s="94"/>
      <c r="F72" s="97">
        <f>F71/F69*100</f>
        <v>19.35483870967742</v>
      </c>
      <c r="G72" s="94"/>
      <c r="H72" s="94"/>
      <c r="I72" s="97">
        <f>I71/I69*100</f>
        <v>29.545454545454547</v>
      </c>
      <c r="J72" s="28"/>
      <c r="K72" s="28"/>
      <c r="L72" s="21"/>
    </row>
    <row r="73" spans="1:12" hidden="1" x14ac:dyDescent="0.25">
      <c r="A73" s="1779"/>
      <c r="B73" s="1393"/>
      <c r="C73" s="1403" t="s">
        <v>359</v>
      </c>
      <c r="D73" s="144" t="s">
        <v>251</v>
      </c>
      <c r="E73" s="94"/>
      <c r="F73" s="80">
        <v>960</v>
      </c>
      <c r="G73" s="80"/>
      <c r="H73" s="80"/>
      <c r="I73" s="80">
        <v>1020</v>
      </c>
      <c r="J73" s="28"/>
      <c r="K73" s="28"/>
      <c r="L73" s="21"/>
    </row>
    <row r="74" spans="1:12" hidden="1" x14ac:dyDescent="0.25">
      <c r="A74" s="1779"/>
      <c r="B74" s="1393"/>
      <c r="C74" s="1403"/>
      <c r="D74" s="28" t="s">
        <v>257</v>
      </c>
      <c r="E74" s="94"/>
      <c r="F74" s="80">
        <v>600</v>
      </c>
      <c r="G74" s="80"/>
      <c r="H74" s="80"/>
      <c r="I74" s="80">
        <v>615</v>
      </c>
      <c r="J74" s="28"/>
      <c r="K74" s="28"/>
      <c r="L74" s="21"/>
    </row>
    <row r="75" spans="1:12" hidden="1" x14ac:dyDescent="0.25">
      <c r="A75" s="1779"/>
      <c r="B75" s="1393"/>
      <c r="C75" s="1403"/>
      <c r="D75" s="28" t="s">
        <v>263</v>
      </c>
      <c r="E75" s="94"/>
      <c r="F75" s="80">
        <v>360</v>
      </c>
      <c r="G75" s="80"/>
      <c r="H75" s="80"/>
      <c r="I75" s="80">
        <v>405</v>
      </c>
      <c r="J75" s="28"/>
      <c r="K75" s="28"/>
      <c r="L75" s="21"/>
    </row>
    <row r="76" spans="1:12" hidden="1" x14ac:dyDescent="0.25">
      <c r="A76" s="1779"/>
      <c r="B76" s="1393"/>
      <c r="C76" s="1403"/>
      <c r="D76" s="28" t="s">
        <v>357</v>
      </c>
      <c r="E76" s="94"/>
      <c r="F76" s="97">
        <f>F75/F73*100</f>
        <v>37.5</v>
      </c>
      <c r="G76" s="94"/>
      <c r="H76" s="94"/>
      <c r="I76" s="97">
        <f>I75/I73*100</f>
        <v>39.705882352941174</v>
      </c>
      <c r="J76" s="28"/>
      <c r="K76" s="28"/>
      <c r="L76" s="21"/>
    </row>
    <row r="77" spans="1:12" hidden="1" x14ac:dyDescent="0.25">
      <c r="A77" s="1779"/>
      <c r="B77" s="1393"/>
      <c r="C77" s="1403" t="s">
        <v>360</v>
      </c>
      <c r="D77" s="144" t="s">
        <v>251</v>
      </c>
      <c r="E77" s="94"/>
      <c r="F77" s="80">
        <v>1060</v>
      </c>
      <c r="G77" s="80"/>
      <c r="H77" s="80"/>
      <c r="I77" s="80">
        <v>459</v>
      </c>
      <c r="J77" s="28"/>
      <c r="K77" s="28"/>
      <c r="L77" s="21"/>
    </row>
    <row r="78" spans="1:12" hidden="1" x14ac:dyDescent="0.25">
      <c r="A78" s="1779"/>
      <c r="B78" s="1393"/>
      <c r="C78" s="1403"/>
      <c r="D78" s="28" t="s">
        <v>257</v>
      </c>
      <c r="E78" s="94"/>
      <c r="F78" s="80">
        <v>745</v>
      </c>
      <c r="G78" s="80"/>
      <c r="H78" s="80"/>
      <c r="I78" s="80">
        <v>333</v>
      </c>
      <c r="J78" s="28"/>
      <c r="K78" s="28"/>
      <c r="L78" s="21"/>
    </row>
    <row r="79" spans="1:12" hidden="1" x14ac:dyDescent="0.25">
      <c r="A79" s="1779"/>
      <c r="B79" s="1393"/>
      <c r="C79" s="1403"/>
      <c r="D79" s="28" t="s">
        <v>263</v>
      </c>
      <c r="E79" s="94"/>
      <c r="F79" s="80">
        <v>315</v>
      </c>
      <c r="G79" s="80"/>
      <c r="H79" s="80"/>
      <c r="I79" s="80">
        <v>126</v>
      </c>
      <c r="J79" s="28"/>
      <c r="K79" s="28"/>
      <c r="L79" s="21"/>
    </row>
    <row r="80" spans="1:12" hidden="1" x14ac:dyDescent="0.25">
      <c r="A80" s="1779"/>
      <c r="B80" s="1393"/>
      <c r="C80" s="1403"/>
      <c r="D80" s="28" t="s">
        <v>357</v>
      </c>
      <c r="E80" s="94"/>
      <c r="F80" s="97">
        <f>F79/F77*100</f>
        <v>29.716981132075471</v>
      </c>
      <c r="G80" s="94"/>
      <c r="H80" s="94"/>
      <c r="I80" s="97">
        <f>I79/I77*100</f>
        <v>27.450980392156865</v>
      </c>
      <c r="J80" s="28"/>
      <c r="K80" s="28"/>
      <c r="L80" s="21"/>
    </row>
    <row r="81" spans="1:12" hidden="1" x14ac:dyDescent="0.25">
      <c r="A81" s="1779"/>
      <c r="B81" s="1393"/>
      <c r="C81" s="1403" t="s">
        <v>361</v>
      </c>
      <c r="D81" s="144" t="s">
        <v>251</v>
      </c>
      <c r="E81" s="94"/>
      <c r="F81" s="80">
        <v>405</v>
      </c>
      <c r="G81" s="80"/>
      <c r="H81" s="80"/>
      <c r="I81" s="80">
        <v>399</v>
      </c>
      <c r="J81" s="28"/>
      <c r="K81" s="28"/>
      <c r="L81" s="21"/>
    </row>
    <row r="82" spans="1:12" hidden="1" x14ac:dyDescent="0.25">
      <c r="A82" s="1779"/>
      <c r="B82" s="1393"/>
      <c r="C82" s="1403"/>
      <c r="D82" s="28" t="s">
        <v>257</v>
      </c>
      <c r="E82" s="94"/>
      <c r="F82" s="80">
        <v>300</v>
      </c>
      <c r="G82" s="80"/>
      <c r="H82" s="80"/>
      <c r="I82" s="80">
        <v>273</v>
      </c>
      <c r="J82" s="28"/>
      <c r="K82" s="28"/>
      <c r="L82" s="21"/>
    </row>
    <row r="83" spans="1:12" hidden="1" x14ac:dyDescent="0.25">
      <c r="A83" s="1779"/>
      <c r="B83" s="1393"/>
      <c r="C83" s="1403"/>
      <c r="D83" s="28" t="s">
        <v>263</v>
      </c>
      <c r="E83" s="94"/>
      <c r="F83" s="80">
        <v>110</v>
      </c>
      <c r="G83" s="80"/>
      <c r="H83" s="80"/>
      <c r="I83" s="80">
        <v>129</v>
      </c>
      <c r="J83" s="28"/>
      <c r="K83" s="28"/>
      <c r="L83" s="21"/>
    </row>
    <row r="84" spans="1:12" hidden="1" x14ac:dyDescent="0.25">
      <c r="A84" s="1779"/>
      <c r="B84" s="1393"/>
      <c r="C84" s="1403"/>
      <c r="D84" s="28" t="s">
        <v>357</v>
      </c>
      <c r="E84" s="94"/>
      <c r="F84" s="97">
        <f>(F83/F81)*100</f>
        <v>27.160493827160494</v>
      </c>
      <c r="G84" s="94"/>
      <c r="H84" s="94"/>
      <c r="I84" s="97">
        <f>I83/I81*100</f>
        <v>32.330827067669169</v>
      </c>
      <c r="J84" s="28"/>
      <c r="K84" s="28"/>
      <c r="L84" s="21"/>
    </row>
    <row r="85" spans="1:12" hidden="1" x14ac:dyDescent="0.25">
      <c r="A85" s="1779"/>
      <c r="B85" s="1393"/>
      <c r="C85" s="1403" t="s">
        <v>362</v>
      </c>
      <c r="D85" s="144" t="s">
        <v>251</v>
      </c>
      <c r="E85" s="94"/>
      <c r="F85" s="80">
        <v>270</v>
      </c>
      <c r="G85" s="80"/>
      <c r="H85" s="80"/>
      <c r="I85" s="80">
        <v>360</v>
      </c>
      <c r="J85" s="28"/>
      <c r="K85" s="28"/>
      <c r="L85" s="21"/>
    </row>
    <row r="86" spans="1:12" ht="15" hidden="1" customHeight="1" x14ac:dyDescent="0.25">
      <c r="A86" s="1779"/>
      <c r="B86" s="1393"/>
      <c r="C86" s="1403"/>
      <c r="D86" s="28" t="s">
        <v>257</v>
      </c>
      <c r="E86" s="94"/>
      <c r="F86" s="80">
        <v>250</v>
      </c>
      <c r="G86" s="80"/>
      <c r="H86" s="80"/>
      <c r="I86" s="80">
        <v>228</v>
      </c>
      <c r="J86" s="28"/>
      <c r="K86" s="28"/>
      <c r="L86" s="21"/>
    </row>
    <row r="87" spans="1:12" hidden="1" x14ac:dyDescent="0.25">
      <c r="A87" s="1779"/>
      <c r="B87" s="1393"/>
      <c r="C87" s="1403"/>
      <c r="D87" s="28" t="s">
        <v>263</v>
      </c>
      <c r="E87" s="94"/>
      <c r="F87" s="80">
        <v>20</v>
      </c>
      <c r="G87" s="80"/>
      <c r="H87" s="80"/>
      <c r="I87" s="80">
        <v>129</v>
      </c>
      <c r="J87" s="28"/>
      <c r="K87" s="28"/>
      <c r="L87" s="21"/>
    </row>
    <row r="88" spans="1:12" hidden="1" x14ac:dyDescent="0.25">
      <c r="A88" s="1779"/>
      <c r="B88" s="1393"/>
      <c r="C88" s="1403"/>
      <c r="D88" s="28" t="s">
        <v>357</v>
      </c>
      <c r="E88" s="94"/>
      <c r="F88" s="97">
        <f>(F87/F85)*100</f>
        <v>7.4074074074074066</v>
      </c>
      <c r="G88" s="94"/>
      <c r="H88" s="94"/>
      <c r="I88" s="97">
        <f>I87/I85*100</f>
        <v>35.833333333333336</v>
      </c>
      <c r="J88" s="28"/>
      <c r="K88" s="28"/>
      <c r="L88" s="21"/>
    </row>
    <row r="89" spans="1:12" hidden="1" x14ac:dyDescent="0.25">
      <c r="A89" s="1779"/>
      <c r="B89" s="1393"/>
      <c r="C89" s="1403" t="s">
        <v>363</v>
      </c>
      <c r="D89" s="144" t="s">
        <v>251</v>
      </c>
      <c r="E89" s="94"/>
      <c r="F89" s="80">
        <v>3275</v>
      </c>
      <c r="G89" s="80"/>
      <c r="H89" s="80"/>
      <c r="I89" s="80">
        <v>3117</v>
      </c>
      <c r="J89" s="28"/>
      <c r="K89" s="28"/>
      <c r="L89" s="21"/>
    </row>
    <row r="90" spans="1:12" hidden="1" x14ac:dyDescent="0.25">
      <c r="A90" s="1779"/>
      <c r="B90" s="1393"/>
      <c r="C90" s="1403"/>
      <c r="D90" s="28" t="s">
        <v>257</v>
      </c>
      <c r="E90" s="94"/>
      <c r="F90" s="80">
        <v>855</v>
      </c>
      <c r="G90" s="80"/>
      <c r="H90" s="80"/>
      <c r="I90" s="80">
        <v>675</v>
      </c>
      <c r="J90" s="28"/>
      <c r="K90" s="28"/>
      <c r="L90" s="21"/>
    </row>
    <row r="91" spans="1:12" hidden="1" x14ac:dyDescent="0.25">
      <c r="A91" s="1779"/>
      <c r="B91" s="1393"/>
      <c r="C91" s="1403"/>
      <c r="D91" s="28" t="s">
        <v>263</v>
      </c>
      <c r="E91" s="94"/>
      <c r="F91" s="80">
        <v>2425</v>
      </c>
      <c r="G91" s="80"/>
      <c r="H91" s="80"/>
      <c r="I91" s="80">
        <v>2442</v>
      </c>
      <c r="J91" s="28"/>
      <c r="K91" s="28"/>
      <c r="L91" s="21"/>
    </row>
    <row r="92" spans="1:12" hidden="1" x14ac:dyDescent="0.25">
      <c r="A92" s="1779"/>
      <c r="B92" s="1393"/>
      <c r="C92" s="1403"/>
      <c r="D92" s="28" t="s">
        <v>357</v>
      </c>
      <c r="E92" s="94"/>
      <c r="F92" s="99">
        <f>(F91/F89)*100</f>
        <v>74.045801526717554</v>
      </c>
      <c r="G92" s="94"/>
      <c r="H92" s="94"/>
      <c r="I92" s="99">
        <f>I91/I89*100</f>
        <v>78.344562078922038</v>
      </c>
      <c r="J92" s="28"/>
      <c r="K92" s="28"/>
      <c r="L92" s="21"/>
    </row>
    <row r="93" spans="1:12" hidden="1" x14ac:dyDescent="0.25">
      <c r="A93" s="1779"/>
      <c r="B93" s="1393"/>
      <c r="C93" s="1403" t="s">
        <v>364</v>
      </c>
      <c r="D93" s="144" t="s">
        <v>251</v>
      </c>
      <c r="E93" s="94"/>
      <c r="F93" s="80">
        <v>3830</v>
      </c>
      <c r="G93" s="80"/>
      <c r="H93" s="80"/>
      <c r="I93" s="80">
        <v>4122</v>
      </c>
      <c r="J93" s="28"/>
      <c r="K93" s="28"/>
      <c r="L93" s="21"/>
    </row>
    <row r="94" spans="1:12" ht="14.85" hidden="1" customHeight="1" x14ac:dyDescent="0.25">
      <c r="A94" s="1779"/>
      <c r="B94" s="1393"/>
      <c r="C94" s="1403"/>
      <c r="D94" s="28" t="s">
        <v>257</v>
      </c>
      <c r="E94" s="94"/>
      <c r="F94" s="80">
        <v>1285</v>
      </c>
      <c r="G94" s="80"/>
      <c r="H94" s="80"/>
      <c r="I94" s="80">
        <v>1260</v>
      </c>
      <c r="J94" s="28"/>
      <c r="K94" s="28"/>
      <c r="L94" s="21"/>
    </row>
    <row r="95" spans="1:12" hidden="1" x14ac:dyDescent="0.25">
      <c r="A95" s="1779"/>
      <c r="B95" s="1393"/>
      <c r="C95" s="1403"/>
      <c r="D95" s="28" t="s">
        <v>263</v>
      </c>
      <c r="E95" s="94"/>
      <c r="F95" s="80">
        <v>2540</v>
      </c>
      <c r="G95" s="80"/>
      <c r="H95" s="80"/>
      <c r="I95" s="80">
        <v>2865</v>
      </c>
      <c r="J95" s="28"/>
      <c r="K95" s="28"/>
      <c r="L95" s="21"/>
    </row>
    <row r="96" spans="1:12" hidden="1" x14ac:dyDescent="0.25">
      <c r="A96" s="1779"/>
      <c r="B96" s="1393"/>
      <c r="C96" s="1403"/>
      <c r="D96" s="28" t="s">
        <v>357</v>
      </c>
      <c r="E96" s="94"/>
      <c r="F96" s="99">
        <f>(F95/F93)*100</f>
        <v>66.318537859007833</v>
      </c>
      <c r="G96" s="94"/>
      <c r="H96" s="94"/>
      <c r="I96" s="99">
        <f>I95/I93*100</f>
        <v>69.50509461426492</v>
      </c>
      <c r="J96" s="28"/>
      <c r="K96" s="28"/>
      <c r="L96" s="21"/>
    </row>
    <row r="97" spans="1:12" hidden="1" x14ac:dyDescent="0.25">
      <c r="A97" s="1779"/>
      <c r="B97" s="1393"/>
      <c r="C97" s="1403" t="s">
        <v>365</v>
      </c>
      <c r="D97" s="144" t="s">
        <v>251</v>
      </c>
      <c r="E97" s="94"/>
      <c r="F97" s="80">
        <v>550</v>
      </c>
      <c r="G97" s="80"/>
      <c r="H97" s="80"/>
      <c r="I97" s="80">
        <v>1116</v>
      </c>
      <c r="J97" s="28"/>
      <c r="K97" s="28"/>
      <c r="L97" s="21"/>
    </row>
    <row r="98" spans="1:12" hidden="1" x14ac:dyDescent="0.25">
      <c r="A98" s="1779"/>
      <c r="B98" s="1393"/>
      <c r="C98" s="1403"/>
      <c r="D98" s="28" t="s">
        <v>257</v>
      </c>
      <c r="E98" s="94"/>
      <c r="F98" s="80">
        <v>220</v>
      </c>
      <c r="G98" s="80"/>
      <c r="H98" s="80"/>
      <c r="I98" s="80">
        <v>420</v>
      </c>
      <c r="J98" s="28"/>
      <c r="K98" s="28"/>
      <c r="L98" s="21"/>
    </row>
    <row r="99" spans="1:12" hidden="1" x14ac:dyDescent="0.25">
      <c r="A99" s="1779"/>
      <c r="B99" s="1393"/>
      <c r="C99" s="1403"/>
      <c r="D99" s="28" t="s">
        <v>263</v>
      </c>
      <c r="E99" s="94"/>
      <c r="F99" s="80">
        <v>330</v>
      </c>
      <c r="G99" s="80"/>
      <c r="H99" s="80"/>
      <c r="I99" s="80">
        <v>693</v>
      </c>
      <c r="J99" s="28"/>
      <c r="K99" s="28"/>
      <c r="L99" s="21"/>
    </row>
    <row r="100" spans="1:12" hidden="1" x14ac:dyDescent="0.25">
      <c r="A100" s="1779"/>
      <c r="B100" s="1393"/>
      <c r="C100" s="1403"/>
      <c r="D100" s="28" t="s">
        <v>357</v>
      </c>
      <c r="E100" s="94"/>
      <c r="F100" s="99">
        <f>F99/F97*100</f>
        <v>60</v>
      </c>
      <c r="G100" s="94"/>
      <c r="H100" s="94"/>
      <c r="I100" s="99">
        <f>I99/I97*100</f>
        <v>62.096774193548384</v>
      </c>
      <c r="J100" s="28"/>
      <c r="K100" s="28"/>
      <c r="L100" s="21"/>
    </row>
    <row r="101" spans="1:12" hidden="1" x14ac:dyDescent="0.25">
      <c r="A101" s="1779"/>
      <c r="B101" s="1393"/>
      <c r="C101" s="1403" t="s">
        <v>366</v>
      </c>
      <c r="D101" s="144" t="s">
        <v>251</v>
      </c>
      <c r="E101" s="94"/>
      <c r="F101" s="80">
        <v>3230</v>
      </c>
      <c r="G101" s="80"/>
      <c r="H101" s="80"/>
      <c r="I101" s="80">
        <v>2238</v>
      </c>
      <c r="J101" s="28"/>
      <c r="K101" s="28"/>
      <c r="L101" s="21"/>
    </row>
    <row r="102" spans="1:12" hidden="1" x14ac:dyDescent="0.25">
      <c r="A102" s="1779"/>
      <c r="B102" s="1393"/>
      <c r="C102" s="1403"/>
      <c r="D102" s="28" t="s">
        <v>257</v>
      </c>
      <c r="E102" s="94"/>
      <c r="F102" s="80">
        <v>2120</v>
      </c>
      <c r="G102" s="80"/>
      <c r="H102" s="80"/>
      <c r="I102" s="80">
        <v>1521</v>
      </c>
      <c r="J102" s="28"/>
      <c r="K102" s="28"/>
      <c r="L102" s="21"/>
    </row>
    <row r="103" spans="1:12" hidden="1" x14ac:dyDescent="0.25">
      <c r="A103" s="1779"/>
      <c r="B103" s="1393"/>
      <c r="C103" s="1403"/>
      <c r="D103" s="28" t="s">
        <v>263</v>
      </c>
      <c r="E103" s="94"/>
      <c r="F103" s="80">
        <v>1110</v>
      </c>
      <c r="G103" s="80"/>
      <c r="H103" s="80"/>
      <c r="I103" s="80">
        <v>717</v>
      </c>
      <c r="J103" s="28"/>
      <c r="K103" s="28"/>
      <c r="L103" s="21"/>
    </row>
    <row r="104" spans="1:12" hidden="1" x14ac:dyDescent="0.25">
      <c r="A104" s="1779"/>
      <c r="B104" s="1393"/>
      <c r="C104" s="1403"/>
      <c r="D104" s="28" t="s">
        <v>357</v>
      </c>
      <c r="E104" s="94"/>
      <c r="F104" s="97">
        <f>(F103/F101)*100</f>
        <v>34.365325077399383</v>
      </c>
      <c r="G104" s="94"/>
      <c r="H104" s="94"/>
      <c r="I104" s="97">
        <f>I103/I101*100</f>
        <v>32.037533512064343</v>
      </c>
      <c r="J104" s="28"/>
      <c r="K104" s="28"/>
      <c r="L104" s="21"/>
    </row>
    <row r="105" spans="1:12" hidden="1" x14ac:dyDescent="0.25">
      <c r="A105" s="1779"/>
      <c r="B105" s="1393"/>
      <c r="C105" s="1403" t="s">
        <v>367</v>
      </c>
      <c r="D105" s="144" t="s">
        <v>251</v>
      </c>
      <c r="E105" s="94"/>
      <c r="F105" s="80">
        <v>425</v>
      </c>
      <c r="G105" s="80"/>
      <c r="H105" s="80"/>
      <c r="I105" s="80">
        <v>603</v>
      </c>
      <c r="J105" s="96"/>
      <c r="K105" s="28"/>
      <c r="L105" s="21"/>
    </row>
    <row r="106" spans="1:12" hidden="1" x14ac:dyDescent="0.25">
      <c r="A106" s="1779"/>
      <c r="B106" s="1393"/>
      <c r="C106" s="1403"/>
      <c r="D106" s="28" t="s">
        <v>257</v>
      </c>
      <c r="E106" s="94"/>
      <c r="F106" s="80">
        <v>255</v>
      </c>
      <c r="G106" s="80"/>
      <c r="H106" s="80"/>
      <c r="I106" s="80">
        <v>264</v>
      </c>
      <c r="J106" s="96"/>
      <c r="K106" s="28"/>
      <c r="L106" s="21"/>
    </row>
    <row r="107" spans="1:12" hidden="1" x14ac:dyDescent="0.25">
      <c r="A107" s="1779"/>
      <c r="B107" s="1393"/>
      <c r="C107" s="1403"/>
      <c r="D107" s="28" t="s">
        <v>263</v>
      </c>
      <c r="E107" s="94"/>
      <c r="F107" s="80">
        <v>165</v>
      </c>
      <c r="G107" s="80"/>
      <c r="H107" s="80"/>
      <c r="I107" s="80">
        <v>339</v>
      </c>
      <c r="J107" s="96"/>
      <c r="K107" s="28"/>
      <c r="L107" s="21"/>
    </row>
    <row r="108" spans="1:12" hidden="1" x14ac:dyDescent="0.25">
      <c r="A108" s="1779"/>
      <c r="B108" s="1393"/>
      <c r="C108" s="1403"/>
      <c r="D108" s="28" t="s">
        <v>357</v>
      </c>
      <c r="E108" s="94"/>
      <c r="F108" s="97">
        <f>(F107/F105)*100</f>
        <v>38.82352941176471</v>
      </c>
      <c r="G108" s="94"/>
      <c r="H108" s="94"/>
      <c r="I108" s="98">
        <f>I107/I105*100</f>
        <v>56.218905472636813</v>
      </c>
      <c r="J108" s="96"/>
      <c r="K108" s="28"/>
      <c r="L108" s="21"/>
    </row>
    <row r="109" spans="1:12" hidden="1" x14ac:dyDescent="0.25">
      <c r="A109" s="1779"/>
      <c r="B109" s="1393"/>
      <c r="C109" s="1403" t="s">
        <v>368</v>
      </c>
      <c r="D109" s="144" t="s">
        <v>251</v>
      </c>
      <c r="E109" s="94"/>
      <c r="F109" s="80">
        <v>2035</v>
      </c>
      <c r="G109" s="80"/>
      <c r="H109" s="80"/>
      <c r="I109" s="80">
        <v>2895</v>
      </c>
      <c r="J109" s="96"/>
      <c r="K109" s="28"/>
      <c r="L109" s="21"/>
    </row>
    <row r="110" spans="1:12" hidden="1" x14ac:dyDescent="0.25">
      <c r="A110" s="1779"/>
      <c r="B110" s="1393"/>
      <c r="C110" s="1403"/>
      <c r="D110" s="28" t="s">
        <v>257</v>
      </c>
      <c r="E110" s="94"/>
      <c r="F110" s="80">
        <v>910</v>
      </c>
      <c r="G110" s="80"/>
      <c r="H110" s="80"/>
      <c r="I110" s="80">
        <v>1365</v>
      </c>
      <c r="J110" s="96"/>
      <c r="K110" s="28"/>
      <c r="L110" s="21"/>
    </row>
    <row r="111" spans="1:12" hidden="1" x14ac:dyDescent="0.25">
      <c r="A111" s="1779"/>
      <c r="B111" s="1393"/>
      <c r="C111" s="1403"/>
      <c r="D111" s="28" t="s">
        <v>263</v>
      </c>
      <c r="E111" s="94"/>
      <c r="F111" s="80">
        <v>1125</v>
      </c>
      <c r="G111" s="80"/>
      <c r="H111" s="80"/>
      <c r="I111" s="80">
        <v>1527</v>
      </c>
      <c r="J111" s="96"/>
      <c r="K111" s="28"/>
      <c r="L111" s="21"/>
    </row>
    <row r="112" spans="1:12" hidden="1" x14ac:dyDescent="0.25">
      <c r="A112" s="1779"/>
      <c r="B112" s="1393"/>
      <c r="C112" s="1403"/>
      <c r="D112" s="28" t="s">
        <v>357</v>
      </c>
      <c r="E112" s="94"/>
      <c r="F112" s="98">
        <f>(F111/F109)*100</f>
        <v>55.282555282555279</v>
      </c>
      <c r="G112" s="94"/>
      <c r="H112" s="94"/>
      <c r="I112" s="98">
        <f>I111/I109*100</f>
        <v>52.746113989637308</v>
      </c>
      <c r="J112" s="96"/>
      <c r="K112" s="28"/>
      <c r="L112" s="21"/>
    </row>
    <row r="113" spans="1:12" hidden="1" x14ac:dyDescent="0.25">
      <c r="A113" s="1779"/>
      <c r="B113" s="1393"/>
      <c r="C113" s="1403" t="s">
        <v>369</v>
      </c>
      <c r="D113" s="144" t="s">
        <v>251</v>
      </c>
      <c r="E113" s="94"/>
      <c r="F113" s="80">
        <v>1260</v>
      </c>
      <c r="G113" s="80"/>
      <c r="H113" s="80"/>
      <c r="I113" s="80">
        <v>1959</v>
      </c>
      <c r="J113" s="96"/>
      <c r="K113" s="28"/>
      <c r="L113" s="21"/>
    </row>
    <row r="114" spans="1:12" hidden="1" x14ac:dyDescent="0.25">
      <c r="A114" s="1779"/>
      <c r="B114" s="1393"/>
      <c r="C114" s="1403"/>
      <c r="D114" s="28" t="s">
        <v>257</v>
      </c>
      <c r="E114" s="94"/>
      <c r="F114" s="80">
        <v>1015</v>
      </c>
      <c r="G114" s="80"/>
      <c r="H114" s="80"/>
      <c r="I114" s="80">
        <v>1443</v>
      </c>
      <c r="J114" s="96"/>
      <c r="K114" s="28"/>
      <c r="L114" s="21"/>
    </row>
    <row r="115" spans="1:12" hidden="1" x14ac:dyDescent="0.25">
      <c r="A115" s="1779"/>
      <c r="B115" s="1393"/>
      <c r="C115" s="1403"/>
      <c r="D115" s="28" t="s">
        <v>263</v>
      </c>
      <c r="E115" s="94"/>
      <c r="F115" s="80">
        <v>245</v>
      </c>
      <c r="G115" s="80"/>
      <c r="H115" s="80"/>
      <c r="I115" s="80">
        <v>516</v>
      </c>
      <c r="J115" s="96"/>
      <c r="K115" s="28"/>
      <c r="L115" s="21"/>
    </row>
    <row r="116" spans="1:12" hidden="1" x14ac:dyDescent="0.25">
      <c r="A116" s="1779"/>
      <c r="B116" s="1393"/>
      <c r="C116" s="1403"/>
      <c r="D116" s="28" t="s">
        <v>357</v>
      </c>
      <c r="E116" s="94"/>
      <c r="F116" s="97">
        <f>(F115/F113)*100</f>
        <v>19.444444444444446</v>
      </c>
      <c r="G116" s="94"/>
      <c r="H116" s="94"/>
      <c r="I116" s="97">
        <f>I115/I113*100</f>
        <v>26.339969372128635</v>
      </c>
      <c r="J116" s="96"/>
      <c r="K116" s="28"/>
      <c r="L116" s="21"/>
    </row>
    <row r="117" spans="1:12" hidden="1" x14ac:dyDescent="0.25">
      <c r="A117" s="1779"/>
      <c r="B117" s="1393"/>
      <c r="C117" s="1403" t="s">
        <v>370</v>
      </c>
      <c r="D117" s="144" t="s">
        <v>251</v>
      </c>
      <c r="E117" s="94"/>
      <c r="F117" s="80">
        <v>1305</v>
      </c>
      <c r="G117" s="80"/>
      <c r="H117" s="80"/>
      <c r="I117" s="80">
        <v>1032</v>
      </c>
      <c r="J117" s="96"/>
      <c r="K117" s="28"/>
      <c r="L117" s="21"/>
    </row>
    <row r="118" spans="1:12" hidden="1" x14ac:dyDescent="0.25">
      <c r="A118" s="1779"/>
      <c r="B118" s="1393"/>
      <c r="C118" s="1403"/>
      <c r="D118" s="28" t="s">
        <v>257</v>
      </c>
      <c r="E118" s="94"/>
      <c r="F118" s="80">
        <v>555</v>
      </c>
      <c r="G118" s="80"/>
      <c r="H118" s="80"/>
      <c r="I118" s="80">
        <v>276</v>
      </c>
      <c r="J118" s="96"/>
      <c r="K118" s="28"/>
      <c r="L118" s="21"/>
    </row>
    <row r="119" spans="1:12" hidden="1" x14ac:dyDescent="0.25">
      <c r="A119" s="1779"/>
      <c r="B119" s="1393"/>
      <c r="C119" s="1403"/>
      <c r="D119" s="28" t="s">
        <v>263</v>
      </c>
      <c r="E119" s="94"/>
      <c r="F119" s="80">
        <v>750</v>
      </c>
      <c r="G119" s="80"/>
      <c r="H119" s="80"/>
      <c r="I119" s="80">
        <v>759</v>
      </c>
      <c r="J119" s="96"/>
      <c r="K119" s="28"/>
      <c r="L119" s="21"/>
    </row>
    <row r="120" spans="1:12" hidden="1" x14ac:dyDescent="0.25">
      <c r="A120" s="1779"/>
      <c r="B120" s="1393"/>
      <c r="C120" s="1403"/>
      <c r="D120" s="28" t="s">
        <v>357</v>
      </c>
      <c r="E120" s="94"/>
      <c r="F120" s="98">
        <f>(F119/F117)*100</f>
        <v>57.47126436781609</v>
      </c>
      <c r="G120" s="94"/>
      <c r="H120" s="94"/>
      <c r="I120" s="99">
        <f>I119/I117*100</f>
        <v>73.54651162790698</v>
      </c>
      <c r="J120" s="96"/>
      <c r="K120" s="28"/>
      <c r="L120" s="21"/>
    </row>
    <row r="121" spans="1:12" hidden="1" x14ac:dyDescent="0.25">
      <c r="A121" s="1779"/>
      <c r="B121" s="1393"/>
      <c r="C121" s="1403" t="s">
        <v>371</v>
      </c>
      <c r="D121" s="144" t="s">
        <v>251</v>
      </c>
      <c r="E121" s="94"/>
      <c r="F121" s="80">
        <v>120</v>
      </c>
      <c r="G121" s="80"/>
      <c r="H121" s="80"/>
      <c r="I121" s="80">
        <v>1353</v>
      </c>
      <c r="J121" s="96"/>
      <c r="K121" s="28"/>
      <c r="L121" s="21"/>
    </row>
    <row r="122" spans="1:12" hidden="1" x14ac:dyDescent="0.25">
      <c r="A122" s="1779"/>
      <c r="B122" s="1393"/>
      <c r="C122" s="1403"/>
      <c r="D122" s="28" t="s">
        <v>257</v>
      </c>
      <c r="E122" s="94"/>
      <c r="F122" s="80">
        <v>70</v>
      </c>
      <c r="G122" s="80"/>
      <c r="H122" s="80"/>
      <c r="I122" s="80">
        <v>666</v>
      </c>
      <c r="J122" s="96"/>
      <c r="K122" s="28"/>
      <c r="L122" s="21"/>
    </row>
    <row r="123" spans="1:12" hidden="1" x14ac:dyDescent="0.25">
      <c r="A123" s="1779"/>
      <c r="B123" s="1393"/>
      <c r="C123" s="1403"/>
      <c r="D123" s="28" t="s">
        <v>263</v>
      </c>
      <c r="E123" s="94"/>
      <c r="F123" s="80">
        <v>50</v>
      </c>
      <c r="G123" s="80"/>
      <c r="H123" s="80"/>
      <c r="I123" s="80">
        <v>684</v>
      </c>
      <c r="J123" s="96"/>
      <c r="K123" s="28"/>
      <c r="L123" s="21"/>
    </row>
    <row r="124" spans="1:12" hidden="1" x14ac:dyDescent="0.25">
      <c r="A124" s="1779"/>
      <c r="B124" s="1393"/>
      <c r="C124" s="1403"/>
      <c r="D124" s="28" t="s">
        <v>357</v>
      </c>
      <c r="E124" s="94"/>
      <c r="F124" s="98">
        <f>(F123/F121)*100</f>
        <v>41.666666666666671</v>
      </c>
      <c r="G124" s="94"/>
      <c r="H124" s="94"/>
      <c r="I124" s="98">
        <f>I123/I121*100</f>
        <v>50.554323725055426</v>
      </c>
      <c r="J124" s="96"/>
      <c r="K124" s="28"/>
      <c r="L124" s="21"/>
    </row>
    <row r="125" spans="1:12" hidden="1" x14ac:dyDescent="0.25">
      <c r="A125" s="1779"/>
      <c r="B125" s="1393"/>
      <c r="C125" s="1403" t="s">
        <v>372</v>
      </c>
      <c r="D125" s="144" t="s">
        <v>251</v>
      </c>
      <c r="E125" s="94"/>
      <c r="F125" s="80">
        <v>2365</v>
      </c>
      <c r="G125" s="80"/>
      <c r="H125" s="80"/>
      <c r="I125" s="80">
        <v>1521</v>
      </c>
      <c r="J125" s="96"/>
      <c r="K125" s="28"/>
      <c r="L125" s="21"/>
    </row>
    <row r="126" spans="1:12" ht="14.85" hidden="1" customHeight="1" x14ac:dyDescent="0.25">
      <c r="A126" s="1779"/>
      <c r="B126" s="1393"/>
      <c r="C126" s="1403"/>
      <c r="D126" s="28" t="s">
        <v>257</v>
      </c>
      <c r="E126" s="94"/>
      <c r="F126" s="80">
        <v>1805</v>
      </c>
      <c r="G126" s="80"/>
      <c r="H126" s="80"/>
      <c r="I126" s="80">
        <v>1122</v>
      </c>
      <c r="J126" s="96"/>
      <c r="K126" s="28"/>
      <c r="L126" s="21"/>
    </row>
    <row r="127" spans="1:12" hidden="1" x14ac:dyDescent="0.25">
      <c r="A127" s="1779"/>
      <c r="B127" s="1393"/>
      <c r="C127" s="1403"/>
      <c r="D127" s="28" t="s">
        <v>263</v>
      </c>
      <c r="E127" s="94"/>
      <c r="F127" s="80">
        <v>560</v>
      </c>
      <c r="G127" s="80"/>
      <c r="H127" s="80"/>
      <c r="I127" s="80">
        <v>399</v>
      </c>
      <c r="J127" s="96"/>
      <c r="K127" s="28"/>
      <c r="L127" s="21"/>
    </row>
    <row r="128" spans="1:12" hidden="1" x14ac:dyDescent="0.25">
      <c r="A128" s="1779"/>
      <c r="B128" s="1393"/>
      <c r="C128" s="1403"/>
      <c r="D128" s="28" t="s">
        <v>357</v>
      </c>
      <c r="E128" s="94"/>
      <c r="F128" s="97">
        <f>(F127/F125)*100</f>
        <v>23.678646934460886</v>
      </c>
      <c r="G128" s="94"/>
      <c r="H128" s="94"/>
      <c r="I128" s="97">
        <f>I127/I125*100</f>
        <v>26.232741617357004</v>
      </c>
      <c r="J128" s="96"/>
      <c r="K128" s="28"/>
      <c r="L128" s="21"/>
    </row>
    <row r="129" spans="1:12" hidden="1" x14ac:dyDescent="0.25">
      <c r="A129" s="1779"/>
      <c r="B129" s="1393"/>
      <c r="C129" s="1403" t="s">
        <v>373</v>
      </c>
      <c r="D129" s="144" t="s">
        <v>251</v>
      </c>
      <c r="E129" s="94"/>
      <c r="F129" s="80">
        <v>915</v>
      </c>
      <c r="G129" s="80"/>
      <c r="H129" s="80"/>
      <c r="I129" s="80">
        <v>396</v>
      </c>
      <c r="J129" s="96"/>
      <c r="K129" s="28"/>
      <c r="L129" s="21"/>
    </row>
    <row r="130" spans="1:12" hidden="1" x14ac:dyDescent="0.25">
      <c r="A130" s="1779"/>
      <c r="B130" s="1393"/>
      <c r="C130" s="1403"/>
      <c r="D130" s="28" t="s">
        <v>257</v>
      </c>
      <c r="E130" s="94"/>
      <c r="F130" s="80">
        <v>810</v>
      </c>
      <c r="G130" s="80"/>
      <c r="H130" s="80"/>
      <c r="I130" s="80">
        <v>363</v>
      </c>
      <c r="J130" s="96"/>
      <c r="K130" s="28"/>
      <c r="L130" s="21"/>
    </row>
    <row r="131" spans="1:12" hidden="1" x14ac:dyDescent="0.25">
      <c r="A131" s="1779"/>
      <c r="B131" s="1393"/>
      <c r="C131" s="1403"/>
      <c r="D131" s="28" t="s">
        <v>263</v>
      </c>
      <c r="E131" s="94"/>
      <c r="F131" s="80">
        <v>105</v>
      </c>
      <c r="G131" s="80"/>
      <c r="H131" s="80"/>
      <c r="I131" s="80">
        <v>33</v>
      </c>
      <c r="J131" s="96"/>
      <c r="K131" s="28"/>
      <c r="L131" s="21"/>
    </row>
    <row r="132" spans="1:12" hidden="1" x14ac:dyDescent="0.25">
      <c r="A132" s="1779"/>
      <c r="B132" s="1393"/>
      <c r="C132" s="1403"/>
      <c r="D132" s="28" t="s">
        <v>357</v>
      </c>
      <c r="E132" s="94"/>
      <c r="F132" s="97">
        <f>(F131/F129)*100</f>
        <v>11.475409836065573</v>
      </c>
      <c r="G132" s="94"/>
      <c r="H132" s="94"/>
      <c r="I132" s="97">
        <f>I131/I129*100</f>
        <v>8.3333333333333321</v>
      </c>
      <c r="J132" s="96"/>
      <c r="K132" s="28"/>
      <c r="L132" s="21"/>
    </row>
    <row r="133" spans="1:12" hidden="1" x14ac:dyDescent="0.25">
      <c r="A133" s="1779"/>
      <c r="B133" s="1393"/>
      <c r="C133" s="1403" t="s">
        <v>374</v>
      </c>
      <c r="D133" s="144" t="s">
        <v>251</v>
      </c>
      <c r="E133" s="94"/>
      <c r="F133" s="80">
        <v>760</v>
      </c>
      <c r="G133" s="80"/>
      <c r="H133" s="80"/>
      <c r="I133" s="80">
        <v>753</v>
      </c>
      <c r="J133" s="96"/>
      <c r="K133" s="28"/>
      <c r="L133" s="21"/>
    </row>
    <row r="134" spans="1:12" hidden="1" x14ac:dyDescent="0.25">
      <c r="A134" s="1779"/>
      <c r="B134" s="1393"/>
      <c r="C134" s="1403"/>
      <c r="D134" s="28" t="s">
        <v>257</v>
      </c>
      <c r="E134" s="94"/>
      <c r="F134" s="80">
        <v>270</v>
      </c>
      <c r="G134" s="80"/>
      <c r="H134" s="80"/>
      <c r="I134" s="80">
        <v>255</v>
      </c>
      <c r="J134" s="96"/>
      <c r="K134" s="28"/>
      <c r="L134" s="21"/>
    </row>
    <row r="135" spans="1:12" hidden="1" x14ac:dyDescent="0.25">
      <c r="A135" s="1779"/>
      <c r="B135" s="1393"/>
      <c r="C135" s="1403"/>
      <c r="D135" s="28" t="s">
        <v>263</v>
      </c>
      <c r="E135" s="94"/>
      <c r="F135" s="80">
        <v>490</v>
      </c>
      <c r="G135" s="80"/>
      <c r="H135" s="80"/>
      <c r="I135" s="80">
        <v>498</v>
      </c>
      <c r="J135" s="96"/>
      <c r="K135" s="28"/>
      <c r="L135" s="21"/>
    </row>
    <row r="136" spans="1:12" hidden="1" x14ac:dyDescent="0.25">
      <c r="A136" s="1779"/>
      <c r="B136" s="1393"/>
      <c r="C136" s="1403"/>
      <c r="D136" s="28" t="s">
        <v>357</v>
      </c>
      <c r="E136" s="94"/>
      <c r="F136" s="99">
        <f>(F135/F133)*100</f>
        <v>64.473684210526315</v>
      </c>
      <c r="G136" s="94"/>
      <c r="H136" s="94"/>
      <c r="I136" s="99">
        <f>I135/I133*100</f>
        <v>66.135458167330668</v>
      </c>
      <c r="J136" s="96"/>
      <c r="K136" s="28"/>
      <c r="L136" s="21"/>
    </row>
    <row r="137" spans="1:12" hidden="1" x14ac:dyDescent="0.25">
      <c r="A137" s="1779"/>
      <c r="B137" s="1393"/>
      <c r="C137" s="1403" t="s">
        <v>375</v>
      </c>
      <c r="D137" s="144" t="s">
        <v>251</v>
      </c>
      <c r="E137" s="94"/>
      <c r="F137" s="80">
        <v>135</v>
      </c>
      <c r="G137" s="80"/>
      <c r="H137" s="80"/>
      <c r="I137" s="80">
        <v>186</v>
      </c>
      <c r="J137" s="96"/>
      <c r="K137" s="28"/>
      <c r="L137" s="21"/>
    </row>
    <row r="138" spans="1:12" ht="14.85" hidden="1" customHeight="1" x14ac:dyDescent="0.25">
      <c r="A138" s="1779"/>
      <c r="B138" s="1393"/>
      <c r="C138" s="1403"/>
      <c r="D138" s="28" t="s">
        <v>257</v>
      </c>
      <c r="E138" s="94"/>
      <c r="F138" s="80">
        <v>65</v>
      </c>
      <c r="G138" s="80"/>
      <c r="H138" s="80"/>
      <c r="I138" s="80">
        <v>81</v>
      </c>
      <c r="J138" s="96"/>
      <c r="K138" s="28"/>
      <c r="L138" s="21"/>
    </row>
    <row r="139" spans="1:12" hidden="1" x14ac:dyDescent="0.25">
      <c r="A139" s="1779"/>
      <c r="B139" s="1393"/>
      <c r="C139" s="1403"/>
      <c r="D139" s="28" t="s">
        <v>263</v>
      </c>
      <c r="E139" s="94"/>
      <c r="F139" s="80">
        <v>70</v>
      </c>
      <c r="G139" s="80"/>
      <c r="H139" s="80"/>
      <c r="I139" s="80">
        <v>105</v>
      </c>
      <c r="J139" s="96"/>
      <c r="K139" s="28"/>
      <c r="L139" s="21"/>
    </row>
    <row r="140" spans="1:12" hidden="1" x14ac:dyDescent="0.25">
      <c r="A140" s="1779"/>
      <c r="B140" s="1393"/>
      <c r="C140" s="1403"/>
      <c r="D140" s="28" t="s">
        <v>357</v>
      </c>
      <c r="E140" s="94"/>
      <c r="F140" s="98">
        <f>(F139/F137)*100</f>
        <v>51.851851851851848</v>
      </c>
      <c r="G140" s="94"/>
      <c r="H140" s="94"/>
      <c r="I140" s="98">
        <f>I139/I137*100</f>
        <v>56.451612903225815</v>
      </c>
      <c r="J140" s="96"/>
      <c r="K140" s="28"/>
      <c r="L140" s="21"/>
    </row>
    <row r="141" spans="1:12" hidden="1" x14ac:dyDescent="0.25">
      <c r="A141" s="1779"/>
      <c r="B141" s="1393"/>
      <c r="C141" s="1403" t="s">
        <v>376</v>
      </c>
      <c r="D141" s="144" t="s">
        <v>251</v>
      </c>
      <c r="E141" s="94"/>
      <c r="F141" s="80">
        <v>2135</v>
      </c>
      <c r="G141" s="80"/>
      <c r="H141" s="80"/>
      <c r="I141" s="80">
        <v>2547</v>
      </c>
      <c r="J141" s="96"/>
      <c r="K141" s="28"/>
      <c r="L141" s="21"/>
    </row>
    <row r="142" spans="1:12" ht="14.85" hidden="1" customHeight="1" x14ac:dyDescent="0.25">
      <c r="A142" s="1779"/>
      <c r="B142" s="1393"/>
      <c r="C142" s="1403"/>
      <c r="D142" s="28" t="s">
        <v>257</v>
      </c>
      <c r="E142" s="94"/>
      <c r="F142" s="80">
        <v>1500</v>
      </c>
      <c r="G142" s="80"/>
      <c r="H142" s="80"/>
      <c r="I142" s="80">
        <v>1536</v>
      </c>
      <c r="J142" s="96"/>
      <c r="K142" s="28"/>
      <c r="L142" s="21"/>
    </row>
    <row r="143" spans="1:12" hidden="1" x14ac:dyDescent="0.25">
      <c r="A143" s="1779"/>
      <c r="B143" s="1393"/>
      <c r="C143" s="1403"/>
      <c r="D143" s="28" t="s">
        <v>263</v>
      </c>
      <c r="E143" s="94"/>
      <c r="F143" s="80">
        <v>635</v>
      </c>
      <c r="G143" s="80"/>
      <c r="H143" s="80"/>
      <c r="I143" s="80">
        <v>1014</v>
      </c>
      <c r="J143" s="96"/>
      <c r="K143" s="28"/>
      <c r="L143" s="21"/>
    </row>
    <row r="144" spans="1:12" hidden="1" x14ac:dyDescent="0.25">
      <c r="A144" s="1779"/>
      <c r="B144" s="1393"/>
      <c r="C144" s="1403"/>
      <c r="D144" s="28" t="s">
        <v>357</v>
      </c>
      <c r="E144" s="94"/>
      <c r="F144" s="97">
        <f>(F143/F141)*100</f>
        <v>29.742388758782202</v>
      </c>
      <c r="G144" s="94"/>
      <c r="H144" s="94"/>
      <c r="I144" s="97">
        <f>I143/I141*100</f>
        <v>39.811542991755005</v>
      </c>
      <c r="J144" s="96"/>
      <c r="K144" s="28"/>
      <c r="L144" s="21"/>
    </row>
    <row r="145" spans="1:12" hidden="1" x14ac:dyDescent="0.25">
      <c r="A145" s="1779"/>
      <c r="B145" s="1393"/>
      <c r="C145" s="1403" t="s">
        <v>377</v>
      </c>
      <c r="D145" s="144" t="s">
        <v>251</v>
      </c>
      <c r="E145" s="94"/>
      <c r="F145" s="80">
        <v>2480</v>
      </c>
      <c r="G145" s="80"/>
      <c r="H145" s="80"/>
      <c r="I145" s="80">
        <v>2274</v>
      </c>
      <c r="J145" s="96"/>
      <c r="K145" s="28"/>
      <c r="L145" s="21"/>
    </row>
    <row r="146" spans="1:12" hidden="1" x14ac:dyDescent="0.25">
      <c r="A146" s="1779"/>
      <c r="B146" s="1393"/>
      <c r="C146" s="1403"/>
      <c r="D146" s="28" t="s">
        <v>257</v>
      </c>
      <c r="E146" s="94"/>
      <c r="F146" s="80">
        <v>660</v>
      </c>
      <c r="G146" s="80"/>
      <c r="H146" s="80"/>
      <c r="I146" s="80">
        <v>756</v>
      </c>
      <c r="J146" s="96"/>
      <c r="K146" s="28"/>
      <c r="L146" s="21"/>
    </row>
    <row r="147" spans="1:12" hidden="1" x14ac:dyDescent="0.25">
      <c r="A147" s="1779"/>
      <c r="B147" s="1393"/>
      <c r="C147" s="1403"/>
      <c r="D147" s="28" t="s">
        <v>263</v>
      </c>
      <c r="E147" s="94"/>
      <c r="F147" s="80">
        <v>1820</v>
      </c>
      <c r="G147" s="80"/>
      <c r="H147" s="80"/>
      <c r="I147" s="80">
        <v>1518</v>
      </c>
      <c r="J147" s="96"/>
      <c r="K147" s="28"/>
      <c r="L147" s="21"/>
    </row>
    <row r="148" spans="1:12" hidden="1" x14ac:dyDescent="0.25">
      <c r="A148" s="1779"/>
      <c r="B148" s="1393"/>
      <c r="C148" s="1403"/>
      <c r="D148" s="28" t="s">
        <v>357</v>
      </c>
      <c r="E148" s="94"/>
      <c r="F148" s="99">
        <f>(F147/F145)*100</f>
        <v>73.387096774193552</v>
      </c>
      <c r="G148" s="94"/>
      <c r="H148" s="94"/>
      <c r="I148" s="99">
        <f>I147/I145*100</f>
        <v>66.754617414248017</v>
      </c>
      <c r="J148" s="96"/>
      <c r="K148" s="28"/>
      <c r="L148" s="21"/>
    </row>
    <row r="149" spans="1:12" hidden="1" x14ac:dyDescent="0.25">
      <c r="A149" s="1779"/>
      <c r="B149" s="1393"/>
      <c r="C149" s="1403" t="s">
        <v>378</v>
      </c>
      <c r="D149" s="144" t="s">
        <v>251</v>
      </c>
      <c r="E149" s="94"/>
      <c r="F149" s="80">
        <v>1220</v>
      </c>
      <c r="G149" s="80"/>
      <c r="H149" s="80"/>
      <c r="I149" s="80">
        <v>1497</v>
      </c>
      <c r="J149" s="96"/>
      <c r="K149" s="28"/>
      <c r="L149" s="21"/>
    </row>
    <row r="150" spans="1:12" hidden="1" x14ac:dyDescent="0.25">
      <c r="A150" s="1779"/>
      <c r="B150" s="1393"/>
      <c r="C150" s="1403"/>
      <c r="D150" s="28" t="s">
        <v>257</v>
      </c>
      <c r="E150" s="94"/>
      <c r="F150" s="80">
        <v>520</v>
      </c>
      <c r="G150" s="80"/>
      <c r="H150" s="80"/>
      <c r="I150" s="80">
        <v>726</v>
      </c>
      <c r="J150" s="96"/>
      <c r="K150" s="28"/>
      <c r="L150" s="21"/>
    </row>
    <row r="151" spans="1:12" hidden="1" x14ac:dyDescent="0.25">
      <c r="A151" s="1779"/>
      <c r="B151" s="1393"/>
      <c r="C151" s="1403"/>
      <c r="D151" s="28" t="s">
        <v>263</v>
      </c>
      <c r="E151" s="94"/>
      <c r="F151" s="80">
        <v>695</v>
      </c>
      <c r="G151" s="80"/>
      <c r="H151" s="80"/>
      <c r="I151" s="80">
        <v>771</v>
      </c>
      <c r="J151" s="96"/>
      <c r="K151" s="28"/>
      <c r="L151" s="21"/>
    </row>
    <row r="152" spans="1:12" hidden="1" x14ac:dyDescent="0.25">
      <c r="A152" s="1779"/>
      <c r="B152" s="1393"/>
      <c r="C152" s="1403"/>
      <c r="D152" s="28" t="s">
        <v>357</v>
      </c>
      <c r="E152" s="94"/>
      <c r="F152" s="98">
        <f>(F151/F149)*100</f>
        <v>56.967213114754102</v>
      </c>
      <c r="G152" s="94"/>
      <c r="H152" s="94"/>
      <c r="I152" s="98">
        <f>I151/I149*100</f>
        <v>51.503006012024045</v>
      </c>
      <c r="J152" s="96"/>
      <c r="K152" s="28"/>
      <c r="L152" s="21"/>
    </row>
    <row r="153" spans="1:12" hidden="1" x14ac:dyDescent="0.25">
      <c r="A153" s="1779"/>
      <c r="B153" s="1393"/>
      <c r="C153" s="1403" t="s">
        <v>379</v>
      </c>
      <c r="D153" s="144" t="s">
        <v>251</v>
      </c>
      <c r="E153" s="94"/>
      <c r="F153" s="80">
        <v>2810</v>
      </c>
      <c r="G153" s="80"/>
      <c r="H153" s="80"/>
      <c r="I153" s="80">
        <v>2109</v>
      </c>
      <c r="J153" s="96"/>
      <c r="K153" s="28"/>
      <c r="L153" s="21"/>
    </row>
    <row r="154" spans="1:12" hidden="1" x14ac:dyDescent="0.25">
      <c r="A154" s="1779"/>
      <c r="B154" s="1393"/>
      <c r="C154" s="1403"/>
      <c r="D154" s="28" t="s">
        <v>257</v>
      </c>
      <c r="E154" s="94"/>
      <c r="F154" s="80">
        <v>2010</v>
      </c>
      <c r="G154" s="80"/>
      <c r="H154" s="80"/>
      <c r="I154" s="80">
        <v>1611</v>
      </c>
      <c r="J154" s="96"/>
      <c r="K154" s="28"/>
      <c r="L154" s="21"/>
    </row>
    <row r="155" spans="1:12" hidden="1" x14ac:dyDescent="0.25">
      <c r="A155" s="1779"/>
      <c r="B155" s="1393"/>
      <c r="C155" s="1403"/>
      <c r="D155" s="28" t="s">
        <v>263</v>
      </c>
      <c r="E155" s="94"/>
      <c r="F155" s="80">
        <v>800</v>
      </c>
      <c r="G155" s="80"/>
      <c r="H155" s="80"/>
      <c r="I155" s="80">
        <v>498</v>
      </c>
      <c r="J155" s="96"/>
      <c r="K155" s="28"/>
      <c r="L155" s="21"/>
    </row>
    <row r="156" spans="1:12" hidden="1" x14ac:dyDescent="0.25">
      <c r="A156" s="1779"/>
      <c r="B156" s="1393"/>
      <c r="C156" s="1403"/>
      <c r="D156" s="28" t="s">
        <v>357</v>
      </c>
      <c r="E156" s="94"/>
      <c r="F156" s="97">
        <f>(F155/F153)*100</f>
        <v>28.46975088967972</v>
      </c>
      <c r="G156" s="94"/>
      <c r="H156" s="94"/>
      <c r="I156" s="97">
        <f>I155/I153*100</f>
        <v>23.613086770981511</v>
      </c>
      <c r="J156" s="96"/>
      <c r="K156" s="28"/>
      <c r="L156" s="21"/>
    </row>
    <row r="157" spans="1:12" ht="14.85" hidden="1" customHeight="1" x14ac:dyDescent="0.25">
      <c r="A157" s="1779"/>
      <c r="B157" s="1393"/>
      <c r="C157" s="1403" t="s">
        <v>380</v>
      </c>
      <c r="D157" s="144" t="s">
        <v>251</v>
      </c>
      <c r="E157" s="94"/>
      <c r="F157" s="80">
        <v>4515</v>
      </c>
      <c r="G157" s="80"/>
      <c r="H157" s="80"/>
      <c r="I157" s="80">
        <v>2187</v>
      </c>
      <c r="J157" s="96"/>
      <c r="K157" s="28"/>
      <c r="L157" s="21"/>
    </row>
    <row r="158" spans="1:12" hidden="1" x14ac:dyDescent="0.25">
      <c r="A158" s="1779"/>
      <c r="B158" s="1393"/>
      <c r="C158" s="1403"/>
      <c r="D158" s="28" t="s">
        <v>257</v>
      </c>
      <c r="E158" s="94"/>
      <c r="F158" s="80">
        <v>1990</v>
      </c>
      <c r="G158" s="80"/>
      <c r="H158" s="80"/>
      <c r="I158" s="80">
        <v>1137</v>
      </c>
      <c r="J158" s="96"/>
      <c r="K158" s="28"/>
      <c r="L158" s="21"/>
    </row>
    <row r="159" spans="1:12" hidden="1" x14ac:dyDescent="0.25">
      <c r="A159" s="1779"/>
      <c r="B159" s="1393"/>
      <c r="C159" s="1403"/>
      <c r="D159" s="28" t="s">
        <v>263</v>
      </c>
      <c r="E159" s="94"/>
      <c r="F159" s="80">
        <v>2525</v>
      </c>
      <c r="G159" s="80"/>
      <c r="H159" s="80"/>
      <c r="I159" s="80">
        <v>1050</v>
      </c>
      <c r="J159" s="96"/>
      <c r="K159" s="28"/>
      <c r="L159" s="21"/>
    </row>
    <row r="160" spans="1:12" hidden="1" x14ac:dyDescent="0.25">
      <c r="A160" s="1779"/>
      <c r="B160" s="1393"/>
      <c r="C160" s="1403"/>
      <c r="D160" s="28" t="s">
        <v>357</v>
      </c>
      <c r="E160" s="94"/>
      <c r="F160" s="98">
        <f>(F159/F157)*100</f>
        <v>55.924695459579176</v>
      </c>
      <c r="G160" s="94"/>
      <c r="H160" s="94"/>
      <c r="I160" s="98">
        <f>I159/I157*100</f>
        <v>48.010973936899866</v>
      </c>
      <c r="J160" s="96"/>
      <c r="K160" s="28"/>
      <c r="L160" s="21"/>
    </row>
    <row r="161" spans="1:12" hidden="1" x14ac:dyDescent="0.25">
      <c r="A161" s="1779"/>
      <c r="B161" s="1393"/>
      <c r="C161" s="1403" t="s">
        <v>381</v>
      </c>
      <c r="D161" s="144" t="s">
        <v>251</v>
      </c>
      <c r="E161" s="94"/>
      <c r="F161" s="80">
        <v>425</v>
      </c>
      <c r="G161" s="80"/>
      <c r="H161" s="80"/>
      <c r="I161" s="80">
        <v>759</v>
      </c>
      <c r="J161" s="28"/>
      <c r="K161" s="28"/>
      <c r="L161" s="21"/>
    </row>
    <row r="162" spans="1:12" ht="14.85" hidden="1" customHeight="1" x14ac:dyDescent="0.25">
      <c r="A162" s="1779"/>
      <c r="B162" s="1393"/>
      <c r="C162" s="1403"/>
      <c r="D162" s="28" t="s">
        <v>257</v>
      </c>
      <c r="E162" s="94"/>
      <c r="F162" s="80">
        <v>270</v>
      </c>
      <c r="G162" s="80"/>
      <c r="H162" s="80"/>
      <c r="I162" s="80">
        <v>411</v>
      </c>
      <c r="J162" s="28"/>
      <c r="K162" s="28"/>
      <c r="L162" s="21"/>
    </row>
    <row r="163" spans="1:12" hidden="1" x14ac:dyDescent="0.25">
      <c r="A163" s="1779"/>
      <c r="B163" s="1393"/>
      <c r="C163" s="1403"/>
      <c r="D163" s="28" t="s">
        <v>263</v>
      </c>
      <c r="E163" s="94"/>
      <c r="F163" s="80">
        <v>160</v>
      </c>
      <c r="G163" s="80"/>
      <c r="H163" s="80"/>
      <c r="I163" s="80">
        <v>348</v>
      </c>
      <c r="J163" s="28"/>
      <c r="K163" s="28"/>
      <c r="L163" s="21"/>
    </row>
    <row r="164" spans="1:12" hidden="1" x14ac:dyDescent="0.25">
      <c r="A164" s="1779"/>
      <c r="B164" s="1393"/>
      <c r="C164" s="1403"/>
      <c r="D164" s="28" t="s">
        <v>357</v>
      </c>
      <c r="E164" s="94"/>
      <c r="F164" s="97">
        <f>(F163/F161)*100</f>
        <v>37.647058823529413</v>
      </c>
      <c r="G164" s="94"/>
      <c r="H164" s="94"/>
      <c r="I164" s="98">
        <f>I163/I161*100</f>
        <v>45.8498023715415</v>
      </c>
      <c r="J164" s="28"/>
      <c r="K164" s="28"/>
      <c r="L164" s="21"/>
    </row>
    <row r="165" spans="1:12" hidden="1" x14ac:dyDescent="0.25">
      <c r="A165" s="1779"/>
      <c r="B165" s="1393"/>
      <c r="C165" s="1437" t="s">
        <v>382</v>
      </c>
      <c r="D165" s="145" t="s">
        <v>251</v>
      </c>
      <c r="E165" s="95"/>
      <c r="F165" s="80">
        <v>4710</v>
      </c>
      <c r="G165" s="80"/>
      <c r="H165" s="80"/>
      <c r="I165" s="80">
        <v>4089</v>
      </c>
      <c r="J165" s="96"/>
      <c r="K165" s="96"/>
      <c r="L165" s="200"/>
    </row>
    <row r="166" spans="1:12" hidden="1" x14ac:dyDescent="0.25">
      <c r="A166" s="1779"/>
      <c r="B166" s="1393"/>
      <c r="C166" s="1437"/>
      <c r="D166" s="96" t="s">
        <v>257</v>
      </c>
      <c r="E166" s="95"/>
      <c r="F166" s="80">
        <v>1725</v>
      </c>
      <c r="G166" s="80"/>
      <c r="H166" s="80"/>
      <c r="I166" s="80">
        <v>1242</v>
      </c>
      <c r="J166" s="96"/>
      <c r="K166" s="96"/>
      <c r="L166" s="200"/>
    </row>
    <row r="167" spans="1:12" hidden="1" x14ac:dyDescent="0.25">
      <c r="A167" s="1779"/>
      <c r="B167" s="1393"/>
      <c r="C167" s="1437"/>
      <c r="D167" s="96" t="s">
        <v>263</v>
      </c>
      <c r="E167" s="95"/>
      <c r="F167" s="80">
        <v>2985</v>
      </c>
      <c r="G167" s="80"/>
      <c r="H167" s="80"/>
      <c r="I167" s="80">
        <v>2847</v>
      </c>
      <c r="J167" s="96"/>
      <c r="K167" s="96"/>
      <c r="L167" s="200"/>
    </row>
    <row r="168" spans="1:12" hidden="1" x14ac:dyDescent="0.25">
      <c r="A168" s="1779"/>
      <c r="B168" s="1393"/>
      <c r="C168" s="1437"/>
      <c r="D168" s="96" t="s">
        <v>357</v>
      </c>
      <c r="E168" s="95"/>
      <c r="F168" s="99">
        <f>(F167/F165)*100</f>
        <v>63.375796178343947</v>
      </c>
      <c r="G168" s="94"/>
      <c r="H168" s="94"/>
      <c r="I168" s="99">
        <f>I167/I165*100</f>
        <v>69.625825385179752</v>
      </c>
      <c r="J168" s="96"/>
      <c r="K168" s="96"/>
      <c r="L168" s="200"/>
    </row>
    <row r="169" spans="1:12" ht="14.85" hidden="1" customHeight="1" x14ac:dyDescent="0.25">
      <c r="A169" s="1779"/>
      <c r="B169" s="1393"/>
      <c r="C169" s="1437" t="s">
        <v>383</v>
      </c>
      <c r="D169" s="145" t="s">
        <v>251</v>
      </c>
      <c r="E169" s="95"/>
      <c r="F169" s="80">
        <v>3345</v>
      </c>
      <c r="G169" s="80"/>
      <c r="H169" s="80"/>
      <c r="I169" s="80">
        <v>2913</v>
      </c>
      <c r="J169" s="96"/>
      <c r="K169" s="96"/>
      <c r="L169" s="200"/>
    </row>
    <row r="170" spans="1:12" hidden="1" x14ac:dyDescent="0.25">
      <c r="A170" s="1779"/>
      <c r="B170" s="1393"/>
      <c r="C170" s="1437"/>
      <c r="D170" s="96" t="s">
        <v>257</v>
      </c>
      <c r="E170" s="95"/>
      <c r="F170" s="80">
        <v>905</v>
      </c>
      <c r="G170" s="80"/>
      <c r="H170" s="80"/>
      <c r="I170" s="80">
        <v>870</v>
      </c>
      <c r="J170" s="96"/>
      <c r="K170" s="96"/>
      <c r="L170" s="200"/>
    </row>
    <row r="171" spans="1:12" hidden="1" x14ac:dyDescent="0.25">
      <c r="A171" s="1779"/>
      <c r="B171" s="1393"/>
      <c r="C171" s="1437"/>
      <c r="D171" s="96" t="s">
        <v>263</v>
      </c>
      <c r="E171" s="95"/>
      <c r="F171" s="80">
        <v>2440</v>
      </c>
      <c r="G171" s="80"/>
      <c r="H171" s="80"/>
      <c r="I171" s="80">
        <v>2043</v>
      </c>
      <c r="J171" s="96"/>
      <c r="K171" s="96"/>
      <c r="L171" s="200"/>
    </row>
    <row r="172" spans="1:12" hidden="1" x14ac:dyDescent="0.25">
      <c r="A172" s="1779"/>
      <c r="B172" s="1393"/>
      <c r="C172" s="1437"/>
      <c r="D172" s="96" t="s">
        <v>357</v>
      </c>
      <c r="E172" s="95"/>
      <c r="F172" s="99">
        <f>(F171/F169)*100</f>
        <v>72.944693572496263</v>
      </c>
      <c r="G172" s="94"/>
      <c r="H172" s="94"/>
      <c r="I172" s="99">
        <f>I171/I169*100</f>
        <v>70.133882595262619</v>
      </c>
      <c r="J172" s="96"/>
      <c r="K172" s="96"/>
      <c r="L172" s="200"/>
    </row>
    <row r="173" spans="1:12" hidden="1" x14ac:dyDescent="0.25">
      <c r="A173" s="1779"/>
      <c r="B173" s="1393"/>
      <c r="C173" s="1437" t="s">
        <v>384</v>
      </c>
      <c r="D173" s="145" t="s">
        <v>251</v>
      </c>
      <c r="E173" s="95"/>
      <c r="F173" s="80">
        <v>4595</v>
      </c>
      <c r="G173" s="80"/>
      <c r="H173" s="80"/>
      <c r="I173" s="80">
        <v>2433</v>
      </c>
      <c r="J173" s="96"/>
      <c r="K173" s="96"/>
      <c r="L173" s="200"/>
    </row>
    <row r="174" spans="1:12" hidden="1" x14ac:dyDescent="0.25">
      <c r="A174" s="1779"/>
      <c r="B174" s="1393"/>
      <c r="C174" s="1437"/>
      <c r="D174" s="96" t="s">
        <v>257</v>
      </c>
      <c r="E174" s="95"/>
      <c r="F174" s="80">
        <v>1405</v>
      </c>
      <c r="G174" s="80"/>
      <c r="H174" s="80"/>
      <c r="I174" s="80">
        <v>690</v>
      </c>
      <c r="J174" s="96"/>
      <c r="K174" s="96"/>
      <c r="L174" s="200"/>
    </row>
    <row r="175" spans="1:12" hidden="1" x14ac:dyDescent="0.25">
      <c r="A175" s="1779"/>
      <c r="B175" s="1393"/>
      <c r="C175" s="1437"/>
      <c r="D175" s="96" t="s">
        <v>263</v>
      </c>
      <c r="E175" s="95"/>
      <c r="F175" s="80">
        <v>3190</v>
      </c>
      <c r="G175" s="80"/>
      <c r="H175" s="80"/>
      <c r="I175" s="80">
        <v>1746</v>
      </c>
      <c r="J175" s="96"/>
      <c r="K175" s="96"/>
      <c r="L175" s="200"/>
    </row>
    <row r="176" spans="1:12" hidden="1" x14ac:dyDescent="0.25">
      <c r="A176" s="1779"/>
      <c r="B176" s="1393"/>
      <c r="C176" s="1437"/>
      <c r="D176" s="96" t="s">
        <v>357</v>
      </c>
      <c r="E176" s="95"/>
      <c r="F176" s="99">
        <f>(F175/F173)*100</f>
        <v>69.423286180631123</v>
      </c>
      <c r="G176" s="94"/>
      <c r="H176" s="94"/>
      <c r="I176" s="99">
        <f>I175/I173*100</f>
        <v>71.763255240443897</v>
      </c>
      <c r="J176" s="96"/>
      <c r="K176" s="96"/>
      <c r="L176" s="200"/>
    </row>
    <row r="177" spans="1:12" hidden="1" x14ac:dyDescent="0.25">
      <c r="A177" s="1779"/>
      <c r="B177" s="1393"/>
      <c r="C177" s="1437" t="s">
        <v>385</v>
      </c>
      <c r="D177" s="145" t="s">
        <v>251</v>
      </c>
      <c r="E177" s="95"/>
      <c r="F177" s="80">
        <v>805</v>
      </c>
      <c r="G177" s="80"/>
      <c r="H177" s="80"/>
      <c r="I177" s="80">
        <v>999</v>
      </c>
      <c r="J177" s="96"/>
      <c r="K177" s="96"/>
      <c r="L177" s="200"/>
    </row>
    <row r="178" spans="1:12" ht="14.85" hidden="1" customHeight="1" x14ac:dyDescent="0.25">
      <c r="A178" s="1779"/>
      <c r="B178" s="1393"/>
      <c r="C178" s="1437"/>
      <c r="D178" s="96" t="s">
        <v>257</v>
      </c>
      <c r="E178" s="95"/>
      <c r="F178" s="80">
        <v>585</v>
      </c>
      <c r="G178" s="80"/>
      <c r="H178" s="80"/>
      <c r="I178" s="80">
        <v>585</v>
      </c>
      <c r="J178" s="96"/>
      <c r="K178" s="96"/>
      <c r="L178" s="200"/>
    </row>
    <row r="179" spans="1:12" hidden="1" x14ac:dyDescent="0.25">
      <c r="A179" s="1779"/>
      <c r="B179" s="1393"/>
      <c r="C179" s="1437"/>
      <c r="D179" s="96" t="s">
        <v>263</v>
      </c>
      <c r="E179" s="95"/>
      <c r="F179" s="80">
        <v>215</v>
      </c>
      <c r="G179" s="80"/>
      <c r="H179" s="80"/>
      <c r="I179" s="80">
        <v>414</v>
      </c>
      <c r="J179" s="96"/>
      <c r="K179" s="96"/>
      <c r="L179" s="200"/>
    </row>
    <row r="180" spans="1:12" hidden="1" x14ac:dyDescent="0.25">
      <c r="A180" s="1779"/>
      <c r="B180" s="1393"/>
      <c r="C180" s="1437"/>
      <c r="D180" s="96" t="s">
        <v>357</v>
      </c>
      <c r="E180" s="95"/>
      <c r="F180" s="97">
        <f>(F179/F177)*100</f>
        <v>26.70807453416149</v>
      </c>
      <c r="G180" s="94"/>
      <c r="H180" s="94"/>
      <c r="I180" s="98">
        <f>I179/I177*100</f>
        <v>41.441441441441441</v>
      </c>
      <c r="J180" s="96"/>
      <c r="K180" s="96"/>
      <c r="L180" s="200"/>
    </row>
    <row r="181" spans="1:12" hidden="1" x14ac:dyDescent="0.25">
      <c r="A181" s="1779"/>
      <c r="B181" s="1393"/>
      <c r="C181" s="1437" t="s">
        <v>386</v>
      </c>
      <c r="D181" s="145" t="s">
        <v>251</v>
      </c>
      <c r="E181" s="95"/>
      <c r="F181" s="80">
        <v>4535</v>
      </c>
      <c r="G181" s="80"/>
      <c r="H181" s="80"/>
      <c r="I181" s="80">
        <v>5709</v>
      </c>
      <c r="J181" s="96"/>
      <c r="K181" s="96"/>
      <c r="L181" s="200"/>
    </row>
    <row r="182" spans="1:12" hidden="1" x14ac:dyDescent="0.25">
      <c r="A182" s="1779"/>
      <c r="B182" s="1393"/>
      <c r="C182" s="1437"/>
      <c r="D182" s="96" t="s">
        <v>257</v>
      </c>
      <c r="E182" s="95"/>
      <c r="F182" s="80">
        <v>2435</v>
      </c>
      <c r="G182" s="80"/>
      <c r="H182" s="80"/>
      <c r="I182" s="80">
        <v>3021</v>
      </c>
      <c r="J182" s="96"/>
      <c r="K182" s="96"/>
      <c r="L182" s="200"/>
    </row>
    <row r="183" spans="1:12" hidden="1" x14ac:dyDescent="0.25">
      <c r="A183" s="1779"/>
      <c r="B183" s="1393"/>
      <c r="C183" s="1437"/>
      <c r="D183" s="96" t="s">
        <v>263</v>
      </c>
      <c r="E183" s="95"/>
      <c r="F183" s="80">
        <v>2100</v>
      </c>
      <c r="G183" s="80"/>
      <c r="H183" s="80"/>
      <c r="I183" s="80">
        <v>2688</v>
      </c>
      <c r="J183" s="96"/>
      <c r="K183" s="96"/>
      <c r="L183" s="200"/>
    </row>
    <row r="184" spans="1:12" hidden="1" x14ac:dyDescent="0.25">
      <c r="A184" s="1779"/>
      <c r="B184" s="1393"/>
      <c r="C184" s="1437"/>
      <c r="D184" s="96" t="s">
        <v>357</v>
      </c>
      <c r="E184" s="95"/>
      <c r="F184" s="98">
        <f>(F183/F181)*100</f>
        <v>46.306504961411243</v>
      </c>
      <c r="G184" s="94"/>
      <c r="H184" s="94"/>
      <c r="I184" s="98">
        <f>I183/I181*100</f>
        <v>47.083552285864428</v>
      </c>
      <c r="J184" s="96"/>
      <c r="K184" s="96"/>
      <c r="L184" s="200"/>
    </row>
    <row r="185" spans="1:12" hidden="1" x14ac:dyDescent="0.25">
      <c r="A185" s="1779"/>
      <c r="B185" s="1393"/>
      <c r="C185" s="1437" t="s">
        <v>387</v>
      </c>
      <c r="D185" s="145" t="s">
        <v>251</v>
      </c>
      <c r="E185" s="95"/>
      <c r="F185" s="80">
        <v>6025</v>
      </c>
      <c r="G185" s="80"/>
      <c r="H185" s="80"/>
      <c r="I185" s="80">
        <v>5616</v>
      </c>
      <c r="J185" s="96"/>
      <c r="K185" s="96"/>
      <c r="L185" s="200"/>
    </row>
    <row r="186" spans="1:12" hidden="1" x14ac:dyDescent="0.25">
      <c r="A186" s="1779"/>
      <c r="B186" s="1393"/>
      <c r="C186" s="1437"/>
      <c r="D186" s="96" t="s">
        <v>257</v>
      </c>
      <c r="E186" s="95"/>
      <c r="F186" s="80">
        <v>2420</v>
      </c>
      <c r="G186" s="80"/>
      <c r="H186" s="80"/>
      <c r="I186" s="80">
        <v>2451</v>
      </c>
      <c r="J186" s="96"/>
      <c r="K186" s="96"/>
      <c r="L186" s="200"/>
    </row>
    <row r="187" spans="1:12" hidden="1" x14ac:dyDescent="0.25">
      <c r="A187" s="1779"/>
      <c r="B187" s="1393"/>
      <c r="C187" s="1437"/>
      <c r="D187" s="96" t="s">
        <v>263</v>
      </c>
      <c r="E187" s="95"/>
      <c r="F187" s="80">
        <v>3605</v>
      </c>
      <c r="G187" s="80"/>
      <c r="H187" s="80"/>
      <c r="I187" s="80">
        <v>3162</v>
      </c>
      <c r="J187" s="96"/>
      <c r="K187" s="96"/>
      <c r="L187" s="200"/>
    </row>
    <row r="188" spans="1:12" hidden="1" x14ac:dyDescent="0.25">
      <c r="A188" s="1779"/>
      <c r="B188" s="1393"/>
      <c r="C188" s="1437"/>
      <c r="D188" s="96" t="s">
        <v>357</v>
      </c>
      <c r="E188" s="95"/>
      <c r="F188" s="98">
        <f>(F187/F185)*100</f>
        <v>59.834024896265561</v>
      </c>
      <c r="G188" s="94"/>
      <c r="H188" s="94"/>
      <c r="I188" s="98">
        <f>I187/I185*100</f>
        <v>56.303418803418801</v>
      </c>
      <c r="J188" s="96"/>
      <c r="K188" s="96"/>
      <c r="L188" s="200"/>
    </row>
    <row r="189" spans="1:12" hidden="1" x14ac:dyDescent="0.25">
      <c r="A189" s="1779"/>
      <c r="B189" s="1393"/>
      <c r="C189" s="1437" t="s">
        <v>388</v>
      </c>
      <c r="D189" s="145" t="s">
        <v>251</v>
      </c>
      <c r="E189" s="95"/>
      <c r="F189" s="80">
        <v>30</v>
      </c>
      <c r="G189" s="80"/>
      <c r="H189" s="80"/>
      <c r="I189" s="80">
        <v>1383</v>
      </c>
      <c r="J189" s="96"/>
      <c r="K189" s="96"/>
      <c r="L189" s="200"/>
    </row>
    <row r="190" spans="1:12" hidden="1" x14ac:dyDescent="0.25">
      <c r="A190" s="1779"/>
      <c r="B190" s="1393"/>
      <c r="C190" s="1437"/>
      <c r="D190" s="96" t="s">
        <v>257</v>
      </c>
      <c r="E190" s="95"/>
      <c r="F190" s="80">
        <v>15</v>
      </c>
      <c r="G190" s="80"/>
      <c r="H190" s="80"/>
      <c r="I190" s="80">
        <v>786</v>
      </c>
      <c r="J190" s="96"/>
      <c r="K190" s="96"/>
      <c r="L190" s="200"/>
    </row>
    <row r="191" spans="1:12" hidden="1" x14ac:dyDescent="0.25">
      <c r="A191" s="1779"/>
      <c r="B191" s="1393"/>
      <c r="C191" s="1437"/>
      <c r="D191" s="96" t="s">
        <v>263</v>
      </c>
      <c r="E191" s="95"/>
      <c r="F191" s="80">
        <v>20</v>
      </c>
      <c r="G191" s="80"/>
      <c r="H191" s="80"/>
      <c r="I191" s="80">
        <v>597</v>
      </c>
      <c r="J191" s="96"/>
      <c r="K191" s="96"/>
      <c r="L191" s="200"/>
    </row>
    <row r="192" spans="1:12" hidden="1" x14ac:dyDescent="0.25">
      <c r="A192" s="1779"/>
      <c r="B192" s="1393"/>
      <c r="C192" s="1437"/>
      <c r="D192" s="96" t="s">
        <v>357</v>
      </c>
      <c r="E192" s="95"/>
      <c r="F192" s="99">
        <f>F191/F189*100</f>
        <v>66.666666666666657</v>
      </c>
      <c r="G192" s="94"/>
      <c r="H192" s="94"/>
      <c r="I192" s="98">
        <f>I191/I189*100</f>
        <v>43.167028199566161</v>
      </c>
      <c r="J192" s="96"/>
      <c r="K192" s="96"/>
      <c r="L192" s="200"/>
    </row>
    <row r="193" spans="1:12" hidden="1" x14ac:dyDescent="0.25">
      <c r="A193" s="1779"/>
      <c r="B193" s="1393"/>
      <c r="C193" s="1403" t="s">
        <v>389</v>
      </c>
      <c r="D193" s="144" t="s">
        <v>251</v>
      </c>
      <c r="E193" s="94"/>
      <c r="F193" s="80">
        <v>860</v>
      </c>
      <c r="G193" s="80"/>
      <c r="H193" s="80"/>
      <c r="I193" s="80">
        <v>861</v>
      </c>
      <c r="J193" s="28"/>
      <c r="K193" s="28"/>
      <c r="L193" s="21"/>
    </row>
    <row r="194" spans="1:12" hidden="1" x14ac:dyDescent="0.25">
      <c r="A194" s="1779"/>
      <c r="B194" s="1393"/>
      <c r="C194" s="1403"/>
      <c r="D194" s="28" t="s">
        <v>257</v>
      </c>
      <c r="E194" s="94"/>
      <c r="F194" s="80">
        <v>455</v>
      </c>
      <c r="G194" s="80"/>
      <c r="H194" s="80"/>
      <c r="I194" s="80">
        <v>372</v>
      </c>
      <c r="J194" s="28"/>
      <c r="K194" s="28"/>
      <c r="L194" s="21"/>
    </row>
    <row r="195" spans="1:12" hidden="1" x14ac:dyDescent="0.25">
      <c r="A195" s="1779"/>
      <c r="B195" s="1393"/>
      <c r="C195" s="1403"/>
      <c r="D195" s="28" t="s">
        <v>263</v>
      </c>
      <c r="E195" s="94"/>
      <c r="F195" s="80">
        <v>405</v>
      </c>
      <c r="G195" s="80"/>
      <c r="H195" s="80"/>
      <c r="I195" s="80">
        <v>486</v>
      </c>
      <c r="J195" s="28"/>
      <c r="K195" s="28"/>
      <c r="L195" s="21"/>
    </row>
    <row r="196" spans="1:12" hidden="1" x14ac:dyDescent="0.25">
      <c r="A196" s="1779"/>
      <c r="B196" s="1393"/>
      <c r="C196" s="1403"/>
      <c r="D196" s="28" t="s">
        <v>357</v>
      </c>
      <c r="E196" s="94"/>
      <c r="F196" s="98">
        <f>(F195/F193)*100</f>
        <v>47.093023255813954</v>
      </c>
      <c r="G196" s="94"/>
      <c r="H196" s="94"/>
      <c r="I196" s="98">
        <f>I195/I193*100</f>
        <v>56.445993031358888</v>
      </c>
      <c r="J196" s="28"/>
      <c r="K196" s="28"/>
      <c r="L196" s="21"/>
    </row>
    <row r="197" spans="1:12" hidden="1" x14ac:dyDescent="0.25">
      <c r="A197" s="1779"/>
      <c r="B197" s="1393"/>
      <c r="C197" s="1403" t="s">
        <v>390</v>
      </c>
      <c r="D197" s="144" t="s">
        <v>251</v>
      </c>
      <c r="E197" s="94"/>
      <c r="F197" s="80">
        <v>755</v>
      </c>
      <c r="G197" s="80"/>
      <c r="H197" s="80"/>
      <c r="I197" s="80">
        <v>957</v>
      </c>
      <c r="J197" s="28"/>
      <c r="K197" s="28"/>
      <c r="L197" s="21"/>
    </row>
    <row r="198" spans="1:12" ht="14.85" hidden="1" customHeight="1" x14ac:dyDescent="0.25">
      <c r="A198" s="1779"/>
      <c r="B198" s="1393"/>
      <c r="C198" s="1403"/>
      <c r="D198" s="28" t="s">
        <v>257</v>
      </c>
      <c r="E198" s="94"/>
      <c r="F198" s="80">
        <v>100</v>
      </c>
      <c r="G198" s="80"/>
      <c r="H198" s="80"/>
      <c r="I198" s="80">
        <v>276</v>
      </c>
      <c r="J198" s="28"/>
      <c r="K198" s="28"/>
      <c r="L198" s="21"/>
    </row>
    <row r="199" spans="1:12" hidden="1" x14ac:dyDescent="0.25">
      <c r="A199" s="1779"/>
      <c r="B199" s="1393"/>
      <c r="C199" s="1403"/>
      <c r="D199" s="28" t="s">
        <v>263</v>
      </c>
      <c r="E199" s="94"/>
      <c r="F199" s="80">
        <v>655</v>
      </c>
      <c r="G199" s="80"/>
      <c r="H199" s="80"/>
      <c r="I199" s="80">
        <v>681</v>
      </c>
      <c r="J199" s="28"/>
      <c r="K199" s="28"/>
      <c r="L199" s="21"/>
    </row>
    <row r="200" spans="1:12" hidden="1" x14ac:dyDescent="0.25">
      <c r="A200" s="1779"/>
      <c r="B200" s="1393"/>
      <c r="C200" s="1403"/>
      <c r="D200" s="28" t="s">
        <v>357</v>
      </c>
      <c r="E200" s="94"/>
      <c r="F200" s="206">
        <f>(F199/F197)*100</f>
        <v>86.754966887417211</v>
      </c>
      <c r="G200" s="94"/>
      <c r="H200" s="94"/>
      <c r="I200" s="99">
        <f>I199/I197*100</f>
        <v>71.159874608150474</v>
      </c>
      <c r="J200" s="28"/>
      <c r="K200" s="28"/>
      <c r="L200" s="21"/>
    </row>
    <row r="201" spans="1:12" hidden="1" x14ac:dyDescent="0.25">
      <c r="A201" s="1779"/>
      <c r="B201" s="1393"/>
      <c r="C201" s="1403" t="s">
        <v>391</v>
      </c>
      <c r="D201" s="144" t="s">
        <v>251</v>
      </c>
      <c r="E201" s="94"/>
      <c r="F201" s="80">
        <v>2420</v>
      </c>
      <c r="G201" s="80"/>
      <c r="H201" s="80"/>
      <c r="I201" s="80">
        <v>2151</v>
      </c>
      <c r="J201" s="28"/>
      <c r="K201" s="28"/>
      <c r="L201" s="21"/>
    </row>
    <row r="202" spans="1:12" hidden="1" x14ac:dyDescent="0.25">
      <c r="A202" s="1779"/>
      <c r="B202" s="1393"/>
      <c r="C202" s="1403"/>
      <c r="D202" s="28" t="s">
        <v>257</v>
      </c>
      <c r="E202" s="94"/>
      <c r="F202" s="80">
        <v>420</v>
      </c>
      <c r="G202" s="80"/>
      <c r="H202" s="80"/>
      <c r="I202" s="80">
        <v>363</v>
      </c>
      <c r="J202" s="28"/>
      <c r="K202" s="28"/>
      <c r="L202" s="21"/>
    </row>
    <row r="203" spans="1:12" hidden="1" x14ac:dyDescent="0.25">
      <c r="A203" s="1779"/>
      <c r="B203" s="1393"/>
      <c r="C203" s="1403"/>
      <c r="D203" s="28" t="s">
        <v>263</v>
      </c>
      <c r="E203" s="94"/>
      <c r="F203" s="80">
        <v>2005</v>
      </c>
      <c r="G203" s="80"/>
      <c r="H203" s="80"/>
      <c r="I203" s="80">
        <v>1788</v>
      </c>
      <c r="J203" s="28"/>
      <c r="K203" s="28"/>
      <c r="L203" s="21"/>
    </row>
    <row r="204" spans="1:12" hidden="1" x14ac:dyDescent="0.25">
      <c r="A204" s="1779"/>
      <c r="B204" s="1393"/>
      <c r="C204" s="1403"/>
      <c r="D204" s="28" t="s">
        <v>357</v>
      </c>
      <c r="E204" s="94"/>
      <c r="F204" s="99">
        <f>(F203/F201)*100</f>
        <v>82.851239669421489</v>
      </c>
      <c r="G204" s="94"/>
      <c r="H204" s="94"/>
      <c r="I204" s="99">
        <f>I203/I201*100</f>
        <v>83.124128312412822</v>
      </c>
      <c r="J204" s="28"/>
      <c r="K204" s="28"/>
      <c r="L204" s="21"/>
    </row>
    <row r="205" spans="1:12" hidden="1" x14ac:dyDescent="0.25">
      <c r="A205" s="1779"/>
      <c r="B205" s="1393"/>
      <c r="C205" s="1403" t="s">
        <v>392</v>
      </c>
      <c r="D205" s="144" t="s">
        <v>251</v>
      </c>
      <c r="E205" s="94"/>
      <c r="F205" s="80">
        <v>1450</v>
      </c>
      <c r="G205" s="80"/>
      <c r="H205" s="80"/>
      <c r="I205" s="80">
        <v>1626</v>
      </c>
      <c r="J205" s="28"/>
      <c r="K205" s="28"/>
      <c r="L205" s="21"/>
    </row>
    <row r="206" spans="1:12" hidden="1" x14ac:dyDescent="0.25">
      <c r="A206" s="1779"/>
      <c r="B206" s="1393"/>
      <c r="C206" s="1403"/>
      <c r="D206" s="28" t="s">
        <v>257</v>
      </c>
      <c r="E206" s="94"/>
      <c r="F206" s="80">
        <v>105</v>
      </c>
      <c r="G206" s="80"/>
      <c r="H206" s="80"/>
      <c r="I206" s="80">
        <v>120</v>
      </c>
      <c r="J206" s="28"/>
      <c r="K206" s="28"/>
      <c r="L206" s="21"/>
    </row>
    <row r="207" spans="1:12" hidden="1" x14ac:dyDescent="0.25">
      <c r="A207" s="1779"/>
      <c r="B207" s="1393"/>
      <c r="C207" s="1403"/>
      <c r="D207" s="28" t="s">
        <v>263</v>
      </c>
      <c r="E207" s="94"/>
      <c r="F207" s="80">
        <v>1350</v>
      </c>
      <c r="G207" s="80"/>
      <c r="H207" s="80"/>
      <c r="I207" s="80">
        <v>1503</v>
      </c>
      <c r="J207" s="28"/>
      <c r="K207" s="28"/>
      <c r="L207" s="21"/>
    </row>
    <row r="208" spans="1:12" hidden="1" x14ac:dyDescent="0.25">
      <c r="A208" s="1779"/>
      <c r="B208" s="1393"/>
      <c r="C208" s="1403"/>
      <c r="D208" s="28" t="s">
        <v>357</v>
      </c>
      <c r="E208" s="94"/>
      <c r="F208" s="99">
        <f>(F207/F205)*100</f>
        <v>93.103448275862064</v>
      </c>
      <c r="G208" s="94"/>
      <c r="H208" s="94"/>
      <c r="I208" s="99">
        <f>I207/I205*100</f>
        <v>92.435424354243551</v>
      </c>
      <c r="J208" s="28"/>
      <c r="K208" s="28"/>
      <c r="L208" s="21"/>
    </row>
    <row r="209" spans="1:12" hidden="1" x14ac:dyDescent="0.25">
      <c r="A209" s="1779"/>
      <c r="B209" s="1393"/>
      <c r="C209" s="1403" t="s">
        <v>393</v>
      </c>
      <c r="D209" s="144" t="s">
        <v>251</v>
      </c>
      <c r="E209" s="94"/>
      <c r="F209" s="80">
        <v>2685</v>
      </c>
      <c r="G209" s="80"/>
      <c r="H209" s="80"/>
      <c r="I209" s="80">
        <v>3165</v>
      </c>
      <c r="J209" s="28"/>
      <c r="K209" s="28"/>
      <c r="L209" s="21"/>
    </row>
    <row r="210" spans="1:12" hidden="1" x14ac:dyDescent="0.25">
      <c r="A210" s="1779"/>
      <c r="B210" s="1393"/>
      <c r="C210" s="1403"/>
      <c r="D210" s="28" t="s">
        <v>257</v>
      </c>
      <c r="E210" s="94"/>
      <c r="F210" s="80">
        <v>1405</v>
      </c>
      <c r="G210" s="80"/>
      <c r="H210" s="80"/>
      <c r="I210" s="80">
        <v>1644</v>
      </c>
      <c r="J210" s="28"/>
      <c r="K210" s="28"/>
      <c r="L210" s="21"/>
    </row>
    <row r="211" spans="1:12" hidden="1" x14ac:dyDescent="0.25">
      <c r="A211" s="1779"/>
      <c r="B211" s="1393"/>
      <c r="C211" s="1403"/>
      <c r="D211" s="28" t="s">
        <v>263</v>
      </c>
      <c r="E211" s="94"/>
      <c r="F211" s="80">
        <v>1275</v>
      </c>
      <c r="G211" s="80"/>
      <c r="H211" s="80"/>
      <c r="I211" s="80">
        <v>1521</v>
      </c>
      <c r="J211" s="28"/>
      <c r="K211" s="28"/>
      <c r="L211" s="21"/>
    </row>
    <row r="212" spans="1:12" hidden="1" x14ac:dyDescent="0.25">
      <c r="A212" s="1779"/>
      <c r="B212" s="1393"/>
      <c r="C212" s="1403"/>
      <c r="D212" s="28" t="s">
        <v>357</v>
      </c>
      <c r="E212" s="94"/>
      <c r="F212" s="98">
        <f>(F211/F209)*100</f>
        <v>47.486033519553075</v>
      </c>
      <c r="G212" s="94"/>
      <c r="H212" s="94"/>
      <c r="I212" s="98">
        <f>I211/I209*100</f>
        <v>48.056872037914694</v>
      </c>
      <c r="J212" s="28"/>
      <c r="K212" s="28"/>
      <c r="L212" s="21"/>
    </row>
    <row r="213" spans="1:12" hidden="1" x14ac:dyDescent="0.25">
      <c r="A213" s="1779"/>
      <c r="B213" s="1393"/>
      <c r="C213" s="1403" t="s">
        <v>394</v>
      </c>
      <c r="D213" s="144" t="s">
        <v>251</v>
      </c>
      <c r="E213" s="94"/>
      <c r="F213" s="80">
        <v>3000</v>
      </c>
      <c r="G213" s="80"/>
      <c r="H213" s="80"/>
      <c r="I213" s="80">
        <v>2664</v>
      </c>
      <c r="J213" s="28"/>
      <c r="K213" s="28"/>
      <c r="L213" s="21"/>
    </row>
    <row r="214" spans="1:12" hidden="1" x14ac:dyDescent="0.25">
      <c r="A214" s="1779"/>
      <c r="B214" s="1393"/>
      <c r="C214" s="1403"/>
      <c r="D214" s="28" t="s">
        <v>257</v>
      </c>
      <c r="E214" s="94"/>
      <c r="F214" s="80">
        <v>2490</v>
      </c>
      <c r="G214" s="80"/>
      <c r="H214" s="80"/>
      <c r="I214" s="80">
        <v>2124</v>
      </c>
      <c r="J214" s="28"/>
      <c r="K214" s="28"/>
      <c r="L214" s="21"/>
    </row>
    <row r="215" spans="1:12" hidden="1" x14ac:dyDescent="0.25">
      <c r="A215" s="1779"/>
      <c r="B215" s="1393"/>
      <c r="C215" s="1403"/>
      <c r="D215" s="28" t="s">
        <v>263</v>
      </c>
      <c r="E215" s="94"/>
      <c r="F215" s="80">
        <v>510</v>
      </c>
      <c r="G215" s="80"/>
      <c r="H215" s="80"/>
      <c r="I215" s="80">
        <v>537</v>
      </c>
      <c r="J215" s="28"/>
      <c r="K215" s="28"/>
      <c r="L215" s="21"/>
    </row>
    <row r="216" spans="1:12" hidden="1" x14ac:dyDescent="0.25">
      <c r="A216" s="1779"/>
      <c r="B216" s="1393"/>
      <c r="C216" s="1403"/>
      <c r="D216" s="28" t="s">
        <v>357</v>
      </c>
      <c r="E216" s="94"/>
      <c r="F216" s="97">
        <f>(F215/F213)*100</f>
        <v>17</v>
      </c>
      <c r="G216" s="94"/>
      <c r="H216" s="94"/>
      <c r="I216" s="97">
        <f>I215/I213*100</f>
        <v>20.157657657657658</v>
      </c>
      <c r="J216" s="28"/>
      <c r="K216" s="28"/>
      <c r="L216" s="21"/>
    </row>
    <row r="217" spans="1:12" hidden="1" x14ac:dyDescent="0.25">
      <c r="A217" s="1779"/>
      <c r="B217" s="1393"/>
      <c r="C217" s="1403" t="s">
        <v>395</v>
      </c>
      <c r="D217" s="144" t="s">
        <v>251</v>
      </c>
      <c r="E217" s="94"/>
      <c r="F217" s="80">
        <v>455</v>
      </c>
      <c r="G217" s="80"/>
      <c r="H217" s="80"/>
      <c r="I217" s="80">
        <v>321</v>
      </c>
      <c r="J217" s="94"/>
      <c r="K217" s="28"/>
      <c r="L217" s="21"/>
    </row>
    <row r="218" spans="1:12" ht="14.85" hidden="1" customHeight="1" x14ac:dyDescent="0.25">
      <c r="A218" s="1779"/>
      <c r="B218" s="1393"/>
      <c r="C218" s="1403"/>
      <c r="D218" s="28" t="s">
        <v>257</v>
      </c>
      <c r="E218" s="94"/>
      <c r="F218" s="80">
        <v>340</v>
      </c>
      <c r="G218" s="80"/>
      <c r="H218" s="80"/>
      <c r="I218" s="80">
        <v>264</v>
      </c>
      <c r="J218" s="94"/>
      <c r="K218" s="28"/>
      <c r="L218" s="21"/>
    </row>
    <row r="219" spans="1:12" hidden="1" x14ac:dyDescent="0.25">
      <c r="A219" s="1779"/>
      <c r="B219" s="1393"/>
      <c r="C219" s="1403"/>
      <c r="D219" s="28" t="s">
        <v>263</v>
      </c>
      <c r="E219" s="94"/>
      <c r="F219" s="80">
        <v>115</v>
      </c>
      <c r="G219" s="80"/>
      <c r="H219" s="80"/>
      <c r="I219" s="80">
        <v>60</v>
      </c>
      <c r="J219" s="94"/>
      <c r="K219" s="28"/>
      <c r="L219" s="21"/>
    </row>
    <row r="220" spans="1:12" hidden="1" x14ac:dyDescent="0.25">
      <c r="A220" s="1779"/>
      <c r="B220" s="1393"/>
      <c r="C220" s="1403"/>
      <c r="D220" s="28" t="s">
        <v>357</v>
      </c>
      <c r="E220" s="94"/>
      <c r="F220" s="97">
        <f>(F219/F217)*100</f>
        <v>25.274725274725274</v>
      </c>
      <c r="G220" s="94"/>
      <c r="H220" s="94"/>
      <c r="I220" s="97">
        <f>I219/I217*100</f>
        <v>18.691588785046729</v>
      </c>
      <c r="J220" s="94"/>
      <c r="K220" s="28"/>
      <c r="L220" s="21"/>
    </row>
    <row r="221" spans="1:12" hidden="1" x14ac:dyDescent="0.25">
      <c r="A221" s="1779"/>
      <c r="B221" s="1393"/>
      <c r="C221" s="1403" t="s">
        <v>396</v>
      </c>
      <c r="D221" s="144" t="s">
        <v>251</v>
      </c>
      <c r="E221" s="94"/>
      <c r="F221" s="80">
        <v>45</v>
      </c>
      <c r="G221" s="80"/>
      <c r="H221" s="80"/>
      <c r="I221" s="80">
        <v>21</v>
      </c>
      <c r="J221" s="94"/>
      <c r="K221" s="28"/>
      <c r="L221" s="21"/>
    </row>
    <row r="222" spans="1:12" hidden="1" x14ac:dyDescent="0.25">
      <c r="A222" s="1779"/>
      <c r="B222" s="1393"/>
      <c r="C222" s="1403"/>
      <c r="D222" s="28" t="s">
        <v>257</v>
      </c>
      <c r="E222" s="94"/>
      <c r="F222" s="80">
        <v>15</v>
      </c>
      <c r="G222" s="80"/>
      <c r="H222" s="80"/>
      <c r="I222" s="80">
        <v>12</v>
      </c>
      <c r="J222" s="94"/>
      <c r="K222" s="28"/>
      <c r="L222" s="21"/>
    </row>
    <row r="223" spans="1:12" hidden="1" x14ac:dyDescent="0.25">
      <c r="A223" s="1779"/>
      <c r="B223" s="1393"/>
      <c r="C223" s="1403"/>
      <c r="D223" s="28" t="s">
        <v>263</v>
      </c>
      <c r="E223" s="94"/>
      <c r="F223" s="80">
        <v>35</v>
      </c>
      <c r="G223" s="80"/>
      <c r="H223" s="80"/>
      <c r="I223" s="80">
        <v>9</v>
      </c>
      <c r="J223" s="94"/>
      <c r="K223" s="28"/>
      <c r="L223" s="21"/>
    </row>
    <row r="224" spans="1:12" hidden="1" x14ac:dyDescent="0.25">
      <c r="A224" s="1779"/>
      <c r="B224" s="1393"/>
      <c r="C224" s="1403"/>
      <c r="D224" s="28" t="s">
        <v>357</v>
      </c>
      <c r="E224" s="94"/>
      <c r="F224" s="99">
        <f>(F223/F221)*100</f>
        <v>77.777777777777786</v>
      </c>
      <c r="G224" s="94"/>
      <c r="H224" s="94"/>
      <c r="I224" s="98">
        <f>I223/I221*100</f>
        <v>42.857142857142854</v>
      </c>
      <c r="J224" s="94"/>
      <c r="K224" s="28"/>
      <c r="L224" s="21"/>
    </row>
    <row r="225" spans="1:12" hidden="1" x14ac:dyDescent="0.25">
      <c r="A225" s="1779"/>
      <c r="B225" s="1393"/>
      <c r="C225" s="1403" t="s">
        <v>397</v>
      </c>
      <c r="D225" s="144" t="s">
        <v>251</v>
      </c>
      <c r="E225" s="94"/>
      <c r="F225" s="80"/>
      <c r="G225" s="80"/>
      <c r="H225" s="80"/>
      <c r="I225" s="80">
        <v>6</v>
      </c>
      <c r="J225" s="94"/>
      <c r="K225" s="28"/>
      <c r="L225" s="21"/>
    </row>
    <row r="226" spans="1:12" hidden="1" x14ac:dyDescent="0.25">
      <c r="A226" s="1779"/>
      <c r="B226" s="1393"/>
      <c r="C226" s="1403"/>
      <c r="D226" s="28" t="s">
        <v>257</v>
      </c>
      <c r="E226" s="94"/>
      <c r="F226" s="80"/>
      <c r="G226" s="80"/>
      <c r="H226" s="80"/>
      <c r="I226" s="80">
        <v>0</v>
      </c>
      <c r="J226" s="94"/>
      <c r="K226" s="28"/>
      <c r="L226" s="21"/>
    </row>
    <row r="227" spans="1:12" hidden="1" x14ac:dyDescent="0.25">
      <c r="A227" s="1779"/>
      <c r="B227" s="1393"/>
      <c r="C227" s="1403"/>
      <c r="D227" s="28" t="s">
        <v>263</v>
      </c>
      <c r="E227" s="94"/>
      <c r="F227" s="80"/>
      <c r="G227" s="80"/>
      <c r="H227" s="80"/>
      <c r="I227" s="80">
        <v>3</v>
      </c>
      <c r="J227" s="94"/>
      <c r="K227" s="28"/>
      <c r="L227" s="21"/>
    </row>
    <row r="228" spans="1:12" hidden="1" x14ac:dyDescent="0.25">
      <c r="A228" s="1779"/>
      <c r="B228" s="1393"/>
      <c r="C228" s="1403"/>
      <c r="D228" s="28" t="s">
        <v>357</v>
      </c>
      <c r="E228" s="94"/>
      <c r="F228" s="94"/>
      <c r="G228" s="94"/>
      <c r="H228" s="94"/>
      <c r="I228" s="98">
        <f>I227/I225*100</f>
        <v>50</v>
      </c>
      <c r="J228" s="94"/>
      <c r="K228" s="28"/>
      <c r="L228" s="21"/>
    </row>
    <row r="229" spans="1:12" hidden="1" x14ac:dyDescent="0.25">
      <c r="A229" s="1779"/>
      <c r="B229" s="1393"/>
      <c r="C229" s="1403" t="s">
        <v>398</v>
      </c>
      <c r="D229" s="144" t="s">
        <v>251</v>
      </c>
      <c r="E229" s="94"/>
      <c r="F229" s="80"/>
      <c r="G229" s="80"/>
      <c r="H229" s="80"/>
      <c r="I229" s="80">
        <v>12</v>
      </c>
      <c r="J229" s="94"/>
      <c r="K229" s="28"/>
      <c r="L229" s="21"/>
    </row>
    <row r="230" spans="1:12" ht="14.85" hidden="1" customHeight="1" x14ac:dyDescent="0.25">
      <c r="A230" s="1779"/>
      <c r="B230" s="1393"/>
      <c r="C230" s="1403"/>
      <c r="D230" s="28" t="s">
        <v>257</v>
      </c>
      <c r="E230" s="94"/>
      <c r="F230" s="80"/>
      <c r="G230" s="80"/>
      <c r="H230" s="80"/>
      <c r="I230" s="80">
        <v>9</v>
      </c>
      <c r="J230" s="94"/>
      <c r="K230" s="28"/>
      <c r="L230" s="21"/>
    </row>
    <row r="231" spans="1:12" hidden="1" x14ac:dyDescent="0.25">
      <c r="A231" s="1779"/>
      <c r="B231" s="1393"/>
      <c r="C231" s="1403"/>
      <c r="D231" s="28" t="s">
        <v>263</v>
      </c>
      <c r="E231" s="94"/>
      <c r="F231" s="80"/>
      <c r="G231" s="80"/>
      <c r="H231" s="80"/>
      <c r="I231" s="80">
        <v>3</v>
      </c>
      <c r="J231" s="94"/>
      <c r="K231" s="28"/>
      <c r="L231" s="21"/>
    </row>
    <row r="232" spans="1:12" hidden="1" x14ac:dyDescent="0.25">
      <c r="A232" s="1779"/>
      <c r="B232" s="1393"/>
      <c r="C232" s="1403"/>
      <c r="D232" s="28" t="s">
        <v>357</v>
      </c>
      <c r="E232" s="94"/>
      <c r="F232" s="94"/>
      <c r="G232" s="94"/>
      <c r="H232" s="94"/>
      <c r="I232" s="97">
        <f>I231/I229*100</f>
        <v>25</v>
      </c>
      <c r="J232" s="94"/>
      <c r="K232" s="28"/>
      <c r="L232" s="21"/>
    </row>
    <row r="233" spans="1:12" hidden="1" x14ac:dyDescent="0.25">
      <c r="A233" s="1779"/>
      <c r="B233" s="1393"/>
      <c r="C233" s="1403" t="s">
        <v>399</v>
      </c>
      <c r="D233" s="144" t="s">
        <v>251</v>
      </c>
      <c r="E233" s="94"/>
      <c r="F233" s="80">
        <v>1985</v>
      </c>
      <c r="G233" s="80"/>
      <c r="H233" s="80"/>
      <c r="I233" s="80">
        <v>3135</v>
      </c>
      <c r="J233" s="94"/>
      <c r="K233" s="28"/>
      <c r="L233" s="21"/>
    </row>
    <row r="234" spans="1:12" ht="14.85" hidden="1" customHeight="1" x14ac:dyDescent="0.25">
      <c r="A234" s="1779"/>
      <c r="B234" s="1393"/>
      <c r="C234" s="1403"/>
      <c r="D234" s="28" t="s">
        <v>257</v>
      </c>
      <c r="E234" s="94"/>
      <c r="F234" s="80">
        <v>1880</v>
      </c>
      <c r="G234" s="80"/>
      <c r="H234" s="80"/>
      <c r="I234" s="80">
        <v>3021</v>
      </c>
      <c r="J234" s="94"/>
      <c r="K234" s="28"/>
      <c r="L234" s="21"/>
    </row>
    <row r="235" spans="1:12" hidden="1" x14ac:dyDescent="0.25">
      <c r="A235" s="1779"/>
      <c r="B235" s="1393"/>
      <c r="C235" s="1403"/>
      <c r="D235" s="28" t="s">
        <v>263</v>
      </c>
      <c r="E235" s="94"/>
      <c r="F235" s="80">
        <v>105</v>
      </c>
      <c r="G235" s="80"/>
      <c r="H235" s="80"/>
      <c r="I235" s="80">
        <v>120</v>
      </c>
      <c r="J235" s="94"/>
      <c r="K235" s="28"/>
      <c r="L235" s="21"/>
    </row>
    <row r="236" spans="1:12" hidden="1" x14ac:dyDescent="0.25">
      <c r="A236" s="1779"/>
      <c r="B236" s="1393"/>
      <c r="C236" s="1403"/>
      <c r="D236" s="28" t="s">
        <v>357</v>
      </c>
      <c r="E236" s="94"/>
      <c r="F236" s="97">
        <f>(F235/F233)*100</f>
        <v>5.2896725440806041</v>
      </c>
      <c r="G236" s="94"/>
      <c r="H236" s="94"/>
      <c r="I236" s="97">
        <f>I235/I233*100</f>
        <v>3.8277511961722488</v>
      </c>
      <c r="J236" s="94"/>
      <c r="K236" s="28"/>
      <c r="L236" s="21"/>
    </row>
    <row r="237" spans="1:12" hidden="1" x14ac:dyDescent="0.25">
      <c r="A237" s="1779"/>
      <c r="B237" s="1393"/>
      <c r="C237" s="1403" t="s">
        <v>400</v>
      </c>
      <c r="D237" s="144" t="s">
        <v>251</v>
      </c>
      <c r="E237" s="94"/>
      <c r="F237" s="80">
        <v>1880</v>
      </c>
      <c r="G237" s="80"/>
      <c r="H237" s="80"/>
      <c r="I237" s="80">
        <v>1155</v>
      </c>
      <c r="J237" s="94"/>
      <c r="K237" s="28"/>
      <c r="L237" s="21"/>
    </row>
    <row r="238" spans="1:12" hidden="1" x14ac:dyDescent="0.25">
      <c r="A238" s="1779"/>
      <c r="B238" s="1393"/>
      <c r="C238" s="1403"/>
      <c r="D238" s="28" t="s">
        <v>257</v>
      </c>
      <c r="E238" s="94"/>
      <c r="F238" s="80">
        <v>1690</v>
      </c>
      <c r="G238" s="80"/>
      <c r="H238" s="80"/>
      <c r="I238" s="80">
        <v>1095</v>
      </c>
      <c r="J238" s="94"/>
      <c r="K238" s="28"/>
      <c r="L238" s="21"/>
    </row>
    <row r="239" spans="1:12" hidden="1" x14ac:dyDescent="0.25">
      <c r="A239" s="1779"/>
      <c r="B239" s="1393"/>
      <c r="C239" s="1403"/>
      <c r="D239" s="28" t="s">
        <v>263</v>
      </c>
      <c r="E239" s="94"/>
      <c r="F239" s="80">
        <v>190</v>
      </c>
      <c r="G239" s="80"/>
      <c r="H239" s="80"/>
      <c r="I239" s="80">
        <v>60</v>
      </c>
      <c r="J239" s="94"/>
      <c r="K239" s="28"/>
      <c r="L239" s="21"/>
    </row>
    <row r="240" spans="1:12" hidden="1" x14ac:dyDescent="0.25">
      <c r="A240" s="1779"/>
      <c r="B240" s="1393"/>
      <c r="C240" s="1403"/>
      <c r="D240" s="28" t="s">
        <v>357</v>
      </c>
      <c r="E240" s="94"/>
      <c r="F240" s="97">
        <f>(F239/F237)*100</f>
        <v>10.106382978723403</v>
      </c>
      <c r="G240" s="94"/>
      <c r="H240" s="94"/>
      <c r="I240" s="97">
        <f>I239/I237*100</f>
        <v>5.1948051948051948</v>
      </c>
      <c r="J240" s="94"/>
      <c r="K240" s="28"/>
      <c r="L240" s="21"/>
    </row>
    <row r="241" spans="1:12" ht="14.85" hidden="1" customHeight="1" x14ac:dyDescent="0.25">
      <c r="A241" s="1779"/>
      <c r="B241" s="1393"/>
      <c r="C241" s="1403" t="s">
        <v>401</v>
      </c>
      <c r="D241" s="144" t="s">
        <v>251</v>
      </c>
      <c r="E241" s="94"/>
      <c r="F241" s="80">
        <v>1170</v>
      </c>
      <c r="G241" s="80"/>
      <c r="H241" s="80"/>
      <c r="I241" s="80">
        <v>564</v>
      </c>
      <c r="J241" s="94"/>
      <c r="K241" s="28"/>
      <c r="L241" s="21"/>
    </row>
    <row r="242" spans="1:12" hidden="1" x14ac:dyDescent="0.25">
      <c r="A242" s="1779"/>
      <c r="B242" s="1393"/>
      <c r="C242" s="1403"/>
      <c r="D242" s="28" t="s">
        <v>257</v>
      </c>
      <c r="E242" s="94"/>
      <c r="F242" s="80">
        <v>1045</v>
      </c>
      <c r="G242" s="80"/>
      <c r="H242" s="80"/>
      <c r="I242" s="80">
        <v>543</v>
      </c>
      <c r="J242" s="94"/>
      <c r="K242" s="28"/>
      <c r="L242" s="21"/>
    </row>
    <row r="243" spans="1:12" hidden="1" x14ac:dyDescent="0.25">
      <c r="A243" s="1779"/>
      <c r="B243" s="1393"/>
      <c r="C243" s="1403"/>
      <c r="D243" s="28" t="s">
        <v>263</v>
      </c>
      <c r="E243" s="94"/>
      <c r="F243" s="80">
        <v>125</v>
      </c>
      <c r="G243" s="80"/>
      <c r="H243" s="80"/>
      <c r="I243" s="80">
        <v>24</v>
      </c>
      <c r="J243" s="94"/>
      <c r="K243" s="28"/>
      <c r="L243" s="21"/>
    </row>
    <row r="244" spans="1:12" hidden="1" x14ac:dyDescent="0.25">
      <c r="A244" s="1779"/>
      <c r="B244" s="1393"/>
      <c r="C244" s="1403"/>
      <c r="D244" s="28" t="s">
        <v>357</v>
      </c>
      <c r="E244" s="94"/>
      <c r="F244" s="97">
        <f>(F243/F241)*100</f>
        <v>10.683760683760683</v>
      </c>
      <c r="G244" s="94"/>
      <c r="H244" s="94"/>
      <c r="I244" s="97">
        <f>I243/I241*100</f>
        <v>4.2553191489361701</v>
      </c>
      <c r="J244" s="94"/>
      <c r="K244" s="28"/>
      <c r="L244" s="21"/>
    </row>
    <row r="245" spans="1:12" hidden="1" x14ac:dyDescent="0.25">
      <c r="A245" s="1779"/>
      <c r="B245" s="1393"/>
      <c r="C245" s="1403" t="s">
        <v>402</v>
      </c>
      <c r="D245" s="144" t="s">
        <v>251</v>
      </c>
      <c r="E245" s="94"/>
      <c r="F245" s="80">
        <v>1010</v>
      </c>
      <c r="G245" s="80"/>
      <c r="H245" s="80"/>
      <c r="I245" s="80">
        <v>942</v>
      </c>
      <c r="J245" s="94"/>
      <c r="K245" s="28"/>
      <c r="L245" s="21"/>
    </row>
    <row r="246" spans="1:12" hidden="1" x14ac:dyDescent="0.25">
      <c r="A246" s="1779"/>
      <c r="B246" s="1393"/>
      <c r="C246" s="1403"/>
      <c r="D246" s="28" t="s">
        <v>257</v>
      </c>
      <c r="E246" s="94"/>
      <c r="F246" s="80">
        <v>930</v>
      </c>
      <c r="G246" s="80"/>
      <c r="H246" s="80"/>
      <c r="I246" s="80">
        <v>885</v>
      </c>
      <c r="J246" s="94"/>
      <c r="K246" s="28"/>
      <c r="L246" s="21"/>
    </row>
    <row r="247" spans="1:12" hidden="1" x14ac:dyDescent="0.25">
      <c r="A247" s="1779"/>
      <c r="B247" s="1393"/>
      <c r="C247" s="1403"/>
      <c r="D247" s="28" t="s">
        <v>263</v>
      </c>
      <c r="E247" s="94"/>
      <c r="F247" s="80">
        <v>80</v>
      </c>
      <c r="G247" s="80"/>
      <c r="H247" s="80"/>
      <c r="I247" s="80">
        <v>57</v>
      </c>
      <c r="J247" s="94"/>
      <c r="K247" s="28"/>
      <c r="L247" s="21"/>
    </row>
    <row r="248" spans="1:12" hidden="1" x14ac:dyDescent="0.25">
      <c r="A248" s="1779"/>
      <c r="B248" s="1393"/>
      <c r="C248" s="1403"/>
      <c r="D248" s="28" t="s">
        <v>357</v>
      </c>
      <c r="E248" s="94"/>
      <c r="F248" s="97">
        <f>(F247/F245)*100</f>
        <v>7.9207920792079207</v>
      </c>
      <c r="G248" s="94"/>
      <c r="H248" s="94"/>
      <c r="I248" s="97">
        <f>I247/I245*100</f>
        <v>6.0509554140127388</v>
      </c>
      <c r="J248" s="94"/>
      <c r="K248" s="28"/>
      <c r="L248" s="21"/>
    </row>
    <row r="249" spans="1:12" hidden="1" x14ac:dyDescent="0.25">
      <c r="A249" s="1779"/>
      <c r="B249" s="1393"/>
      <c r="C249" s="1403" t="s">
        <v>403</v>
      </c>
      <c r="D249" s="144" t="s">
        <v>251</v>
      </c>
      <c r="E249" s="94"/>
      <c r="F249" s="80">
        <v>1370</v>
      </c>
      <c r="G249" s="80"/>
      <c r="H249" s="80"/>
      <c r="I249" s="80">
        <v>1386</v>
      </c>
      <c r="J249" s="94"/>
      <c r="K249" s="28"/>
      <c r="L249" s="21"/>
    </row>
    <row r="250" spans="1:12" hidden="1" x14ac:dyDescent="0.25">
      <c r="A250" s="1779"/>
      <c r="B250" s="1393"/>
      <c r="C250" s="1403"/>
      <c r="D250" s="28" t="s">
        <v>257</v>
      </c>
      <c r="E250" s="94"/>
      <c r="F250" s="80">
        <v>1335</v>
      </c>
      <c r="G250" s="80"/>
      <c r="H250" s="80"/>
      <c r="I250" s="80">
        <v>1308</v>
      </c>
      <c r="J250" s="94"/>
      <c r="K250" s="28"/>
      <c r="L250" s="21"/>
    </row>
    <row r="251" spans="1:12" hidden="1" x14ac:dyDescent="0.25">
      <c r="A251" s="1779"/>
      <c r="B251" s="1393"/>
      <c r="C251" s="1403"/>
      <c r="D251" s="28" t="s">
        <v>263</v>
      </c>
      <c r="E251" s="94"/>
      <c r="F251" s="80">
        <v>35</v>
      </c>
      <c r="G251" s="80"/>
      <c r="H251" s="80"/>
      <c r="I251" s="80">
        <v>75</v>
      </c>
      <c r="J251" s="94"/>
      <c r="K251" s="28"/>
      <c r="L251" s="21"/>
    </row>
    <row r="252" spans="1:12" hidden="1" x14ac:dyDescent="0.25">
      <c r="A252" s="1779"/>
      <c r="B252" s="1393"/>
      <c r="C252" s="1403"/>
      <c r="D252" s="28" t="s">
        <v>357</v>
      </c>
      <c r="E252" s="94"/>
      <c r="F252" s="97">
        <f>(F251/F249)*100</f>
        <v>2.5547445255474455</v>
      </c>
      <c r="G252" s="94"/>
      <c r="H252" s="94"/>
      <c r="I252" s="97">
        <f>I251/I249*100</f>
        <v>5.4112554112554108</v>
      </c>
      <c r="J252" s="94"/>
      <c r="K252" s="28"/>
      <c r="L252" s="21"/>
    </row>
    <row r="253" spans="1:12" hidden="1" x14ac:dyDescent="0.25">
      <c r="A253" s="1779"/>
      <c r="B253" s="1393"/>
      <c r="C253" s="1403" t="s">
        <v>404</v>
      </c>
      <c r="D253" s="144" t="s">
        <v>251</v>
      </c>
      <c r="E253" s="94"/>
      <c r="F253" s="80">
        <v>715</v>
      </c>
      <c r="G253" s="80"/>
      <c r="H253" s="80"/>
      <c r="I253" s="80">
        <v>348</v>
      </c>
      <c r="J253" s="94"/>
      <c r="K253" s="28"/>
      <c r="L253" s="21"/>
    </row>
    <row r="254" spans="1:12" ht="14.85" hidden="1" customHeight="1" x14ac:dyDescent="0.25">
      <c r="A254" s="1779"/>
      <c r="B254" s="1393"/>
      <c r="C254" s="1403"/>
      <c r="D254" s="28" t="s">
        <v>257</v>
      </c>
      <c r="E254" s="94"/>
      <c r="F254" s="80">
        <v>590</v>
      </c>
      <c r="G254" s="80"/>
      <c r="H254" s="80"/>
      <c r="I254" s="80">
        <v>264</v>
      </c>
      <c r="J254" s="94"/>
      <c r="K254" s="28"/>
      <c r="L254" s="21"/>
    </row>
    <row r="255" spans="1:12" hidden="1" x14ac:dyDescent="0.25">
      <c r="A255" s="1779"/>
      <c r="B255" s="1393"/>
      <c r="C255" s="1403"/>
      <c r="D255" s="28" t="s">
        <v>263</v>
      </c>
      <c r="E255" s="94"/>
      <c r="F255" s="80">
        <v>125</v>
      </c>
      <c r="G255" s="80"/>
      <c r="H255" s="80"/>
      <c r="I255" s="80">
        <v>87</v>
      </c>
      <c r="J255" s="94"/>
      <c r="K255" s="28"/>
      <c r="L255" s="21"/>
    </row>
    <row r="256" spans="1:12" hidden="1" x14ac:dyDescent="0.25">
      <c r="A256" s="1779"/>
      <c r="B256" s="1393"/>
      <c r="C256" s="1403"/>
      <c r="D256" s="28" t="s">
        <v>357</v>
      </c>
      <c r="E256" s="94"/>
      <c r="F256" s="97">
        <f>(F255/F253)*100</f>
        <v>17.482517482517483</v>
      </c>
      <c r="G256" s="94"/>
      <c r="H256" s="94"/>
      <c r="I256" s="97">
        <f>I255/I253*100</f>
        <v>25</v>
      </c>
      <c r="J256" s="94"/>
      <c r="K256" s="28"/>
      <c r="L256" s="21"/>
    </row>
    <row r="257" spans="1:12" hidden="1" x14ac:dyDescent="0.25">
      <c r="A257" s="1779"/>
      <c r="B257" s="1393"/>
      <c r="C257" s="1403" t="s">
        <v>405</v>
      </c>
      <c r="D257" s="144" t="s">
        <v>251</v>
      </c>
      <c r="E257" s="94"/>
      <c r="F257" s="80">
        <v>435</v>
      </c>
      <c r="G257" s="80"/>
      <c r="H257" s="80"/>
      <c r="I257" s="80">
        <v>306</v>
      </c>
      <c r="J257" s="94"/>
      <c r="K257" s="28"/>
      <c r="L257" s="21"/>
    </row>
    <row r="258" spans="1:12" hidden="1" x14ac:dyDescent="0.25">
      <c r="A258" s="1779"/>
      <c r="B258" s="1393"/>
      <c r="C258" s="1403"/>
      <c r="D258" s="28" t="s">
        <v>257</v>
      </c>
      <c r="E258" s="94"/>
      <c r="F258" s="80">
        <v>325</v>
      </c>
      <c r="G258" s="80"/>
      <c r="H258" s="80"/>
      <c r="I258" s="80">
        <v>213</v>
      </c>
      <c r="J258" s="94"/>
      <c r="K258" s="28"/>
      <c r="L258" s="21"/>
    </row>
    <row r="259" spans="1:12" hidden="1" x14ac:dyDescent="0.25">
      <c r="A259" s="1779"/>
      <c r="B259" s="1393"/>
      <c r="C259" s="1403"/>
      <c r="D259" s="28" t="s">
        <v>263</v>
      </c>
      <c r="E259" s="94"/>
      <c r="F259" s="80">
        <v>110</v>
      </c>
      <c r="G259" s="80"/>
      <c r="H259" s="80"/>
      <c r="I259" s="80">
        <v>93</v>
      </c>
      <c r="J259" s="94"/>
      <c r="K259" s="28"/>
      <c r="L259" s="21"/>
    </row>
    <row r="260" spans="1:12" hidden="1" x14ac:dyDescent="0.25">
      <c r="A260" s="1779"/>
      <c r="B260" s="1393"/>
      <c r="C260" s="1403"/>
      <c r="D260" s="28" t="s">
        <v>357</v>
      </c>
      <c r="E260" s="94"/>
      <c r="F260" s="97">
        <f>(F259/F257)*100</f>
        <v>25.287356321839084</v>
      </c>
      <c r="G260" s="94"/>
      <c r="H260" s="94"/>
      <c r="I260" s="97">
        <f>I259/I257*100</f>
        <v>30.392156862745097</v>
      </c>
      <c r="J260" s="94"/>
      <c r="K260" s="28"/>
      <c r="L260" s="21"/>
    </row>
    <row r="261" spans="1:12" hidden="1" x14ac:dyDescent="0.25">
      <c r="A261" s="1779"/>
      <c r="B261" s="1393"/>
      <c r="C261" s="1403" t="s">
        <v>406</v>
      </c>
      <c r="D261" s="144" t="s">
        <v>251</v>
      </c>
      <c r="E261" s="94"/>
      <c r="F261" s="80">
        <v>455</v>
      </c>
      <c r="G261" s="80"/>
      <c r="H261" s="80"/>
      <c r="I261" s="80">
        <v>660</v>
      </c>
      <c r="J261" s="94"/>
      <c r="K261" s="28"/>
      <c r="L261" s="21"/>
    </row>
    <row r="262" spans="1:12" hidden="1" x14ac:dyDescent="0.25">
      <c r="A262" s="1779"/>
      <c r="B262" s="1393"/>
      <c r="C262" s="1403"/>
      <c r="D262" s="28" t="s">
        <v>257</v>
      </c>
      <c r="E262" s="94"/>
      <c r="F262" s="80">
        <v>235</v>
      </c>
      <c r="G262" s="80"/>
      <c r="H262" s="80"/>
      <c r="I262" s="80">
        <v>462</v>
      </c>
      <c r="J262" s="94"/>
      <c r="K262" s="28"/>
      <c r="L262" s="21"/>
    </row>
    <row r="263" spans="1:12" hidden="1" x14ac:dyDescent="0.25">
      <c r="A263" s="1779"/>
      <c r="B263" s="1393"/>
      <c r="C263" s="1403"/>
      <c r="D263" s="28" t="s">
        <v>263</v>
      </c>
      <c r="E263" s="94"/>
      <c r="F263" s="80">
        <v>220</v>
      </c>
      <c r="G263" s="80"/>
      <c r="H263" s="80"/>
      <c r="I263" s="80">
        <v>198</v>
      </c>
      <c r="J263" s="94"/>
      <c r="K263" s="28"/>
      <c r="L263" s="21"/>
    </row>
    <row r="264" spans="1:12" hidden="1" x14ac:dyDescent="0.25">
      <c r="A264" s="1779"/>
      <c r="B264" s="1393"/>
      <c r="C264" s="1403"/>
      <c r="D264" s="28" t="s">
        <v>357</v>
      </c>
      <c r="E264" s="94"/>
      <c r="F264" s="98">
        <f>(F263/F261)*100</f>
        <v>48.35164835164835</v>
      </c>
      <c r="G264" s="94"/>
      <c r="H264" s="94"/>
      <c r="I264" s="97">
        <f>I263/I261*100</f>
        <v>30</v>
      </c>
      <c r="J264" s="94"/>
      <c r="K264" s="28"/>
      <c r="L264" s="21"/>
    </row>
    <row r="265" spans="1:12" hidden="1" x14ac:dyDescent="0.25">
      <c r="A265" s="1779"/>
      <c r="B265" s="1393"/>
      <c r="C265" s="1403" t="s">
        <v>407</v>
      </c>
      <c r="D265" s="144" t="s">
        <v>251</v>
      </c>
      <c r="E265" s="94"/>
      <c r="F265" s="80">
        <v>840</v>
      </c>
      <c r="G265" s="80"/>
      <c r="H265" s="80"/>
      <c r="I265" s="80">
        <v>468</v>
      </c>
      <c r="J265" s="94"/>
      <c r="K265" s="28"/>
      <c r="L265" s="21"/>
    </row>
    <row r="266" spans="1:12" hidden="1" x14ac:dyDescent="0.25">
      <c r="A266" s="1779"/>
      <c r="B266" s="1393"/>
      <c r="C266" s="1403"/>
      <c r="D266" s="28" t="s">
        <v>257</v>
      </c>
      <c r="E266" s="94"/>
      <c r="F266" s="80">
        <v>580</v>
      </c>
      <c r="G266" s="80"/>
      <c r="H266" s="80"/>
      <c r="I266" s="80">
        <v>339</v>
      </c>
      <c r="J266" s="94"/>
      <c r="K266" s="28"/>
      <c r="L266" s="21"/>
    </row>
    <row r="267" spans="1:12" hidden="1" x14ac:dyDescent="0.25">
      <c r="A267" s="1779"/>
      <c r="B267" s="1393"/>
      <c r="C267" s="1403"/>
      <c r="D267" s="28" t="s">
        <v>263</v>
      </c>
      <c r="E267" s="94"/>
      <c r="F267" s="80">
        <v>260</v>
      </c>
      <c r="G267" s="80"/>
      <c r="H267" s="80"/>
      <c r="I267" s="80">
        <v>132</v>
      </c>
      <c r="J267" s="94"/>
      <c r="K267" s="28"/>
      <c r="L267" s="21"/>
    </row>
    <row r="268" spans="1:12" hidden="1" x14ac:dyDescent="0.25">
      <c r="A268" s="1779"/>
      <c r="B268" s="1393"/>
      <c r="C268" s="1403"/>
      <c r="D268" s="28" t="s">
        <v>357</v>
      </c>
      <c r="E268" s="94"/>
      <c r="F268" s="97">
        <f>(F267/F265)*100</f>
        <v>30.952380952380953</v>
      </c>
      <c r="G268" s="94"/>
      <c r="H268" s="94"/>
      <c r="I268" s="97">
        <f>I267/I265*100</f>
        <v>28.205128205128204</v>
      </c>
      <c r="J268" s="94"/>
      <c r="K268" s="28"/>
      <c r="L268" s="21"/>
    </row>
    <row r="269" spans="1:12" hidden="1" x14ac:dyDescent="0.25">
      <c r="A269" s="1779"/>
      <c r="B269" s="1393"/>
      <c r="C269" s="1403" t="s">
        <v>408</v>
      </c>
      <c r="D269" s="144" t="s">
        <v>251</v>
      </c>
      <c r="E269" s="94"/>
      <c r="F269" s="80">
        <v>195</v>
      </c>
      <c r="G269" s="80"/>
      <c r="H269" s="80"/>
      <c r="I269" s="80">
        <v>300</v>
      </c>
      <c r="J269" s="94"/>
      <c r="K269" s="28"/>
      <c r="L269" s="21"/>
    </row>
    <row r="270" spans="1:12" hidden="1" x14ac:dyDescent="0.25">
      <c r="A270" s="1779"/>
      <c r="B270" s="1393"/>
      <c r="C270" s="1403"/>
      <c r="D270" s="28" t="s">
        <v>257</v>
      </c>
      <c r="E270" s="94"/>
      <c r="F270" s="80">
        <v>185</v>
      </c>
      <c r="G270" s="80"/>
      <c r="H270" s="80"/>
      <c r="I270" s="80">
        <v>255</v>
      </c>
      <c r="J270" s="94"/>
      <c r="K270" s="28"/>
      <c r="L270" s="21"/>
    </row>
    <row r="271" spans="1:12" hidden="1" x14ac:dyDescent="0.25">
      <c r="A271" s="1779"/>
      <c r="B271" s="1393"/>
      <c r="C271" s="1403"/>
      <c r="D271" s="28" t="s">
        <v>263</v>
      </c>
      <c r="E271" s="94"/>
      <c r="F271" s="80">
        <v>10</v>
      </c>
      <c r="G271" s="80"/>
      <c r="H271" s="80"/>
      <c r="I271" s="80">
        <v>48</v>
      </c>
      <c r="J271" s="94"/>
      <c r="K271" s="28"/>
      <c r="L271" s="21"/>
    </row>
    <row r="272" spans="1:12" hidden="1" x14ac:dyDescent="0.25">
      <c r="A272" s="1779"/>
      <c r="B272" s="1393"/>
      <c r="C272" s="1403"/>
      <c r="D272" s="28" t="s">
        <v>357</v>
      </c>
      <c r="E272" s="94"/>
      <c r="F272" s="97">
        <f>(F271/F269)*100</f>
        <v>5.1282051282051277</v>
      </c>
      <c r="G272" s="94"/>
      <c r="H272" s="94"/>
      <c r="I272" s="97">
        <f>I271/I269*100</f>
        <v>16</v>
      </c>
      <c r="J272" s="94"/>
      <c r="K272" s="28"/>
      <c r="L272" s="21"/>
    </row>
    <row r="273" spans="1:12" ht="14.85" hidden="1" customHeight="1" x14ac:dyDescent="0.25">
      <c r="A273" s="1779"/>
      <c r="B273" s="1393"/>
      <c r="C273" s="1403" t="s">
        <v>409</v>
      </c>
      <c r="D273" s="144" t="s">
        <v>251</v>
      </c>
      <c r="E273" s="94"/>
      <c r="F273" s="80">
        <v>610</v>
      </c>
      <c r="G273" s="80"/>
      <c r="H273" s="80"/>
      <c r="I273" s="80">
        <v>309</v>
      </c>
      <c r="J273" s="94"/>
      <c r="K273" s="28"/>
      <c r="L273" s="21"/>
    </row>
    <row r="274" spans="1:12" ht="14.85" hidden="1" customHeight="1" x14ac:dyDescent="0.25">
      <c r="A274" s="1779"/>
      <c r="B274" s="1393"/>
      <c r="C274" s="1403"/>
      <c r="D274" s="28" t="s">
        <v>257</v>
      </c>
      <c r="E274" s="94"/>
      <c r="F274" s="80">
        <v>520</v>
      </c>
      <c r="G274" s="80"/>
      <c r="H274" s="80"/>
      <c r="I274" s="80">
        <v>288</v>
      </c>
      <c r="J274" s="94"/>
      <c r="K274" s="28"/>
      <c r="L274" s="21"/>
    </row>
    <row r="275" spans="1:12" hidden="1" x14ac:dyDescent="0.25">
      <c r="A275" s="1779"/>
      <c r="B275" s="1393"/>
      <c r="C275" s="1403"/>
      <c r="D275" s="28" t="s">
        <v>263</v>
      </c>
      <c r="E275" s="94"/>
      <c r="F275" s="80">
        <v>95</v>
      </c>
      <c r="G275" s="80"/>
      <c r="H275" s="80"/>
      <c r="I275" s="80">
        <v>21</v>
      </c>
      <c r="J275" s="94"/>
      <c r="K275" s="28"/>
      <c r="L275" s="21"/>
    </row>
    <row r="276" spans="1:12" hidden="1" x14ac:dyDescent="0.25">
      <c r="A276" s="1779"/>
      <c r="B276" s="1393"/>
      <c r="C276" s="1403"/>
      <c r="D276" s="28" t="s">
        <v>357</v>
      </c>
      <c r="E276" s="94"/>
      <c r="F276" s="97">
        <f>(F275/F273)*100</f>
        <v>15.573770491803279</v>
      </c>
      <c r="G276" s="94"/>
      <c r="H276" s="94"/>
      <c r="I276" s="97">
        <f>I275/I273*100</f>
        <v>6.7961165048543686</v>
      </c>
      <c r="J276" s="94"/>
      <c r="K276" s="28"/>
      <c r="L276" s="21"/>
    </row>
    <row r="277" spans="1:12" hidden="1" x14ac:dyDescent="0.25">
      <c r="A277" s="1779"/>
      <c r="B277" s="1393"/>
      <c r="C277" s="1403" t="s">
        <v>410</v>
      </c>
      <c r="D277" s="144" t="s">
        <v>251</v>
      </c>
      <c r="E277" s="94"/>
      <c r="F277" s="80">
        <v>3430</v>
      </c>
      <c r="G277" s="80"/>
      <c r="H277" s="80"/>
      <c r="I277" s="80">
        <v>4143</v>
      </c>
      <c r="J277" s="94"/>
      <c r="K277" s="28"/>
      <c r="L277" s="21"/>
    </row>
    <row r="278" spans="1:12" hidden="1" x14ac:dyDescent="0.25">
      <c r="A278" s="1779"/>
      <c r="B278" s="1393"/>
      <c r="C278" s="1403"/>
      <c r="D278" s="28" t="s">
        <v>257</v>
      </c>
      <c r="E278" s="94"/>
      <c r="F278" s="80">
        <v>3085</v>
      </c>
      <c r="G278" s="80"/>
      <c r="H278" s="80"/>
      <c r="I278" s="80">
        <v>3852</v>
      </c>
      <c r="J278" s="94"/>
      <c r="K278" s="28"/>
      <c r="L278" s="21"/>
    </row>
    <row r="279" spans="1:12" hidden="1" x14ac:dyDescent="0.25">
      <c r="A279" s="1779"/>
      <c r="B279" s="1393"/>
      <c r="C279" s="1403"/>
      <c r="D279" s="28" t="s">
        <v>263</v>
      </c>
      <c r="E279" s="94"/>
      <c r="F279" s="80">
        <v>345</v>
      </c>
      <c r="G279" s="80"/>
      <c r="H279" s="80"/>
      <c r="I279" s="80">
        <v>288</v>
      </c>
      <c r="J279" s="94"/>
      <c r="K279" s="28"/>
      <c r="L279" s="21"/>
    </row>
    <row r="280" spans="1:12" hidden="1" x14ac:dyDescent="0.25">
      <c r="A280" s="1779"/>
      <c r="B280" s="1393"/>
      <c r="C280" s="1403"/>
      <c r="D280" s="28" t="s">
        <v>357</v>
      </c>
      <c r="E280" s="94"/>
      <c r="F280" s="97">
        <f>(F279/F277)*100</f>
        <v>10.058309037900875</v>
      </c>
      <c r="G280" s="94"/>
      <c r="H280" s="94"/>
      <c r="I280" s="97">
        <f>I279/I277*100</f>
        <v>6.9514844315713251</v>
      </c>
      <c r="J280" s="94"/>
      <c r="K280" s="28"/>
      <c r="L280" s="21"/>
    </row>
    <row r="281" spans="1:12" hidden="1" x14ac:dyDescent="0.25">
      <c r="A281" s="1779"/>
      <c r="B281" s="1393"/>
      <c r="C281" s="1403" t="s">
        <v>411</v>
      </c>
      <c r="D281" s="144" t="s">
        <v>251</v>
      </c>
      <c r="E281" s="94"/>
      <c r="F281" s="80">
        <v>4570</v>
      </c>
      <c r="G281" s="80"/>
      <c r="H281" s="80"/>
      <c r="I281" s="80">
        <v>6186</v>
      </c>
      <c r="J281" s="94"/>
      <c r="K281" s="28"/>
      <c r="L281" s="21"/>
    </row>
    <row r="282" spans="1:12" hidden="1" x14ac:dyDescent="0.25">
      <c r="A282" s="1779"/>
      <c r="B282" s="1393"/>
      <c r="C282" s="1403"/>
      <c r="D282" s="28" t="s">
        <v>257</v>
      </c>
      <c r="E282" s="94"/>
      <c r="F282" s="80">
        <v>180</v>
      </c>
      <c r="G282" s="80"/>
      <c r="H282" s="80"/>
      <c r="I282" s="80">
        <v>198</v>
      </c>
      <c r="J282" s="94"/>
      <c r="K282" s="28"/>
      <c r="L282" s="21"/>
    </row>
    <row r="283" spans="1:12" hidden="1" x14ac:dyDescent="0.25">
      <c r="A283" s="1779"/>
      <c r="B283" s="1393"/>
      <c r="C283" s="1403"/>
      <c r="D283" s="28" t="s">
        <v>263</v>
      </c>
      <c r="E283" s="94"/>
      <c r="F283" s="80">
        <v>4390</v>
      </c>
      <c r="G283" s="80"/>
      <c r="H283" s="80"/>
      <c r="I283" s="80">
        <v>5988</v>
      </c>
      <c r="J283" s="94"/>
      <c r="K283" s="28"/>
      <c r="L283" s="21"/>
    </row>
    <row r="284" spans="1:12" hidden="1" x14ac:dyDescent="0.25">
      <c r="A284" s="1779"/>
      <c r="B284" s="1393"/>
      <c r="C284" s="1403"/>
      <c r="D284" s="28" t="s">
        <v>357</v>
      </c>
      <c r="E284" s="94"/>
      <c r="F284" s="99">
        <f>(F283/F281)*100</f>
        <v>96.061269146608325</v>
      </c>
      <c r="G284" s="94"/>
      <c r="H284" s="94"/>
      <c r="I284" s="99">
        <f>I283/I281*100</f>
        <v>96.799224054316198</v>
      </c>
      <c r="J284" s="94"/>
      <c r="K284" s="28"/>
      <c r="L284" s="21"/>
    </row>
    <row r="285" spans="1:12" hidden="1" x14ac:dyDescent="0.25">
      <c r="A285" s="1779"/>
      <c r="B285" s="1393"/>
      <c r="C285" s="1403" t="s">
        <v>412</v>
      </c>
      <c r="D285" s="144" t="s">
        <v>251</v>
      </c>
      <c r="E285" s="94"/>
      <c r="F285" s="80">
        <v>5385</v>
      </c>
      <c r="G285" s="80"/>
      <c r="H285" s="80"/>
      <c r="I285" s="80">
        <v>6258</v>
      </c>
      <c r="J285" s="94"/>
      <c r="K285" s="28"/>
      <c r="L285" s="21"/>
    </row>
    <row r="286" spans="1:12" hidden="1" x14ac:dyDescent="0.25">
      <c r="A286" s="1779"/>
      <c r="B286" s="1393"/>
      <c r="C286" s="1403"/>
      <c r="D286" s="28" t="s">
        <v>257</v>
      </c>
      <c r="E286" s="94"/>
      <c r="F286" s="80">
        <v>1185</v>
      </c>
      <c r="G286" s="80"/>
      <c r="H286" s="80"/>
      <c r="I286" s="80">
        <v>1308</v>
      </c>
      <c r="J286" s="94"/>
      <c r="K286" s="28"/>
      <c r="L286" s="21"/>
    </row>
    <row r="287" spans="1:12" hidden="1" x14ac:dyDescent="0.25">
      <c r="A287" s="1779"/>
      <c r="B287" s="1393"/>
      <c r="C287" s="1403"/>
      <c r="D287" s="28" t="s">
        <v>263</v>
      </c>
      <c r="E287" s="94"/>
      <c r="F287" s="80">
        <v>4200</v>
      </c>
      <c r="G287" s="80"/>
      <c r="H287" s="80"/>
      <c r="I287" s="80">
        <v>4953</v>
      </c>
      <c r="J287" s="94"/>
      <c r="K287" s="28"/>
      <c r="L287" s="21"/>
    </row>
    <row r="288" spans="1:12" hidden="1" x14ac:dyDescent="0.25">
      <c r="A288" s="1779"/>
      <c r="B288" s="1393"/>
      <c r="C288" s="1403"/>
      <c r="D288" s="28" t="s">
        <v>357</v>
      </c>
      <c r="E288" s="94"/>
      <c r="F288" s="99">
        <f>(F287/F285)*100</f>
        <v>77.994428969359333</v>
      </c>
      <c r="G288" s="94"/>
      <c r="H288" s="94"/>
      <c r="I288" s="99">
        <f>I287/I285*100</f>
        <v>79.146692233940556</v>
      </c>
      <c r="J288" s="94"/>
      <c r="K288" s="28"/>
      <c r="L288" s="21"/>
    </row>
    <row r="289" spans="1:12" hidden="1" x14ac:dyDescent="0.25">
      <c r="A289" s="1779"/>
      <c r="B289" s="1393"/>
      <c r="C289" s="1403" t="s">
        <v>413</v>
      </c>
      <c r="D289" s="144" t="s">
        <v>251</v>
      </c>
      <c r="E289" s="94"/>
      <c r="F289" s="80">
        <v>1285</v>
      </c>
      <c r="G289" s="80"/>
      <c r="H289" s="80"/>
      <c r="I289" s="80">
        <v>738</v>
      </c>
      <c r="J289" s="94"/>
      <c r="K289" s="28"/>
      <c r="L289" s="21"/>
    </row>
    <row r="290" spans="1:12" ht="14.85" hidden="1" customHeight="1" x14ac:dyDescent="0.25">
      <c r="A290" s="1779"/>
      <c r="B290" s="1393"/>
      <c r="C290" s="1403"/>
      <c r="D290" s="28" t="s">
        <v>257</v>
      </c>
      <c r="E290" s="94"/>
      <c r="F290" s="80">
        <v>370</v>
      </c>
      <c r="G290" s="80"/>
      <c r="H290" s="80"/>
      <c r="I290" s="80">
        <v>369</v>
      </c>
      <c r="J290" s="94"/>
      <c r="K290" s="28"/>
      <c r="L290" s="21"/>
    </row>
    <row r="291" spans="1:12" hidden="1" x14ac:dyDescent="0.25">
      <c r="A291" s="1779"/>
      <c r="B291" s="1393"/>
      <c r="C291" s="1403"/>
      <c r="D291" s="28" t="s">
        <v>263</v>
      </c>
      <c r="E291" s="94"/>
      <c r="F291" s="80">
        <v>915</v>
      </c>
      <c r="G291" s="80"/>
      <c r="H291" s="80"/>
      <c r="I291" s="80">
        <v>372</v>
      </c>
      <c r="J291" s="94"/>
      <c r="K291" s="28"/>
      <c r="L291" s="21"/>
    </row>
    <row r="292" spans="1:12" hidden="1" x14ac:dyDescent="0.25">
      <c r="A292" s="1779"/>
      <c r="B292" s="1393"/>
      <c r="C292" s="1403"/>
      <c r="D292" s="28" t="s">
        <v>357</v>
      </c>
      <c r="E292" s="94"/>
      <c r="F292" s="99">
        <f>(F291/F289)*100</f>
        <v>71.206225680933855</v>
      </c>
      <c r="G292" s="94"/>
      <c r="H292" s="94"/>
      <c r="I292" s="98">
        <f>I291/I289*100</f>
        <v>50.40650406504065</v>
      </c>
      <c r="J292" s="94"/>
      <c r="K292" s="28"/>
      <c r="L292" s="21"/>
    </row>
    <row r="293" spans="1:12" ht="14.85" hidden="1" customHeight="1" x14ac:dyDescent="0.25">
      <c r="A293" s="1779"/>
      <c r="B293" s="1393"/>
      <c r="C293" s="1403" t="s">
        <v>414</v>
      </c>
      <c r="D293" s="144" t="s">
        <v>251</v>
      </c>
      <c r="E293" s="94"/>
      <c r="F293" s="80">
        <v>1080</v>
      </c>
      <c r="G293" s="80"/>
      <c r="H293" s="80"/>
      <c r="I293" s="80">
        <v>1350</v>
      </c>
      <c r="J293" s="94"/>
      <c r="K293" s="28"/>
      <c r="L293" s="21"/>
    </row>
    <row r="294" spans="1:12" ht="14.85" hidden="1" customHeight="1" x14ac:dyDescent="0.25">
      <c r="A294" s="1779"/>
      <c r="B294" s="1393"/>
      <c r="C294" s="1403"/>
      <c r="D294" s="28" t="s">
        <v>257</v>
      </c>
      <c r="E294" s="94"/>
      <c r="F294" s="80">
        <v>855</v>
      </c>
      <c r="G294" s="80"/>
      <c r="H294" s="80"/>
      <c r="I294" s="80">
        <v>993</v>
      </c>
      <c r="J294" s="94"/>
      <c r="K294" s="28"/>
      <c r="L294" s="21"/>
    </row>
    <row r="295" spans="1:12" hidden="1" x14ac:dyDescent="0.25">
      <c r="A295" s="1779"/>
      <c r="B295" s="1393"/>
      <c r="C295" s="1403"/>
      <c r="D295" s="28" t="s">
        <v>263</v>
      </c>
      <c r="E295" s="94"/>
      <c r="F295" s="80">
        <v>225</v>
      </c>
      <c r="G295" s="80"/>
      <c r="H295" s="80"/>
      <c r="I295" s="80">
        <v>357</v>
      </c>
      <c r="J295" s="94"/>
      <c r="K295" s="28"/>
      <c r="L295" s="21"/>
    </row>
    <row r="296" spans="1:12" hidden="1" x14ac:dyDescent="0.25">
      <c r="A296" s="1779"/>
      <c r="B296" s="1393"/>
      <c r="C296" s="1403"/>
      <c r="D296" s="28" t="s">
        <v>357</v>
      </c>
      <c r="E296" s="94"/>
      <c r="F296" s="97">
        <f>(F295/F293)*100</f>
        <v>20.833333333333336</v>
      </c>
      <c r="G296" s="94"/>
      <c r="H296" s="94"/>
      <c r="I296" s="97">
        <f>I295/I293*100</f>
        <v>26.444444444444443</v>
      </c>
      <c r="J296" s="94"/>
      <c r="K296" s="28"/>
      <c r="L296" s="21"/>
    </row>
    <row r="297" spans="1:12" hidden="1" x14ac:dyDescent="0.25">
      <c r="A297" s="1779"/>
      <c r="B297" s="1393"/>
      <c r="C297" s="1403" t="s">
        <v>415</v>
      </c>
      <c r="D297" s="144" t="s">
        <v>251</v>
      </c>
      <c r="E297" s="94"/>
      <c r="F297" s="80">
        <v>110</v>
      </c>
      <c r="G297" s="80"/>
      <c r="H297" s="80"/>
      <c r="I297" s="80">
        <v>306</v>
      </c>
      <c r="J297" s="94"/>
      <c r="K297" s="28"/>
      <c r="L297" s="21"/>
    </row>
    <row r="298" spans="1:12" hidden="1" x14ac:dyDescent="0.25">
      <c r="A298" s="1779"/>
      <c r="B298" s="1393"/>
      <c r="C298" s="1403"/>
      <c r="D298" s="28" t="s">
        <v>257</v>
      </c>
      <c r="E298" s="94"/>
      <c r="F298" s="80">
        <v>65</v>
      </c>
      <c r="G298" s="80"/>
      <c r="H298" s="80"/>
      <c r="I298" s="80">
        <v>255</v>
      </c>
      <c r="J298" s="94"/>
      <c r="K298" s="28"/>
      <c r="L298" s="21"/>
    </row>
    <row r="299" spans="1:12" hidden="1" x14ac:dyDescent="0.25">
      <c r="A299" s="1779"/>
      <c r="B299" s="1393"/>
      <c r="C299" s="1403"/>
      <c r="D299" s="28" t="s">
        <v>263</v>
      </c>
      <c r="E299" s="94"/>
      <c r="F299" s="80">
        <v>45</v>
      </c>
      <c r="G299" s="80"/>
      <c r="H299" s="80"/>
      <c r="I299" s="80">
        <v>51</v>
      </c>
      <c r="J299" s="94"/>
      <c r="K299" s="28"/>
      <c r="L299" s="21"/>
    </row>
    <row r="300" spans="1:12" hidden="1" x14ac:dyDescent="0.25">
      <c r="A300" s="1779"/>
      <c r="B300" s="1393"/>
      <c r="C300" s="1403"/>
      <c r="D300" s="28" t="s">
        <v>357</v>
      </c>
      <c r="E300" s="94"/>
      <c r="F300" s="98">
        <f>(F299/F297)*100</f>
        <v>40.909090909090914</v>
      </c>
      <c r="G300" s="94"/>
      <c r="H300" s="94"/>
      <c r="I300" s="97">
        <f>I299/I297*100</f>
        <v>16.666666666666664</v>
      </c>
      <c r="J300" s="94"/>
      <c r="K300" s="28"/>
      <c r="L300" s="21"/>
    </row>
    <row r="301" spans="1:12" hidden="1" x14ac:dyDescent="0.25">
      <c r="A301" s="1779"/>
      <c r="B301" s="1393"/>
      <c r="C301" s="1403" t="s">
        <v>416</v>
      </c>
      <c r="D301" s="144" t="s">
        <v>251</v>
      </c>
      <c r="E301" s="94"/>
      <c r="F301" s="80">
        <v>445</v>
      </c>
      <c r="G301" s="80"/>
      <c r="H301" s="80"/>
      <c r="I301" s="80">
        <v>423</v>
      </c>
      <c r="J301" s="94"/>
      <c r="K301" s="28"/>
      <c r="L301" s="21"/>
    </row>
    <row r="302" spans="1:12" hidden="1" x14ac:dyDescent="0.25">
      <c r="A302" s="1779"/>
      <c r="B302" s="1393"/>
      <c r="C302" s="1403"/>
      <c r="D302" s="28" t="s">
        <v>257</v>
      </c>
      <c r="E302" s="94"/>
      <c r="F302" s="80">
        <v>340</v>
      </c>
      <c r="G302" s="80"/>
      <c r="H302" s="80"/>
      <c r="I302" s="80">
        <v>417</v>
      </c>
      <c r="J302" s="94"/>
      <c r="K302" s="28"/>
      <c r="L302" s="21"/>
    </row>
    <row r="303" spans="1:12" hidden="1" x14ac:dyDescent="0.25">
      <c r="A303" s="1779"/>
      <c r="B303" s="1393"/>
      <c r="C303" s="1403"/>
      <c r="D303" s="28" t="s">
        <v>263</v>
      </c>
      <c r="E303" s="94"/>
      <c r="F303" s="80">
        <v>105</v>
      </c>
      <c r="G303" s="80"/>
      <c r="H303" s="80"/>
      <c r="I303" s="80">
        <v>6</v>
      </c>
      <c r="J303" s="94"/>
      <c r="K303" s="28"/>
      <c r="L303" s="21"/>
    </row>
    <row r="304" spans="1:12" hidden="1" x14ac:dyDescent="0.25">
      <c r="A304" s="1779"/>
      <c r="B304" s="1393"/>
      <c r="C304" s="1403"/>
      <c r="D304" s="28" t="s">
        <v>357</v>
      </c>
      <c r="E304" s="94"/>
      <c r="F304" s="97">
        <f>(F303/F301)*100</f>
        <v>23.595505617977526</v>
      </c>
      <c r="G304" s="94"/>
      <c r="H304" s="94"/>
      <c r="I304" s="97">
        <f>I303/I301*100</f>
        <v>1.4184397163120568</v>
      </c>
      <c r="J304" s="94"/>
      <c r="K304" s="28"/>
      <c r="L304" s="21"/>
    </row>
    <row r="305" spans="1:12" hidden="1" x14ac:dyDescent="0.25">
      <c r="A305" s="1779"/>
      <c r="B305" s="1393"/>
      <c r="C305" s="1403" t="s">
        <v>417</v>
      </c>
      <c r="D305" s="144" t="s">
        <v>251</v>
      </c>
      <c r="E305" s="94"/>
      <c r="F305" s="80">
        <v>270</v>
      </c>
      <c r="G305" s="80"/>
      <c r="H305" s="80"/>
      <c r="I305" s="80">
        <v>681</v>
      </c>
      <c r="J305" s="94"/>
      <c r="K305" s="28"/>
      <c r="L305" s="21"/>
    </row>
    <row r="306" spans="1:12" hidden="1" x14ac:dyDescent="0.25">
      <c r="A306" s="1779"/>
      <c r="B306" s="1393"/>
      <c r="C306" s="1403"/>
      <c r="D306" s="28" t="s">
        <v>257</v>
      </c>
      <c r="E306" s="94"/>
      <c r="F306" s="80">
        <v>215</v>
      </c>
      <c r="G306" s="80"/>
      <c r="H306" s="80"/>
      <c r="I306" s="80">
        <v>516</v>
      </c>
      <c r="J306" s="94"/>
      <c r="K306" s="28"/>
      <c r="L306" s="21"/>
    </row>
    <row r="307" spans="1:12" hidden="1" x14ac:dyDescent="0.25">
      <c r="A307" s="1779"/>
      <c r="B307" s="1393"/>
      <c r="C307" s="1403"/>
      <c r="D307" s="28" t="s">
        <v>263</v>
      </c>
      <c r="E307" s="94"/>
      <c r="F307" s="80">
        <v>55</v>
      </c>
      <c r="G307" s="80"/>
      <c r="H307" s="80"/>
      <c r="I307" s="80">
        <v>168</v>
      </c>
      <c r="J307" s="94"/>
      <c r="K307" s="28"/>
      <c r="L307" s="21"/>
    </row>
    <row r="308" spans="1:12" hidden="1" x14ac:dyDescent="0.25">
      <c r="A308" s="1779"/>
      <c r="B308" s="1393"/>
      <c r="C308" s="1403"/>
      <c r="D308" s="28" t="s">
        <v>357</v>
      </c>
      <c r="E308" s="94"/>
      <c r="F308" s="97">
        <f>F307/F305*100</f>
        <v>20.37037037037037</v>
      </c>
      <c r="G308" s="94"/>
      <c r="H308" s="94"/>
      <c r="I308" s="97">
        <f>I307/I305*100</f>
        <v>24.669603524229075</v>
      </c>
      <c r="J308" s="94"/>
      <c r="K308" s="28"/>
      <c r="L308" s="21"/>
    </row>
    <row r="309" spans="1:12" hidden="1" x14ac:dyDescent="0.25">
      <c r="A309" s="1779"/>
      <c r="B309" s="1393"/>
      <c r="C309" s="1403" t="s">
        <v>418</v>
      </c>
      <c r="D309" s="144" t="s">
        <v>251</v>
      </c>
      <c r="E309" s="94"/>
      <c r="F309" s="80">
        <v>980</v>
      </c>
      <c r="G309" s="80"/>
      <c r="H309" s="80"/>
      <c r="I309" s="80">
        <v>1965</v>
      </c>
      <c r="J309" s="94"/>
      <c r="K309" s="28"/>
      <c r="L309" s="21"/>
    </row>
    <row r="310" spans="1:12" hidden="1" x14ac:dyDescent="0.25">
      <c r="A310" s="1779"/>
      <c r="B310" s="1393"/>
      <c r="C310" s="1403"/>
      <c r="D310" s="28" t="s">
        <v>263</v>
      </c>
      <c r="E310" s="94"/>
      <c r="F310" s="80">
        <v>845</v>
      </c>
      <c r="G310" s="80"/>
      <c r="H310" s="80"/>
      <c r="I310" s="80">
        <v>1557</v>
      </c>
      <c r="J310" s="94"/>
      <c r="K310" s="28"/>
      <c r="L310" s="21"/>
    </row>
    <row r="311" spans="1:12" ht="14.85" hidden="1" customHeight="1" x14ac:dyDescent="0.25">
      <c r="A311" s="1779"/>
      <c r="B311" s="1393"/>
      <c r="C311" s="1403"/>
      <c r="D311" s="28" t="s">
        <v>257</v>
      </c>
      <c r="E311" s="94"/>
      <c r="F311" s="80">
        <v>135</v>
      </c>
      <c r="G311" s="80"/>
      <c r="H311" s="80"/>
      <c r="I311" s="80">
        <v>411</v>
      </c>
      <c r="J311" s="94"/>
      <c r="K311" s="28"/>
      <c r="L311" s="21"/>
    </row>
    <row r="312" spans="1:12" hidden="1" x14ac:dyDescent="0.25">
      <c r="A312" s="1779"/>
      <c r="B312" s="1393"/>
      <c r="C312" s="1403"/>
      <c r="D312" s="28" t="s">
        <v>357</v>
      </c>
      <c r="E312" s="94"/>
      <c r="F312" s="97">
        <f>(F311/F309)*100</f>
        <v>13.77551020408163</v>
      </c>
      <c r="G312" s="94"/>
      <c r="H312" s="94"/>
      <c r="I312" s="97">
        <f>I311/I309*100</f>
        <v>20.916030534351147</v>
      </c>
      <c r="J312" s="94"/>
      <c r="K312" s="28"/>
      <c r="L312" s="21"/>
    </row>
    <row r="313" spans="1:12" x14ac:dyDescent="0.25">
      <c r="A313" s="1779"/>
      <c r="B313" s="1393"/>
      <c r="C313" s="1110" t="s">
        <v>419</v>
      </c>
      <c r="D313" s="1110"/>
      <c r="E313" s="94"/>
      <c r="F313" s="100">
        <f>32/60*100</f>
        <v>53.333333333333336</v>
      </c>
      <c r="G313" s="92"/>
      <c r="H313" s="92"/>
      <c r="I313" s="101">
        <f>31/61*100</f>
        <v>50.819672131147541</v>
      </c>
      <c r="J313" s="92"/>
      <c r="K313" s="28"/>
      <c r="L313" s="21"/>
    </row>
    <row r="314" spans="1:12" x14ac:dyDescent="0.25">
      <c r="A314" s="1779"/>
      <c r="B314" s="1393"/>
      <c r="C314" s="1110" t="s">
        <v>420</v>
      </c>
      <c r="D314" s="1110"/>
      <c r="E314" s="94"/>
      <c r="F314" s="102">
        <f>15/60*100</f>
        <v>25</v>
      </c>
      <c r="G314" s="92"/>
      <c r="H314" s="92"/>
      <c r="I314" s="102">
        <f>14/61*100</f>
        <v>22.950819672131146</v>
      </c>
      <c r="J314" s="92"/>
      <c r="K314" s="28"/>
      <c r="L314" s="21"/>
    </row>
    <row r="315" spans="1:12" x14ac:dyDescent="0.25">
      <c r="A315" s="1780"/>
      <c r="B315" s="1394"/>
      <c r="C315" s="1157" t="s">
        <v>421</v>
      </c>
      <c r="D315" s="1157"/>
      <c r="E315" s="126"/>
      <c r="F315" s="127">
        <f>13/60*100</f>
        <v>21.666666666666668</v>
      </c>
      <c r="G315" s="128"/>
      <c r="H315" s="128"/>
      <c r="I315" s="127">
        <f>16/61*100</f>
        <v>26.229508196721312</v>
      </c>
      <c r="J315" s="128"/>
      <c r="K315" s="110"/>
      <c r="L315" s="53"/>
    </row>
    <row r="316" spans="1:12" ht="16.5" thickBot="1" x14ac:dyDescent="0.3">
      <c r="A316" s="338" t="s">
        <v>248</v>
      </c>
      <c r="B316" s="338" t="s">
        <v>249</v>
      </c>
      <c r="C316" s="1433"/>
      <c r="D316" s="1433"/>
      <c r="E316" s="616">
        <v>2005</v>
      </c>
      <c r="F316" s="616">
        <v>2010</v>
      </c>
      <c r="G316" s="616">
        <v>2015</v>
      </c>
      <c r="H316" s="616">
        <v>2020</v>
      </c>
      <c r="I316" s="616">
        <v>2021</v>
      </c>
      <c r="J316" s="616">
        <v>2022</v>
      </c>
      <c r="K316" s="616">
        <v>2023</v>
      </c>
      <c r="L316" s="616">
        <v>2024</v>
      </c>
    </row>
    <row r="317" spans="1:12" ht="15" customHeight="1" x14ac:dyDescent="0.25">
      <c r="A317" s="1725" t="s">
        <v>422</v>
      </c>
      <c r="B317" s="1408" t="s">
        <v>164</v>
      </c>
      <c r="C317" s="1520" t="s">
        <v>424</v>
      </c>
      <c r="D317" s="1520"/>
      <c r="E317" s="40"/>
      <c r="F317" s="37">
        <v>849.25</v>
      </c>
      <c r="G317" s="37">
        <v>961.85</v>
      </c>
      <c r="H317" s="37">
        <v>1077</v>
      </c>
      <c r="I317" s="37">
        <v>1107</v>
      </c>
      <c r="J317" s="37">
        <v>1128</v>
      </c>
      <c r="K317" s="37">
        <v>1269</v>
      </c>
      <c r="L317" s="209">
        <v>1280</v>
      </c>
    </row>
    <row r="318" spans="1:12" x14ac:dyDescent="0.25">
      <c r="A318" s="1726"/>
      <c r="B318" s="1272"/>
      <c r="C318" s="1331" t="s">
        <v>425</v>
      </c>
      <c r="D318" s="1331"/>
      <c r="E318" s="28"/>
      <c r="F318" s="29">
        <v>1108.3900000000001</v>
      </c>
      <c r="G318" s="29">
        <v>1229.71</v>
      </c>
      <c r="H318" s="29">
        <v>1340</v>
      </c>
      <c r="I318" s="29">
        <v>1380</v>
      </c>
      <c r="J318" s="29">
        <v>1404</v>
      </c>
      <c r="K318" s="29">
        <v>1567</v>
      </c>
      <c r="L318" s="30">
        <v>1573</v>
      </c>
    </row>
    <row r="319" spans="1:12" x14ac:dyDescent="0.25">
      <c r="A319" s="1726"/>
      <c r="B319" s="1272"/>
      <c r="C319" s="1331" t="s">
        <v>426</v>
      </c>
      <c r="D319" s="1331"/>
      <c r="E319" s="28"/>
      <c r="F319" s="29">
        <v>625.82000000000005</v>
      </c>
      <c r="G319" s="29">
        <v>737.04</v>
      </c>
      <c r="H319" s="29">
        <v>871</v>
      </c>
      <c r="I319" s="29">
        <v>902</v>
      </c>
      <c r="J319" s="29">
        <v>924</v>
      </c>
      <c r="K319" s="29">
        <v>1046</v>
      </c>
      <c r="L319" s="30">
        <v>1062</v>
      </c>
    </row>
    <row r="320" spans="1:12" x14ac:dyDescent="0.25">
      <c r="A320" s="1726"/>
      <c r="B320" s="1272"/>
      <c r="C320" s="1333" t="s">
        <v>427</v>
      </c>
      <c r="D320" s="1333"/>
      <c r="E320" s="28"/>
      <c r="F320" s="31">
        <f t="shared" ref="F320:L320" si="17">+F319-F318</f>
        <v>-482.57000000000005</v>
      </c>
      <c r="G320" s="31">
        <f t="shared" si="17"/>
        <v>-492.67000000000007</v>
      </c>
      <c r="H320" s="31">
        <f t="shared" si="17"/>
        <v>-469</v>
      </c>
      <c r="I320" s="31">
        <f t="shared" si="17"/>
        <v>-478</v>
      </c>
      <c r="J320" s="31">
        <f t="shared" si="17"/>
        <v>-480</v>
      </c>
      <c r="K320" s="31">
        <f t="shared" si="17"/>
        <v>-521</v>
      </c>
      <c r="L320" s="32">
        <f t="shared" si="17"/>
        <v>-511</v>
      </c>
    </row>
    <row r="321" spans="1:12" ht="16.5" thickBot="1" x14ac:dyDescent="0.3">
      <c r="A321" s="1726"/>
      <c r="B321" s="1409"/>
      <c r="C321" s="1335" t="s">
        <v>428</v>
      </c>
      <c r="D321" s="1335"/>
      <c r="E321" s="33"/>
      <c r="F321" s="34">
        <f t="shared" ref="F321:L321" si="18">(F319-F318)/F318*100</f>
        <v>-43.537924376798784</v>
      </c>
      <c r="G321" s="34">
        <f t="shared" si="18"/>
        <v>-40.063917509006188</v>
      </c>
      <c r="H321" s="34">
        <f t="shared" si="18"/>
        <v>-35</v>
      </c>
      <c r="I321" s="34">
        <f t="shared" si="18"/>
        <v>-34.637681159420289</v>
      </c>
      <c r="J321" s="34">
        <f t="shared" si="18"/>
        <v>-34.188034188034187</v>
      </c>
      <c r="K321" s="34">
        <f t="shared" si="18"/>
        <v>-33.248245054243782</v>
      </c>
      <c r="L321" s="35">
        <f t="shared" si="18"/>
        <v>-32.485696122059757</v>
      </c>
    </row>
    <row r="322" spans="1:12" ht="15" customHeight="1" x14ac:dyDescent="0.25">
      <c r="A322" s="1726"/>
      <c r="B322" s="1408" t="s">
        <v>429</v>
      </c>
      <c r="C322" s="1147" t="s">
        <v>430</v>
      </c>
      <c r="D322" s="1147"/>
      <c r="E322" s="36"/>
      <c r="F322" s="40"/>
      <c r="G322" s="37">
        <v>37.164945831849856</v>
      </c>
      <c r="H322" s="37">
        <v>34.221961818270593</v>
      </c>
      <c r="I322" s="37">
        <v>37.557424974643517</v>
      </c>
      <c r="J322" s="37">
        <v>41.246160596752965</v>
      </c>
      <c r="K322" s="37">
        <v>41.549192364170338</v>
      </c>
      <c r="L322" s="20">
        <v>42.7</v>
      </c>
    </row>
    <row r="323" spans="1:12" x14ac:dyDescent="0.25">
      <c r="A323" s="1726"/>
      <c r="B323" s="1272"/>
      <c r="C323" s="1124" t="s">
        <v>431</v>
      </c>
      <c r="D323" s="1124"/>
      <c r="E323" s="28"/>
      <c r="F323" s="28"/>
      <c r="G323" s="29">
        <v>40.027437737441957</v>
      </c>
      <c r="H323" s="29">
        <v>38.279876977152902</v>
      </c>
      <c r="I323" s="29">
        <v>41.900882552613709</v>
      </c>
      <c r="J323" s="29">
        <v>46.519094288611015</v>
      </c>
      <c r="K323" s="29">
        <v>47.364795039614194</v>
      </c>
      <c r="L323" s="21">
        <v>47.6</v>
      </c>
    </row>
    <row r="324" spans="1:12" x14ac:dyDescent="0.25">
      <c r="A324" s="1726"/>
      <c r="B324" s="1272"/>
      <c r="C324" s="1124" t="s">
        <v>432</v>
      </c>
      <c r="D324" s="1124"/>
      <c r="E324" s="28"/>
      <c r="F324" s="28"/>
      <c r="G324" s="29">
        <v>34.501718213058417</v>
      </c>
      <c r="H324" s="29">
        <v>30.974773666168588</v>
      </c>
      <c r="I324" s="29">
        <v>34.152830991911451</v>
      </c>
      <c r="J324" s="29">
        <v>37.222795255286229</v>
      </c>
      <c r="K324" s="29">
        <v>37.228052213974919</v>
      </c>
      <c r="L324" s="21">
        <v>39.1</v>
      </c>
    </row>
    <row r="325" spans="1:12" ht="16.5" thickBot="1" x14ac:dyDescent="0.3">
      <c r="A325" s="1726"/>
      <c r="B325" s="1409"/>
      <c r="C325" s="1225" t="s">
        <v>354</v>
      </c>
      <c r="D325" s="1225"/>
      <c r="E325" s="33"/>
      <c r="F325" s="33"/>
      <c r="G325" s="34">
        <f t="shared" ref="G325:L325" si="19">+G324-G323</f>
        <v>-5.5257195243835397</v>
      </c>
      <c r="H325" s="34">
        <f t="shared" si="19"/>
        <v>-7.3051033109843146</v>
      </c>
      <c r="I325" s="34">
        <f t="shared" si="19"/>
        <v>-7.7480515607022582</v>
      </c>
      <c r="J325" s="34">
        <f t="shared" si="19"/>
        <v>-9.2962990333247859</v>
      </c>
      <c r="K325" s="34">
        <f t="shared" si="19"/>
        <v>-10.136742825639274</v>
      </c>
      <c r="L325" s="35">
        <f t="shared" si="19"/>
        <v>-8.5</v>
      </c>
    </row>
    <row r="326" spans="1:12" x14ac:dyDescent="0.25">
      <c r="A326" s="1726"/>
      <c r="B326" s="1408" t="s">
        <v>545</v>
      </c>
      <c r="C326" s="1317" t="s">
        <v>434</v>
      </c>
      <c r="D326" s="146" t="s">
        <v>435</v>
      </c>
      <c r="E326" s="36"/>
      <c r="F326" s="36"/>
      <c r="G326" s="40"/>
      <c r="H326" s="40"/>
      <c r="I326" s="40">
        <v>331</v>
      </c>
      <c r="J326" s="40">
        <v>174</v>
      </c>
      <c r="K326" s="40">
        <v>92</v>
      </c>
      <c r="L326" s="1061">
        <v>58</v>
      </c>
    </row>
    <row r="327" spans="1:12" x14ac:dyDescent="0.25">
      <c r="A327" s="1726"/>
      <c r="B327" s="1272"/>
      <c r="C327" s="1309"/>
      <c r="D327" s="147" t="s">
        <v>436</v>
      </c>
      <c r="E327" s="28"/>
      <c r="F327" s="28"/>
      <c r="G327" s="28"/>
      <c r="H327" s="28"/>
      <c r="I327" s="28">
        <v>123</v>
      </c>
      <c r="J327" s="28">
        <v>42</v>
      </c>
      <c r="K327" s="28">
        <v>27</v>
      </c>
      <c r="L327" s="1061">
        <v>14</v>
      </c>
    </row>
    <row r="328" spans="1:12" x14ac:dyDescent="0.25">
      <c r="A328" s="1726"/>
      <c r="B328" s="1272"/>
      <c r="C328" s="1309"/>
      <c r="D328" s="28" t="s">
        <v>437</v>
      </c>
      <c r="E328" s="28"/>
      <c r="F328" s="28"/>
      <c r="G328" s="28"/>
      <c r="H328" s="28"/>
      <c r="I328" s="28">
        <v>208</v>
      </c>
      <c r="J328" s="28">
        <v>132</v>
      </c>
      <c r="K328" s="28">
        <v>65</v>
      </c>
      <c r="L328" s="1061">
        <v>44</v>
      </c>
    </row>
    <row r="329" spans="1:12" x14ac:dyDescent="0.25">
      <c r="A329" s="1726"/>
      <c r="B329" s="1272"/>
      <c r="C329" s="1309"/>
      <c r="D329" s="148" t="s">
        <v>353</v>
      </c>
      <c r="E329" s="44"/>
      <c r="F329" s="44"/>
      <c r="G329" s="44"/>
      <c r="H329" s="44"/>
      <c r="I329" s="157">
        <f>I328-I327</f>
        <v>85</v>
      </c>
      <c r="J329" s="157">
        <f>J328-J327</f>
        <v>90</v>
      </c>
      <c r="K329" s="157">
        <f>K328-K327</f>
        <v>38</v>
      </c>
      <c r="L329" s="157">
        <f>L328-L327</f>
        <v>30</v>
      </c>
    </row>
    <row r="330" spans="1:12" x14ac:dyDescent="0.25">
      <c r="A330" s="1726"/>
      <c r="B330" s="1272"/>
      <c r="C330" s="1309"/>
      <c r="D330" s="148" t="s">
        <v>270</v>
      </c>
      <c r="E330" s="44"/>
      <c r="F330" s="44"/>
      <c r="G330" s="44"/>
      <c r="H330" s="44"/>
      <c r="I330" s="158">
        <f>I328/I326*100</f>
        <v>62.839879154078545</v>
      </c>
      <c r="J330" s="158">
        <f>J328/J326*100</f>
        <v>75.862068965517238</v>
      </c>
      <c r="K330" s="158">
        <f>K328/K326*100</f>
        <v>70.652173913043484</v>
      </c>
      <c r="L330" s="158">
        <f>L328/L326*100</f>
        <v>75.862068965517238</v>
      </c>
    </row>
    <row r="331" spans="1:12" x14ac:dyDescent="0.25">
      <c r="A331" s="1726"/>
      <c r="B331" s="1272"/>
      <c r="C331" s="1309" t="s">
        <v>438</v>
      </c>
      <c r="D331" s="149" t="s">
        <v>435</v>
      </c>
      <c r="E331" s="44"/>
      <c r="F331" s="44"/>
      <c r="G331" s="44"/>
      <c r="H331" s="44"/>
      <c r="I331" s="44">
        <v>911</v>
      </c>
      <c r="J331" s="44">
        <v>450</v>
      </c>
      <c r="K331" s="44">
        <v>195</v>
      </c>
      <c r="L331" s="1061">
        <v>274</v>
      </c>
    </row>
    <row r="332" spans="1:12" x14ac:dyDescent="0.25">
      <c r="A332" s="1726"/>
      <c r="B332" s="1272"/>
      <c r="C332" s="1309"/>
      <c r="D332" s="147" t="s">
        <v>436</v>
      </c>
      <c r="E332" s="28"/>
      <c r="F332" s="28"/>
      <c r="G332" s="28"/>
      <c r="H332" s="28"/>
      <c r="I332" s="28">
        <v>297</v>
      </c>
      <c r="J332" s="28">
        <v>147</v>
      </c>
      <c r="K332" s="28">
        <v>64</v>
      </c>
      <c r="L332" s="1061">
        <v>118</v>
      </c>
    </row>
    <row r="333" spans="1:12" x14ac:dyDescent="0.25">
      <c r="A333" s="1726"/>
      <c r="B333" s="1272"/>
      <c r="C333" s="1309"/>
      <c r="D333" s="28" t="s">
        <v>437</v>
      </c>
      <c r="E333" s="28"/>
      <c r="F333" s="28"/>
      <c r="G333" s="28"/>
      <c r="H333" s="28"/>
      <c r="I333" s="28">
        <v>614</v>
      </c>
      <c r="J333" s="28">
        <v>303</v>
      </c>
      <c r="K333" s="28">
        <v>131</v>
      </c>
      <c r="L333" s="1061">
        <v>136</v>
      </c>
    </row>
    <row r="334" spans="1:12" x14ac:dyDescent="0.25">
      <c r="A334" s="1726"/>
      <c r="B334" s="1272"/>
      <c r="C334" s="1309"/>
      <c r="D334" s="148" t="s">
        <v>353</v>
      </c>
      <c r="E334" s="44"/>
      <c r="F334" s="44"/>
      <c r="G334" s="44"/>
      <c r="H334" s="44"/>
      <c r="I334" s="157">
        <f>I333-I332</f>
        <v>317</v>
      </c>
      <c r="J334" s="157">
        <f>J333-J332</f>
        <v>156</v>
      </c>
      <c r="K334" s="157">
        <f>K333-K332</f>
        <v>67</v>
      </c>
      <c r="L334" s="157">
        <f>L333-L332</f>
        <v>18</v>
      </c>
    </row>
    <row r="335" spans="1:12" ht="16.5" thickBot="1" x14ac:dyDescent="0.3">
      <c r="A335" s="1726"/>
      <c r="B335" s="1409"/>
      <c r="C335" s="1416"/>
      <c r="D335" s="217" t="s">
        <v>270</v>
      </c>
      <c r="E335" s="203"/>
      <c r="F335" s="203"/>
      <c r="G335" s="203"/>
      <c r="H335" s="203"/>
      <c r="I335" s="161">
        <f>I333/I331*100</f>
        <v>67.398463227222834</v>
      </c>
      <c r="J335" s="161">
        <f>J333/J331*100</f>
        <v>67.333333333333329</v>
      </c>
      <c r="K335" s="161">
        <f>K333/K331*100</f>
        <v>67.179487179487168</v>
      </c>
      <c r="L335" s="161">
        <f>L333/L331*100</f>
        <v>49.635036496350367</v>
      </c>
    </row>
    <row r="336" spans="1:12" ht="15" customHeight="1" x14ac:dyDescent="0.25">
      <c r="A336" s="1726"/>
      <c r="B336" s="1408" t="s">
        <v>180</v>
      </c>
      <c r="C336" s="1147" t="s">
        <v>435</v>
      </c>
      <c r="D336" s="1147"/>
      <c r="E336" s="40"/>
      <c r="F336" s="40"/>
      <c r="G336" s="40"/>
      <c r="H336" s="195">
        <v>48505</v>
      </c>
      <c r="I336" s="195">
        <v>45205</v>
      </c>
      <c r="J336" s="195">
        <v>45116</v>
      </c>
      <c r="K336" s="195">
        <v>45295</v>
      </c>
      <c r="L336" s="20"/>
    </row>
    <row r="337" spans="1:14" x14ac:dyDescent="0.25">
      <c r="A337" s="1726"/>
      <c r="B337" s="1272"/>
      <c r="C337" s="1124" t="s">
        <v>436</v>
      </c>
      <c r="D337" s="1124"/>
      <c r="E337" s="28"/>
      <c r="F337" s="28"/>
      <c r="G337" s="28"/>
      <c r="H337" s="96">
        <v>18799</v>
      </c>
      <c r="I337" s="96">
        <v>17301</v>
      </c>
      <c r="J337" s="96">
        <v>17003</v>
      </c>
      <c r="K337" s="96">
        <v>17044</v>
      </c>
      <c r="L337" s="21"/>
    </row>
    <row r="338" spans="1:14" x14ac:dyDescent="0.25">
      <c r="A338" s="1726"/>
      <c r="B338" s="1272"/>
      <c r="C338" s="1124" t="s">
        <v>437</v>
      </c>
      <c r="D338" s="1124"/>
      <c r="E338" s="28"/>
      <c r="F338" s="28"/>
      <c r="G338" s="28"/>
      <c r="H338" s="96">
        <v>29706</v>
      </c>
      <c r="I338" s="96">
        <v>27904</v>
      </c>
      <c r="J338" s="96">
        <v>28113</v>
      </c>
      <c r="K338" s="96">
        <v>28251</v>
      </c>
      <c r="L338" s="21"/>
    </row>
    <row r="339" spans="1:14" x14ac:dyDescent="0.25">
      <c r="A339" s="1726"/>
      <c r="B339" s="1272"/>
      <c r="C339" s="1112" t="s">
        <v>353</v>
      </c>
      <c r="D339" s="1112"/>
      <c r="E339" s="28"/>
      <c r="F339" s="28"/>
      <c r="G339" s="44"/>
      <c r="H339" s="157">
        <f>H338-H337</f>
        <v>10907</v>
      </c>
      <c r="I339" s="157">
        <f>I338-I337</f>
        <v>10603</v>
      </c>
      <c r="J339" s="157">
        <f>J338-J337</f>
        <v>11110</v>
      </c>
      <c r="K339" s="157">
        <f>K338-K337</f>
        <v>11207</v>
      </c>
      <c r="L339" s="21"/>
    </row>
    <row r="340" spans="1:14" x14ac:dyDescent="0.25">
      <c r="A340" s="1727"/>
      <c r="B340" s="1273"/>
      <c r="C340" s="1178" t="s">
        <v>270</v>
      </c>
      <c r="D340" s="1178"/>
      <c r="E340" s="110"/>
      <c r="F340" s="110"/>
      <c r="G340" s="336"/>
      <c r="H340" s="165">
        <f>H338/H336*100</f>
        <v>61.243170807133282</v>
      </c>
      <c r="I340" s="165">
        <f>I338/I336*100</f>
        <v>61.727684990598384</v>
      </c>
      <c r="J340" s="165">
        <f>J338/J336*100</f>
        <v>62.312705027041403</v>
      </c>
      <c r="K340" s="165">
        <f>K338/K336*100</f>
        <v>62.371122640468045</v>
      </c>
      <c r="L340" s="53"/>
    </row>
    <row r="341" spans="1:14" ht="16.5" thickBot="1" x14ac:dyDescent="0.3">
      <c r="A341" s="338" t="s">
        <v>248</v>
      </c>
      <c r="B341" s="338" t="s">
        <v>249</v>
      </c>
      <c r="C341" s="1433"/>
      <c r="D341" s="1433"/>
      <c r="E341" s="616">
        <v>2005</v>
      </c>
      <c r="F341" s="616">
        <v>2010</v>
      </c>
      <c r="G341" s="616">
        <v>2015</v>
      </c>
      <c r="H341" s="616">
        <v>2020</v>
      </c>
      <c r="I341" s="616">
        <v>2021</v>
      </c>
      <c r="J341" s="616">
        <v>2022</v>
      </c>
      <c r="K341" s="616">
        <v>2023</v>
      </c>
      <c r="L341" s="616">
        <v>2024</v>
      </c>
    </row>
    <row r="342" spans="1:14" x14ac:dyDescent="0.25">
      <c r="A342" s="1732" t="s">
        <v>439</v>
      </c>
      <c r="B342" s="1434" t="s">
        <v>440</v>
      </c>
      <c r="C342" s="1250" t="s">
        <v>251</v>
      </c>
      <c r="D342" s="1250"/>
      <c r="E342" s="585">
        <v>82.2</v>
      </c>
      <c r="F342" s="586">
        <v>83.4</v>
      </c>
      <c r="G342" s="586">
        <v>83.8</v>
      </c>
      <c r="H342" s="586">
        <v>81.599999999999994</v>
      </c>
      <c r="I342" s="586">
        <v>85.1</v>
      </c>
      <c r="J342" s="587">
        <v>84.95433744124928</v>
      </c>
      <c r="K342" s="453">
        <v>85.9</v>
      </c>
      <c r="L342" s="108"/>
      <c r="M342" s="326"/>
      <c r="N342" s="326"/>
    </row>
    <row r="343" spans="1:14" x14ac:dyDescent="0.25">
      <c r="A343" s="1733"/>
      <c r="B343" s="1435"/>
      <c r="C343" s="1236" t="s">
        <v>257</v>
      </c>
      <c r="D343" s="1236"/>
      <c r="E343" s="580">
        <v>78.8</v>
      </c>
      <c r="F343" s="581">
        <v>80</v>
      </c>
      <c r="G343" s="581">
        <v>80.3</v>
      </c>
      <c r="H343" s="581">
        <v>78.599999999999994</v>
      </c>
      <c r="I343" s="581">
        <v>82.1</v>
      </c>
      <c r="J343" s="582">
        <v>82.044031650041163</v>
      </c>
      <c r="K343" s="403">
        <v>83</v>
      </c>
      <c r="L343" s="21"/>
    </row>
    <row r="344" spans="1:14" x14ac:dyDescent="0.25">
      <c r="A344" s="1733"/>
      <c r="B344" s="1435"/>
      <c r="C344" s="1236" t="s">
        <v>263</v>
      </c>
      <c r="D344" s="1236"/>
      <c r="E344" s="580">
        <v>85.1</v>
      </c>
      <c r="F344" s="581">
        <v>86.4</v>
      </c>
      <c r="G344" s="581">
        <v>86.9</v>
      </c>
      <c r="H344" s="581">
        <v>84.2</v>
      </c>
      <c r="I344" s="581">
        <v>87.6</v>
      </c>
      <c r="J344" s="582">
        <v>87.312603382791892</v>
      </c>
      <c r="K344" s="403">
        <v>88.3</v>
      </c>
      <c r="L344" s="21"/>
    </row>
    <row r="345" spans="1:14" ht="16.5" thickBot="1" x14ac:dyDescent="0.3">
      <c r="A345" s="1733"/>
      <c r="B345" s="1436"/>
      <c r="C345" s="1243" t="s">
        <v>441</v>
      </c>
      <c r="D345" s="1243"/>
      <c r="E345" s="588">
        <f t="shared" ref="E345:K345" si="20">+E344-E343</f>
        <v>6.2999999999999972</v>
      </c>
      <c r="F345" s="588">
        <f t="shared" si="20"/>
        <v>6.4000000000000057</v>
      </c>
      <c r="G345" s="588">
        <f t="shared" si="20"/>
        <v>6.6000000000000085</v>
      </c>
      <c r="H345" s="588">
        <f t="shared" si="20"/>
        <v>5.6000000000000085</v>
      </c>
      <c r="I345" s="588">
        <f t="shared" si="20"/>
        <v>5.5</v>
      </c>
      <c r="J345" s="589">
        <f t="shared" si="20"/>
        <v>5.2685717327507291</v>
      </c>
      <c r="K345" s="589">
        <f t="shared" si="20"/>
        <v>5.2999999999999972</v>
      </c>
      <c r="L345" s="22"/>
    </row>
    <row r="346" spans="1:14" x14ac:dyDescent="0.25">
      <c r="A346" s="1733"/>
      <c r="B346" s="1434" t="s">
        <v>192</v>
      </c>
      <c r="C346" s="1250" t="s">
        <v>251</v>
      </c>
      <c r="D346" s="1250"/>
      <c r="E346" s="585"/>
      <c r="F346" s="590"/>
      <c r="G346" s="591">
        <v>15040</v>
      </c>
      <c r="H346" s="591">
        <v>17205</v>
      </c>
      <c r="I346" s="591">
        <v>17105</v>
      </c>
      <c r="J346" s="547">
        <v>18054</v>
      </c>
      <c r="K346" s="195">
        <v>17996</v>
      </c>
      <c r="L346" s="20"/>
    </row>
    <row r="347" spans="1:14" x14ac:dyDescent="0.25">
      <c r="A347" s="1733"/>
      <c r="B347" s="1435"/>
      <c r="C347" s="1236" t="s">
        <v>257</v>
      </c>
      <c r="D347" s="1236"/>
      <c r="E347" s="580"/>
      <c r="F347" s="583"/>
      <c r="G347" s="584">
        <v>7208</v>
      </c>
      <c r="H347" s="584">
        <v>8260</v>
      </c>
      <c r="I347" s="584">
        <v>8205</v>
      </c>
      <c r="J347" s="404">
        <v>8659</v>
      </c>
      <c r="K347" s="96">
        <v>8636</v>
      </c>
      <c r="L347" s="21"/>
    </row>
    <row r="348" spans="1:14" x14ac:dyDescent="0.25">
      <c r="A348" s="1733"/>
      <c r="B348" s="1435"/>
      <c r="C348" s="1236" t="s">
        <v>263</v>
      </c>
      <c r="D348" s="1236"/>
      <c r="E348" s="580"/>
      <c r="F348" s="583"/>
      <c r="G348" s="584">
        <v>7832</v>
      </c>
      <c r="H348" s="584">
        <v>8945</v>
      </c>
      <c r="I348" s="584">
        <v>8900</v>
      </c>
      <c r="J348" s="404">
        <v>9395</v>
      </c>
      <c r="K348" s="96">
        <v>9360</v>
      </c>
      <c r="L348" s="21"/>
    </row>
    <row r="349" spans="1:14" x14ac:dyDescent="0.25">
      <c r="A349" s="1734"/>
      <c r="B349" s="1790"/>
      <c r="C349" s="1142" t="s">
        <v>270</v>
      </c>
      <c r="D349" s="1142"/>
      <c r="E349" s="592"/>
      <c r="F349" s="816"/>
      <c r="G349" s="525">
        <f>G348/G346*100</f>
        <v>52.074468085106382</v>
      </c>
      <c r="H349" s="525">
        <f>H348/H346*100</f>
        <v>51.990700377797147</v>
      </c>
      <c r="I349" s="525">
        <f>I348/I346*100</f>
        <v>52.03156971645717</v>
      </c>
      <c r="J349" s="525">
        <f>J348/J346*100</f>
        <v>52.038329456076212</v>
      </c>
      <c r="K349" s="525">
        <f>K348/K346*100</f>
        <v>52.011558124027559</v>
      </c>
      <c r="L349" s="53"/>
    </row>
    <row r="350" spans="1:14" ht="16.5" thickBot="1" x14ac:dyDescent="0.3">
      <c r="A350" s="338" t="s">
        <v>248</v>
      </c>
      <c r="B350" s="338" t="s">
        <v>249</v>
      </c>
      <c r="C350" s="1433"/>
      <c r="D350" s="1433"/>
      <c r="E350" s="616"/>
      <c r="F350" s="616" t="s">
        <v>443</v>
      </c>
      <c r="G350" s="616" t="s">
        <v>444</v>
      </c>
      <c r="H350" s="616" t="s">
        <v>445</v>
      </c>
      <c r="I350" s="616" t="s">
        <v>446</v>
      </c>
      <c r="J350" s="616" t="s">
        <v>447</v>
      </c>
      <c r="K350" s="616" t="s">
        <v>448</v>
      </c>
      <c r="L350" s="616" t="s">
        <v>449</v>
      </c>
    </row>
    <row r="351" spans="1:14" ht="15" customHeight="1" x14ac:dyDescent="0.25">
      <c r="A351" s="1771" t="s">
        <v>450</v>
      </c>
      <c r="B351" s="1244" t="s">
        <v>199</v>
      </c>
      <c r="C351" s="1347" t="s">
        <v>451</v>
      </c>
      <c r="D351" s="430" t="s">
        <v>435</v>
      </c>
      <c r="E351" s="195"/>
      <c r="F351" s="195">
        <v>19055</v>
      </c>
      <c r="G351" s="195">
        <v>16525</v>
      </c>
      <c r="H351" s="195">
        <v>14681</v>
      </c>
      <c r="I351" s="195">
        <v>13710</v>
      </c>
      <c r="J351" s="195">
        <v>13667</v>
      </c>
      <c r="K351" s="195">
        <v>13706</v>
      </c>
      <c r="L351" s="20"/>
    </row>
    <row r="352" spans="1:14" x14ac:dyDescent="0.25">
      <c r="A352" s="1772"/>
      <c r="B352" s="1245"/>
      <c r="C352" s="1348"/>
      <c r="D352" s="428" t="s">
        <v>436</v>
      </c>
      <c r="E352" s="96"/>
      <c r="F352" s="96">
        <v>9771</v>
      </c>
      <c r="G352" s="96">
        <v>8489</v>
      </c>
      <c r="H352" s="96">
        <v>7458</v>
      </c>
      <c r="I352" s="96">
        <v>6989</v>
      </c>
      <c r="J352" s="96">
        <v>6917</v>
      </c>
      <c r="K352" s="96">
        <v>7009</v>
      </c>
      <c r="L352" s="21"/>
    </row>
    <row r="353" spans="1:12" x14ac:dyDescent="0.25">
      <c r="A353" s="1772"/>
      <c r="B353" s="1245"/>
      <c r="C353" s="1348"/>
      <c r="D353" s="428" t="s">
        <v>437</v>
      </c>
      <c r="E353" s="96"/>
      <c r="F353" s="96">
        <v>9284</v>
      </c>
      <c r="G353" s="96">
        <v>8036</v>
      </c>
      <c r="H353" s="96">
        <v>7223</v>
      </c>
      <c r="I353" s="96">
        <v>6721</v>
      </c>
      <c r="J353" s="96">
        <v>6750</v>
      </c>
      <c r="K353" s="96">
        <v>6697</v>
      </c>
      <c r="L353" s="21"/>
    </row>
    <row r="354" spans="1:12" ht="15" customHeight="1" x14ac:dyDescent="0.25">
      <c r="A354" s="1772"/>
      <c r="B354" s="1245"/>
      <c r="C354" s="1348" t="s">
        <v>452</v>
      </c>
      <c r="D354" s="427" t="s">
        <v>435</v>
      </c>
      <c r="E354" s="157"/>
      <c r="F354" s="157">
        <v>9046</v>
      </c>
      <c r="G354" s="157">
        <v>8600</v>
      </c>
      <c r="H354" s="157">
        <v>7561</v>
      </c>
      <c r="I354" s="157">
        <v>7508</v>
      </c>
      <c r="J354" s="157">
        <v>7588</v>
      </c>
      <c r="K354" s="157">
        <f>SUM(K355:K356)</f>
        <v>7373</v>
      </c>
      <c r="L354" s="21"/>
    </row>
    <row r="355" spans="1:12" x14ac:dyDescent="0.25">
      <c r="A355" s="1772"/>
      <c r="B355" s="1245"/>
      <c r="C355" s="1348"/>
      <c r="D355" s="428" t="s">
        <v>436</v>
      </c>
      <c r="E355" s="96"/>
      <c r="F355" s="96">
        <v>4590</v>
      </c>
      <c r="G355" s="96">
        <v>4416</v>
      </c>
      <c r="H355" s="96">
        <v>3912</v>
      </c>
      <c r="I355" s="96">
        <v>3845</v>
      </c>
      <c r="J355" s="96">
        <v>3921</v>
      </c>
      <c r="K355" s="157">
        <v>3860</v>
      </c>
      <c r="L355" s="21"/>
    </row>
    <row r="356" spans="1:12" ht="16.5" thickBot="1" x14ac:dyDescent="0.3">
      <c r="A356" s="1772"/>
      <c r="B356" s="1245"/>
      <c r="C356" s="1349"/>
      <c r="D356" s="431" t="s">
        <v>437</v>
      </c>
      <c r="E356" s="190"/>
      <c r="F356" s="190">
        <v>4456</v>
      </c>
      <c r="G356" s="190">
        <v>4184</v>
      </c>
      <c r="H356" s="190">
        <v>3649</v>
      </c>
      <c r="I356" s="190">
        <v>3663</v>
      </c>
      <c r="J356" s="190">
        <v>3667</v>
      </c>
      <c r="K356" s="197">
        <v>3513</v>
      </c>
      <c r="L356" s="22"/>
    </row>
    <row r="357" spans="1:12" x14ac:dyDescent="0.25">
      <c r="A357" s="1772"/>
      <c r="B357" s="1245"/>
      <c r="C357" s="1352" t="s">
        <v>453</v>
      </c>
      <c r="D357" s="1250"/>
      <c r="E357" s="195"/>
      <c r="F357" s="37">
        <f>+(F354/F351)*100</f>
        <v>47.473104172133297</v>
      </c>
      <c r="G357" s="37">
        <f t="shared" ref="G357:J357" si="21">+(G354/G351)*100</f>
        <v>52.042360060514369</v>
      </c>
      <c r="H357" s="37">
        <f t="shared" si="21"/>
        <v>51.501941284653633</v>
      </c>
      <c r="I357" s="37">
        <f t="shared" si="21"/>
        <v>54.762946754194019</v>
      </c>
      <c r="J357" s="37">
        <f t="shared" si="21"/>
        <v>55.520597058608324</v>
      </c>
      <c r="K357" s="37">
        <f>+(K354/K351)*100</f>
        <v>53.793958850138623</v>
      </c>
      <c r="L357" s="20"/>
    </row>
    <row r="358" spans="1:12" x14ac:dyDescent="0.25">
      <c r="A358" s="1772"/>
      <c r="B358" s="1245"/>
      <c r="C358" s="1363" t="s">
        <v>454</v>
      </c>
      <c r="D358" s="1236"/>
      <c r="E358" s="28"/>
      <c r="F358" s="187">
        <f>F355/F352*100</f>
        <v>46.975744550199572</v>
      </c>
      <c r="G358" s="187">
        <f t="shared" ref="G358:I358" si="22">G355/G352*100</f>
        <v>52.020261514901634</v>
      </c>
      <c r="H358" s="187">
        <f t="shared" si="22"/>
        <v>52.453740949316177</v>
      </c>
      <c r="I358" s="187">
        <f t="shared" si="22"/>
        <v>55.015023608527692</v>
      </c>
      <c r="J358" s="187">
        <f>J355/J352*100</f>
        <v>56.686424750614428</v>
      </c>
      <c r="K358" s="187">
        <f>K355/K352*100</f>
        <v>55.072050221144245</v>
      </c>
      <c r="L358" s="21"/>
    </row>
    <row r="359" spans="1:12" x14ac:dyDescent="0.25">
      <c r="A359" s="1772"/>
      <c r="B359" s="1245"/>
      <c r="C359" s="1363" t="s">
        <v>455</v>
      </c>
      <c r="D359" s="1236"/>
      <c r="E359" s="28"/>
      <c r="F359" s="187">
        <f>F356/F353*100</f>
        <v>47.996553209823354</v>
      </c>
      <c r="G359" s="187">
        <f t="shared" ref="G359:I359" si="23">G356/G353*100</f>
        <v>52.065704330512695</v>
      </c>
      <c r="H359" s="187">
        <f t="shared" si="23"/>
        <v>50.519174858092207</v>
      </c>
      <c r="I359" s="187">
        <f t="shared" si="23"/>
        <v>54.500818330605561</v>
      </c>
      <c r="J359" s="187">
        <f>J356/J353*100</f>
        <v>54.325925925925922</v>
      </c>
      <c r="K359" s="187">
        <f>K356/K353*100</f>
        <v>52.456323727041955</v>
      </c>
      <c r="L359" s="21"/>
    </row>
    <row r="360" spans="1:12" ht="16.5" thickBot="1" x14ac:dyDescent="0.3">
      <c r="A360" s="1773"/>
      <c r="B360" s="1246"/>
      <c r="C360" s="1383" t="s">
        <v>354</v>
      </c>
      <c r="D360" s="1384"/>
      <c r="E360" s="336"/>
      <c r="F360" s="454">
        <f>+F359-F358</f>
        <v>1.020808659623782</v>
      </c>
      <c r="G360" s="593">
        <f t="shared" ref="G360:I360" si="24">+G359-G358</f>
        <v>4.5442815611060894E-2</v>
      </c>
      <c r="H360" s="349">
        <f t="shared" si="24"/>
        <v>-1.9345660912239708</v>
      </c>
      <c r="I360" s="349">
        <f t="shared" si="24"/>
        <v>-0.51420527792213022</v>
      </c>
      <c r="J360" s="349">
        <f>+J359-J358</f>
        <v>-2.3604988246885057</v>
      </c>
      <c r="K360" s="349">
        <f>+K359-K358</f>
        <v>-2.6157264941022902</v>
      </c>
      <c r="L360" s="53"/>
    </row>
    <row r="361" spans="1:12" ht="16.5" thickBot="1" x14ac:dyDescent="0.3">
      <c r="A361" s="338" t="s">
        <v>248</v>
      </c>
      <c r="B361" s="767" t="s">
        <v>249</v>
      </c>
      <c r="C361" s="1433"/>
      <c r="D361" s="1433"/>
      <c r="E361" s="616" t="s">
        <v>442</v>
      </c>
      <c r="F361" s="616" t="s">
        <v>443</v>
      </c>
      <c r="G361" s="616" t="s">
        <v>444</v>
      </c>
      <c r="H361" s="616" t="s">
        <v>445</v>
      </c>
      <c r="I361" s="616" t="s">
        <v>446</v>
      </c>
      <c r="J361" s="616" t="s">
        <v>447</v>
      </c>
      <c r="K361" s="616" t="s">
        <v>448</v>
      </c>
      <c r="L361" s="616" t="s">
        <v>449</v>
      </c>
    </row>
    <row r="362" spans="1:12" ht="15" customHeight="1" x14ac:dyDescent="0.25">
      <c r="A362" s="1774" t="s">
        <v>456</v>
      </c>
      <c r="B362" s="1150" t="s">
        <v>457</v>
      </c>
      <c r="C362" s="1187" t="s">
        <v>458</v>
      </c>
      <c r="D362" s="229" t="s">
        <v>459</v>
      </c>
      <c r="E362" s="225" t="s">
        <v>460</v>
      </c>
      <c r="F362" s="195">
        <v>2856</v>
      </c>
      <c r="G362" s="195">
        <v>3189</v>
      </c>
      <c r="H362" s="195">
        <v>2810</v>
      </c>
      <c r="I362" s="195">
        <v>2784</v>
      </c>
      <c r="J362" s="195">
        <v>2742</v>
      </c>
      <c r="K362" s="225">
        <v>2845</v>
      </c>
      <c r="L362" s="20"/>
    </row>
    <row r="363" spans="1:12" ht="14.1" customHeight="1" x14ac:dyDescent="0.25">
      <c r="A363" s="1775"/>
      <c r="B363" s="1151"/>
      <c r="C363" s="1173"/>
      <c r="D363" s="227" t="s">
        <v>436</v>
      </c>
      <c r="E363" s="96"/>
      <c r="F363" s="96">
        <v>1319</v>
      </c>
      <c r="G363" s="96">
        <v>1492</v>
      </c>
      <c r="H363" s="96">
        <v>1306</v>
      </c>
      <c r="I363" s="96">
        <v>1298</v>
      </c>
      <c r="J363" s="96">
        <v>1234</v>
      </c>
      <c r="K363" s="96">
        <v>1260</v>
      </c>
      <c r="L363" s="21"/>
    </row>
    <row r="364" spans="1:12" x14ac:dyDescent="0.25">
      <c r="A364" s="1775"/>
      <c r="B364" s="1151"/>
      <c r="C364" s="1173"/>
      <c r="D364" s="227" t="s">
        <v>437</v>
      </c>
      <c r="E364" s="96"/>
      <c r="F364" s="96">
        <v>1537</v>
      </c>
      <c r="G364" s="96">
        <v>1697</v>
      </c>
      <c r="H364" s="96">
        <v>1504</v>
      </c>
      <c r="I364" s="96">
        <v>1486</v>
      </c>
      <c r="J364" s="96">
        <v>1508</v>
      </c>
      <c r="K364" s="96">
        <v>1585</v>
      </c>
      <c r="L364" s="21"/>
    </row>
    <row r="365" spans="1:12" ht="15" customHeight="1" x14ac:dyDescent="0.25">
      <c r="A365" s="1775"/>
      <c r="B365" s="1151"/>
      <c r="C365" s="1173" t="s">
        <v>461</v>
      </c>
      <c r="D365" s="226" t="s">
        <v>459</v>
      </c>
      <c r="E365" s="157"/>
      <c r="F365" s="157">
        <v>1161</v>
      </c>
      <c r="G365" s="157">
        <f>582+725</f>
        <v>1307</v>
      </c>
      <c r="H365" s="157">
        <v>1235</v>
      </c>
      <c r="I365" s="157">
        <v>1254</v>
      </c>
      <c r="J365" s="157">
        <f>636+625</f>
        <v>1261</v>
      </c>
      <c r="K365" s="96">
        <v>1319</v>
      </c>
      <c r="L365" s="21"/>
    </row>
    <row r="366" spans="1:12" x14ac:dyDescent="0.25">
      <c r="A366" s="1775"/>
      <c r="B366" s="1151"/>
      <c r="C366" s="1173"/>
      <c r="D366" s="227" t="s">
        <v>436</v>
      </c>
      <c r="E366" s="96"/>
      <c r="F366" s="96">
        <v>611</v>
      </c>
      <c r="G366" s="96">
        <f>301+386</f>
        <v>687</v>
      </c>
      <c r="H366" s="96">
        <v>661</v>
      </c>
      <c r="I366" s="96">
        <v>671</v>
      </c>
      <c r="J366" s="96">
        <f>335+303</f>
        <v>638</v>
      </c>
      <c r="K366" s="96">
        <v>652</v>
      </c>
      <c r="L366" s="21"/>
    </row>
    <row r="367" spans="1:12" ht="16.5" thickBot="1" x14ac:dyDescent="0.3">
      <c r="A367" s="1775"/>
      <c r="B367" s="1151"/>
      <c r="C367" s="1797"/>
      <c r="D367" s="511" t="s">
        <v>437</v>
      </c>
      <c r="E367" s="360"/>
      <c r="F367" s="360">
        <v>550</v>
      </c>
      <c r="G367" s="360">
        <f>281+339</f>
        <v>620</v>
      </c>
      <c r="H367" s="360">
        <v>574</v>
      </c>
      <c r="I367" s="360">
        <v>583</v>
      </c>
      <c r="J367" s="360">
        <f>301+322</f>
        <v>623</v>
      </c>
      <c r="K367" s="360">
        <v>667</v>
      </c>
      <c r="L367" s="53"/>
    </row>
    <row r="368" spans="1:12" x14ac:dyDescent="0.25">
      <c r="A368" s="1775"/>
      <c r="B368" s="1151"/>
      <c r="C368" s="1798" t="s">
        <v>462</v>
      </c>
      <c r="D368" s="1390"/>
      <c r="E368" s="225"/>
      <c r="F368" s="283">
        <f>F366/F363*100</f>
        <v>46.32297194844579</v>
      </c>
      <c r="G368" s="283">
        <f t="shared" ref="G368:I369" si="25">G366/G363*100</f>
        <v>46.045576407506701</v>
      </c>
      <c r="H368" s="283">
        <f t="shared" si="25"/>
        <v>50.612557427258807</v>
      </c>
      <c r="I368" s="283">
        <f t="shared" si="25"/>
        <v>51.694915254237287</v>
      </c>
      <c r="J368" s="283">
        <f>J366/J363*100</f>
        <v>51.701782820097243</v>
      </c>
      <c r="K368" s="283">
        <f>K366/K363*100</f>
        <v>51.746031746031754</v>
      </c>
      <c r="L368" s="20"/>
    </row>
    <row r="369" spans="1:12" x14ac:dyDescent="0.25">
      <c r="A369" s="1775"/>
      <c r="B369" s="1151"/>
      <c r="C369" s="1148" t="s">
        <v>463</v>
      </c>
      <c r="D369" s="1124"/>
      <c r="E369" s="96"/>
      <c r="F369" s="29">
        <f>F367/F364*100</f>
        <v>35.7839947950553</v>
      </c>
      <c r="G369" s="29">
        <f t="shared" si="25"/>
        <v>36.53506187389511</v>
      </c>
      <c r="H369" s="29">
        <f t="shared" si="25"/>
        <v>38.164893617021278</v>
      </c>
      <c r="I369" s="29">
        <f t="shared" si="25"/>
        <v>39.232839838492602</v>
      </c>
      <c r="J369" s="29">
        <f>J367/J364*100</f>
        <v>41.312997347480106</v>
      </c>
      <c r="K369" s="29">
        <f>K367/K364*100</f>
        <v>42.0820189274448</v>
      </c>
      <c r="L369" s="21"/>
    </row>
    <row r="370" spans="1:12" ht="16.5" thickBot="1" x14ac:dyDescent="0.3">
      <c r="A370" s="1775"/>
      <c r="B370" s="1152"/>
      <c r="C370" s="1169" t="s">
        <v>354</v>
      </c>
      <c r="D370" s="1126"/>
      <c r="E370" s="33"/>
      <c r="F370" s="161">
        <f>+F369-F368</f>
        <v>-10.538977153390491</v>
      </c>
      <c r="G370" s="161">
        <f t="shared" ref="G370:I370" si="26">+G369-G368</f>
        <v>-9.510514533611591</v>
      </c>
      <c r="H370" s="161">
        <f t="shared" si="26"/>
        <v>-12.447663810237529</v>
      </c>
      <c r="I370" s="161">
        <f t="shared" si="26"/>
        <v>-12.462075415744685</v>
      </c>
      <c r="J370" s="161">
        <f>+J369-J368</f>
        <v>-10.388785472617137</v>
      </c>
      <c r="K370" s="161">
        <f>+K369-K368</f>
        <v>-9.6640128185869543</v>
      </c>
      <c r="L370" s="22"/>
    </row>
    <row r="371" spans="1:12" ht="16.5" thickBot="1" x14ac:dyDescent="0.3">
      <c r="A371" s="1775"/>
      <c r="B371" s="767" t="s">
        <v>249</v>
      </c>
      <c r="C371" s="1433"/>
      <c r="D371" s="1433"/>
      <c r="E371" s="616" t="s">
        <v>442</v>
      </c>
      <c r="F371" s="616" t="s">
        <v>443</v>
      </c>
      <c r="G371" s="616" t="s">
        <v>444</v>
      </c>
      <c r="H371" s="616" t="s">
        <v>445</v>
      </c>
      <c r="I371" s="616" t="s">
        <v>446</v>
      </c>
      <c r="J371" s="616" t="s">
        <v>447</v>
      </c>
      <c r="K371" s="616" t="s">
        <v>448</v>
      </c>
      <c r="L371" s="616" t="s">
        <v>449</v>
      </c>
    </row>
    <row r="372" spans="1:12" ht="15.95" customHeight="1" x14ac:dyDescent="0.25">
      <c r="A372" s="1775"/>
      <c r="B372" s="1800" t="s">
        <v>464</v>
      </c>
      <c r="C372" s="1251" t="s">
        <v>459</v>
      </c>
      <c r="D372" s="1206"/>
      <c r="E372" s="36"/>
      <c r="F372" s="195">
        <v>908</v>
      </c>
      <c r="G372" s="195">
        <v>964</v>
      </c>
      <c r="H372" s="195">
        <v>1547</v>
      </c>
      <c r="I372" s="195">
        <v>1636</v>
      </c>
      <c r="J372" s="195">
        <v>1678</v>
      </c>
      <c r="K372" s="195">
        <v>1962</v>
      </c>
      <c r="L372" s="20"/>
    </row>
    <row r="373" spans="1:12" ht="15.95" customHeight="1" x14ac:dyDescent="0.25">
      <c r="A373" s="1775"/>
      <c r="B373" s="1799"/>
      <c r="C373" s="1123" t="s">
        <v>436</v>
      </c>
      <c r="D373" s="1124"/>
      <c r="E373" s="96"/>
      <c r="F373" s="96">
        <v>481</v>
      </c>
      <c r="G373" s="96">
        <v>590</v>
      </c>
      <c r="H373" s="96">
        <v>830</v>
      </c>
      <c r="I373" s="96">
        <v>778</v>
      </c>
      <c r="J373" s="96">
        <v>827</v>
      </c>
      <c r="K373" s="96">
        <v>970</v>
      </c>
      <c r="L373" s="21"/>
    </row>
    <row r="374" spans="1:12" ht="15.95" customHeight="1" x14ac:dyDescent="0.25">
      <c r="A374" s="1775"/>
      <c r="B374" s="1799"/>
      <c r="C374" s="1123" t="s">
        <v>437</v>
      </c>
      <c r="D374" s="1124"/>
      <c r="E374" s="96"/>
      <c r="F374" s="96">
        <v>427</v>
      </c>
      <c r="G374" s="96">
        <v>374</v>
      </c>
      <c r="H374" s="96">
        <v>717</v>
      </c>
      <c r="I374" s="96">
        <v>858</v>
      </c>
      <c r="J374" s="96">
        <v>851</v>
      </c>
      <c r="K374" s="96">
        <v>992</v>
      </c>
      <c r="L374" s="21"/>
    </row>
    <row r="375" spans="1:12" ht="15.95" customHeight="1" thickBot="1" x14ac:dyDescent="0.3">
      <c r="A375" s="1775"/>
      <c r="B375" s="1799"/>
      <c r="C375" s="1170" t="s">
        <v>270</v>
      </c>
      <c r="D375" s="1288"/>
      <c r="E375" s="190"/>
      <c r="F375" s="247">
        <f t="shared" ref="F375:K375" si="27">F374/F372*100</f>
        <v>47.026431718061673</v>
      </c>
      <c r="G375" s="247">
        <f t="shared" si="27"/>
        <v>38.796680497925315</v>
      </c>
      <c r="H375" s="247">
        <f t="shared" si="27"/>
        <v>46.347769877181641</v>
      </c>
      <c r="I375" s="247">
        <f t="shared" si="27"/>
        <v>52.444987775061122</v>
      </c>
      <c r="J375" s="247">
        <f t="shared" si="27"/>
        <v>50.715137067938024</v>
      </c>
      <c r="K375" s="247">
        <f t="shared" si="27"/>
        <v>50.560652395514779</v>
      </c>
      <c r="L375" s="22"/>
    </row>
    <row r="376" spans="1:12" ht="15.95" customHeight="1" x14ac:dyDescent="0.25">
      <c r="A376" s="1775"/>
      <c r="B376" s="1799"/>
      <c r="C376" s="1159" t="s">
        <v>523</v>
      </c>
      <c r="D376" s="248" t="s">
        <v>251</v>
      </c>
      <c r="E376" s="249"/>
      <c r="F376" s="250">
        <v>146</v>
      </c>
      <c r="G376" s="250">
        <v>165</v>
      </c>
      <c r="H376" s="250">
        <v>133</v>
      </c>
      <c r="I376" s="250">
        <v>130</v>
      </c>
      <c r="J376" s="250">
        <v>144</v>
      </c>
      <c r="K376" s="36">
        <v>173</v>
      </c>
      <c r="L376" s="20"/>
    </row>
    <row r="377" spans="1:12" ht="15.95" customHeight="1" x14ac:dyDescent="0.25">
      <c r="A377" s="1775"/>
      <c r="B377" s="1799"/>
      <c r="C377" s="1160"/>
      <c r="D377" s="28" t="s">
        <v>257</v>
      </c>
      <c r="E377" s="94"/>
      <c r="F377" s="80">
        <v>38</v>
      </c>
      <c r="G377" s="80">
        <v>68</v>
      </c>
      <c r="H377" s="80">
        <v>61</v>
      </c>
      <c r="I377" s="80">
        <v>48</v>
      </c>
      <c r="J377" s="80">
        <v>48</v>
      </c>
      <c r="K377" s="28">
        <v>67</v>
      </c>
      <c r="L377" s="21"/>
    </row>
    <row r="378" spans="1:12" ht="15.95" customHeight="1" x14ac:dyDescent="0.25">
      <c r="A378" s="1775"/>
      <c r="B378" s="1799"/>
      <c r="C378" s="1160"/>
      <c r="D378" s="28" t="s">
        <v>263</v>
      </c>
      <c r="E378" s="94"/>
      <c r="F378" s="80">
        <v>108</v>
      </c>
      <c r="G378" s="80">
        <v>97</v>
      </c>
      <c r="H378" s="80">
        <v>72</v>
      </c>
      <c r="I378" s="80">
        <v>82</v>
      </c>
      <c r="J378" s="80">
        <v>96</v>
      </c>
      <c r="K378" s="28">
        <v>106</v>
      </c>
      <c r="L378" s="21"/>
    </row>
    <row r="379" spans="1:12" ht="15.95" customHeight="1" x14ac:dyDescent="0.25">
      <c r="A379" s="1775"/>
      <c r="B379" s="1799"/>
      <c r="C379" s="1161"/>
      <c r="D379" s="203" t="s">
        <v>270</v>
      </c>
      <c r="E379" s="104"/>
      <c r="F379" s="251">
        <f>(F378*100)/F376</f>
        <v>73.972602739726028</v>
      </c>
      <c r="G379" s="252">
        <f t="shared" ref="G379:K379" si="28">(G378*100)/G376</f>
        <v>58.787878787878789</v>
      </c>
      <c r="H379" s="252">
        <f t="shared" si="28"/>
        <v>54.13533834586466</v>
      </c>
      <c r="I379" s="251">
        <f t="shared" si="28"/>
        <v>63.07692307692308</v>
      </c>
      <c r="J379" s="251">
        <f t="shared" si="28"/>
        <v>66.666666666666671</v>
      </c>
      <c r="K379" s="251">
        <f t="shared" si="28"/>
        <v>61.271676300578036</v>
      </c>
      <c r="L379" s="22"/>
    </row>
    <row r="380" spans="1:12" ht="15.95" customHeight="1" x14ac:dyDescent="0.25">
      <c r="A380" s="1775"/>
      <c r="B380" s="1799"/>
      <c r="C380" s="1159" t="s">
        <v>465</v>
      </c>
      <c r="D380" s="248" t="s">
        <v>251</v>
      </c>
      <c r="E380" s="249"/>
      <c r="F380" s="250">
        <v>254</v>
      </c>
      <c r="G380" s="250">
        <v>233</v>
      </c>
      <c r="H380" s="250">
        <v>516</v>
      </c>
      <c r="I380" s="250">
        <v>654</v>
      </c>
      <c r="J380" s="250">
        <v>629</v>
      </c>
      <c r="K380" s="36">
        <v>888</v>
      </c>
      <c r="L380" s="20"/>
    </row>
    <row r="381" spans="1:12" ht="15.95" customHeight="1" x14ac:dyDescent="0.25">
      <c r="A381" s="1775"/>
      <c r="B381" s="1799"/>
      <c r="C381" s="1160"/>
      <c r="D381" s="28" t="s">
        <v>257</v>
      </c>
      <c r="E381" s="94"/>
      <c r="F381" s="80">
        <v>34</v>
      </c>
      <c r="G381" s="80">
        <v>54</v>
      </c>
      <c r="H381" s="80">
        <v>84</v>
      </c>
      <c r="I381" s="80">
        <v>105</v>
      </c>
      <c r="J381" s="80">
        <v>108</v>
      </c>
      <c r="K381" s="28">
        <v>247</v>
      </c>
      <c r="L381" s="21"/>
    </row>
    <row r="382" spans="1:12" ht="15.95" customHeight="1" x14ac:dyDescent="0.25">
      <c r="A382" s="1775"/>
      <c r="B382" s="1799"/>
      <c r="C382" s="1160"/>
      <c r="D382" s="28" t="s">
        <v>263</v>
      </c>
      <c r="E382" s="94"/>
      <c r="F382" s="80">
        <v>220</v>
      </c>
      <c r="G382" s="80">
        <v>179</v>
      </c>
      <c r="H382" s="80">
        <v>432</v>
      </c>
      <c r="I382" s="80">
        <v>549</v>
      </c>
      <c r="J382" s="80">
        <v>521</v>
      </c>
      <c r="K382" s="28">
        <v>641</v>
      </c>
      <c r="L382" s="21"/>
    </row>
    <row r="383" spans="1:12" ht="15.95" customHeight="1" x14ac:dyDescent="0.25">
      <c r="A383" s="1775"/>
      <c r="B383" s="1799"/>
      <c r="C383" s="1519"/>
      <c r="D383" s="336" t="s">
        <v>270</v>
      </c>
      <c r="E383" s="126"/>
      <c r="F383" s="594">
        <f>(F382*100)/F380</f>
        <v>86.614173228346459</v>
      </c>
      <c r="G383" s="594">
        <f t="shared" ref="G383:K383" si="29">(G382*100)/G380</f>
        <v>76.824034334763951</v>
      </c>
      <c r="H383" s="594">
        <f t="shared" si="29"/>
        <v>83.720930232558146</v>
      </c>
      <c r="I383" s="594">
        <f t="shared" si="29"/>
        <v>83.944954128440372</v>
      </c>
      <c r="J383" s="594">
        <f t="shared" si="29"/>
        <v>82.829888712241655</v>
      </c>
      <c r="K383" s="594">
        <f t="shared" si="29"/>
        <v>72.184684684684683</v>
      </c>
      <c r="L383" s="53"/>
    </row>
    <row r="384" spans="1:12" ht="15.95" customHeight="1" x14ac:dyDescent="0.25">
      <c r="A384" s="1775"/>
      <c r="B384" s="1799"/>
      <c r="C384" s="1159" t="s">
        <v>559</v>
      </c>
      <c r="D384" s="248" t="s">
        <v>251</v>
      </c>
      <c r="E384" s="249"/>
      <c r="F384" s="250">
        <v>40</v>
      </c>
      <c r="G384" s="250">
        <v>47</v>
      </c>
      <c r="H384" s="250">
        <v>64</v>
      </c>
      <c r="I384" s="250">
        <v>47</v>
      </c>
      <c r="J384" s="250">
        <v>51</v>
      </c>
      <c r="K384" s="36">
        <v>49</v>
      </c>
      <c r="L384" s="20"/>
    </row>
    <row r="385" spans="1:14" ht="15.95" customHeight="1" x14ac:dyDescent="0.25">
      <c r="A385" s="1775"/>
      <c r="B385" s="1799"/>
      <c r="C385" s="1160"/>
      <c r="D385" s="28" t="s">
        <v>257</v>
      </c>
      <c r="E385" s="94"/>
      <c r="F385" s="80">
        <v>39</v>
      </c>
      <c r="G385" s="80">
        <v>47</v>
      </c>
      <c r="H385" s="80">
        <v>62</v>
      </c>
      <c r="I385" s="80">
        <v>45</v>
      </c>
      <c r="J385" s="80">
        <v>47</v>
      </c>
      <c r="K385" s="28">
        <v>46</v>
      </c>
      <c r="L385" s="21"/>
    </row>
    <row r="386" spans="1:14" ht="15.95" customHeight="1" x14ac:dyDescent="0.25">
      <c r="A386" s="1775"/>
      <c r="B386" s="1799"/>
      <c r="C386" s="1160"/>
      <c r="D386" s="28" t="s">
        <v>263</v>
      </c>
      <c r="E386" s="94"/>
      <c r="F386" s="80">
        <v>1</v>
      </c>
      <c r="G386" s="80">
        <v>0</v>
      </c>
      <c r="H386" s="80">
        <v>2</v>
      </c>
      <c r="I386" s="80">
        <v>2</v>
      </c>
      <c r="J386" s="80">
        <v>4</v>
      </c>
      <c r="K386" s="28">
        <v>3</v>
      </c>
      <c r="L386" s="21"/>
    </row>
    <row r="387" spans="1:14" ht="15.95" customHeight="1" x14ac:dyDescent="0.25">
      <c r="A387" s="1775"/>
      <c r="B387" s="1799"/>
      <c r="C387" s="1519"/>
      <c r="D387" s="336" t="s">
        <v>270</v>
      </c>
      <c r="E387" s="126"/>
      <c r="F387" s="596">
        <f>(F386*100)/F384</f>
        <v>2.5</v>
      </c>
      <c r="G387" s="596">
        <f t="shared" ref="G387:J387" si="30">(G386*100)/G384</f>
        <v>0</v>
      </c>
      <c r="H387" s="596">
        <f t="shared" si="30"/>
        <v>3.125</v>
      </c>
      <c r="I387" s="596">
        <f t="shared" si="30"/>
        <v>4.2553191489361701</v>
      </c>
      <c r="J387" s="596">
        <f t="shared" si="30"/>
        <v>7.8431372549019605</v>
      </c>
      <c r="K387" s="596">
        <f>(K386*100)/K384</f>
        <v>6.1224489795918364</v>
      </c>
      <c r="L387" s="53"/>
    </row>
    <row r="388" spans="1:14" ht="15.95" customHeight="1" x14ac:dyDescent="0.25">
      <c r="A388" s="1775"/>
      <c r="B388" s="1799"/>
      <c r="C388" s="1159" t="s">
        <v>522</v>
      </c>
      <c r="D388" s="248" t="s">
        <v>251</v>
      </c>
      <c r="E388" s="249"/>
      <c r="F388" s="250">
        <v>182</v>
      </c>
      <c r="G388" s="250">
        <v>153</v>
      </c>
      <c r="H388" s="250">
        <v>173</v>
      </c>
      <c r="I388" s="250">
        <v>151</v>
      </c>
      <c r="J388" s="250">
        <v>143</v>
      </c>
      <c r="K388" s="36">
        <v>137</v>
      </c>
      <c r="L388" s="20"/>
    </row>
    <row r="389" spans="1:14" ht="15.95" customHeight="1" x14ac:dyDescent="0.25">
      <c r="A389" s="1775"/>
      <c r="B389" s="1799"/>
      <c r="C389" s="1160"/>
      <c r="D389" s="28" t="s">
        <v>257</v>
      </c>
      <c r="E389" s="94"/>
      <c r="F389" s="80">
        <v>178</v>
      </c>
      <c r="G389" s="80">
        <v>148</v>
      </c>
      <c r="H389" s="80">
        <v>169</v>
      </c>
      <c r="I389" s="80">
        <v>144</v>
      </c>
      <c r="J389" s="80">
        <v>137</v>
      </c>
      <c r="K389" s="28">
        <v>133</v>
      </c>
      <c r="L389" s="21"/>
    </row>
    <row r="390" spans="1:14" ht="15.95" customHeight="1" x14ac:dyDescent="0.25">
      <c r="A390" s="1775"/>
      <c r="B390" s="1799"/>
      <c r="C390" s="1160"/>
      <c r="D390" s="28" t="s">
        <v>263</v>
      </c>
      <c r="E390" s="94"/>
      <c r="F390" s="80">
        <v>4</v>
      </c>
      <c r="G390" s="80">
        <v>5</v>
      </c>
      <c r="H390" s="80">
        <v>4</v>
      </c>
      <c r="I390" s="80">
        <v>7</v>
      </c>
      <c r="J390" s="80">
        <v>6</v>
      </c>
      <c r="K390" s="28">
        <v>4</v>
      </c>
      <c r="L390" s="21"/>
    </row>
    <row r="391" spans="1:14" ht="15.95" customHeight="1" x14ac:dyDescent="0.25">
      <c r="A391" s="1775"/>
      <c r="B391" s="1799"/>
      <c r="C391" s="1519"/>
      <c r="D391" s="336" t="s">
        <v>270</v>
      </c>
      <c r="E391" s="126"/>
      <c r="F391" s="596">
        <f>(F390*100)/F388</f>
        <v>2.197802197802198</v>
      </c>
      <c r="G391" s="596">
        <f t="shared" ref="G391:J391" si="31">(G390*100)/G388</f>
        <v>3.2679738562091503</v>
      </c>
      <c r="H391" s="596">
        <f t="shared" si="31"/>
        <v>2.3121387283236996</v>
      </c>
      <c r="I391" s="596">
        <f t="shared" si="31"/>
        <v>4.6357615894039732</v>
      </c>
      <c r="J391" s="596">
        <f t="shared" si="31"/>
        <v>4.1958041958041958</v>
      </c>
      <c r="K391" s="596">
        <f>(K390*100)/K388</f>
        <v>2.9197080291970803</v>
      </c>
      <c r="L391" s="53"/>
    </row>
    <row r="392" spans="1:14" ht="15.95" customHeight="1" x14ac:dyDescent="0.25">
      <c r="A392" s="1775"/>
      <c r="B392" s="1799"/>
      <c r="C392" s="1159" t="s">
        <v>524</v>
      </c>
      <c r="D392" s="248" t="s">
        <v>251</v>
      </c>
      <c r="E392" s="249"/>
      <c r="F392" s="344">
        <v>72</v>
      </c>
      <c r="G392" s="250">
        <v>125</v>
      </c>
      <c r="H392" s="250">
        <v>157</v>
      </c>
      <c r="I392" s="250">
        <v>150</v>
      </c>
      <c r="J392" s="250">
        <v>201</v>
      </c>
      <c r="K392" s="250">
        <v>230</v>
      </c>
      <c r="L392" s="20"/>
    </row>
    <row r="393" spans="1:14" ht="15.95" customHeight="1" x14ac:dyDescent="0.25">
      <c r="A393" s="1775"/>
      <c r="B393" s="1799"/>
      <c r="C393" s="1160"/>
      <c r="D393" s="28" t="s">
        <v>257</v>
      </c>
      <c r="E393" s="94"/>
      <c r="F393" s="181">
        <v>64</v>
      </c>
      <c r="G393" s="80">
        <v>122</v>
      </c>
      <c r="H393" s="80">
        <v>143</v>
      </c>
      <c r="I393" s="80">
        <v>140</v>
      </c>
      <c r="J393" s="80">
        <v>192</v>
      </c>
      <c r="K393" s="80">
        <v>207</v>
      </c>
      <c r="L393" s="21"/>
    </row>
    <row r="394" spans="1:14" ht="15.95" customHeight="1" x14ac:dyDescent="0.25">
      <c r="A394" s="1775"/>
      <c r="B394" s="1799"/>
      <c r="C394" s="1160"/>
      <c r="D394" s="28" t="s">
        <v>263</v>
      </c>
      <c r="E394" s="94"/>
      <c r="F394" s="181">
        <v>8</v>
      </c>
      <c r="G394" s="80">
        <v>3</v>
      </c>
      <c r="H394" s="80">
        <v>14</v>
      </c>
      <c r="I394" s="80">
        <v>10</v>
      </c>
      <c r="J394" s="80">
        <v>9</v>
      </c>
      <c r="K394" s="80">
        <v>23</v>
      </c>
      <c r="L394" s="21"/>
      <c r="N394" s="326"/>
    </row>
    <row r="395" spans="1:14" ht="15.95" customHeight="1" x14ac:dyDescent="0.25">
      <c r="A395" s="1775"/>
      <c r="B395" s="1799"/>
      <c r="C395" s="1519"/>
      <c r="D395" s="336" t="s">
        <v>270</v>
      </c>
      <c r="E395" s="126"/>
      <c r="F395" s="596">
        <f>(F394*100)/F392</f>
        <v>11.111111111111111</v>
      </c>
      <c r="G395" s="596">
        <f t="shared" ref="G395:K395" si="32">(G394*100)/G392</f>
        <v>2.4</v>
      </c>
      <c r="H395" s="596">
        <f t="shared" si="32"/>
        <v>8.9171974522292992</v>
      </c>
      <c r="I395" s="596">
        <f t="shared" si="32"/>
        <v>6.666666666666667</v>
      </c>
      <c r="J395" s="596">
        <f t="shared" si="32"/>
        <v>4.4776119402985071</v>
      </c>
      <c r="K395" s="596">
        <f t="shared" si="32"/>
        <v>10</v>
      </c>
      <c r="L395" s="53"/>
    </row>
    <row r="396" spans="1:14" ht="15.95" customHeight="1" x14ac:dyDescent="0.25">
      <c r="A396" s="1775"/>
      <c r="B396" s="1799"/>
      <c r="C396" s="1159" t="s">
        <v>531</v>
      </c>
      <c r="D396" s="248" t="s">
        <v>251</v>
      </c>
      <c r="E396" s="249"/>
      <c r="F396" s="250">
        <v>51</v>
      </c>
      <c r="G396" s="250">
        <v>59</v>
      </c>
      <c r="H396" s="250">
        <v>83</v>
      </c>
      <c r="I396" s="250">
        <v>82</v>
      </c>
      <c r="J396" s="250">
        <v>81</v>
      </c>
      <c r="K396" s="36">
        <v>80</v>
      </c>
      <c r="L396" s="20"/>
    </row>
    <row r="397" spans="1:14" ht="15.95" customHeight="1" x14ac:dyDescent="0.25">
      <c r="A397" s="1775"/>
      <c r="B397" s="1799"/>
      <c r="C397" s="1160"/>
      <c r="D397" s="28" t="s">
        <v>257</v>
      </c>
      <c r="E397" s="94"/>
      <c r="F397" s="80">
        <v>4</v>
      </c>
      <c r="G397" s="80">
        <v>18</v>
      </c>
      <c r="H397" s="80">
        <v>14</v>
      </c>
      <c r="I397" s="80">
        <v>13</v>
      </c>
      <c r="J397" s="80">
        <v>18</v>
      </c>
      <c r="K397" s="28">
        <v>16</v>
      </c>
      <c r="L397" s="21"/>
    </row>
    <row r="398" spans="1:14" ht="15.95" customHeight="1" x14ac:dyDescent="0.25">
      <c r="A398" s="1775"/>
      <c r="B398" s="1799"/>
      <c r="C398" s="1160"/>
      <c r="D398" s="28" t="s">
        <v>263</v>
      </c>
      <c r="E398" s="94"/>
      <c r="F398" s="80">
        <v>47</v>
      </c>
      <c r="G398" s="80">
        <v>41</v>
      </c>
      <c r="H398" s="80">
        <v>69</v>
      </c>
      <c r="I398" s="80">
        <v>69</v>
      </c>
      <c r="J398" s="80">
        <v>63</v>
      </c>
      <c r="K398" s="28">
        <v>64</v>
      </c>
      <c r="L398" s="21"/>
    </row>
    <row r="399" spans="1:14" ht="15.95" customHeight="1" x14ac:dyDescent="0.25">
      <c r="A399" s="1775"/>
      <c r="B399" s="1799"/>
      <c r="C399" s="1519"/>
      <c r="D399" s="336" t="s">
        <v>270</v>
      </c>
      <c r="E399" s="126"/>
      <c r="F399" s="594">
        <f>(F398*100)/F396</f>
        <v>92.156862745098039</v>
      </c>
      <c r="G399" s="594">
        <f t="shared" ref="G399:J399" si="33">(G398*100)/G396</f>
        <v>69.491525423728817</v>
      </c>
      <c r="H399" s="594">
        <f t="shared" si="33"/>
        <v>83.132530120481931</v>
      </c>
      <c r="I399" s="594">
        <f t="shared" si="33"/>
        <v>84.146341463414629</v>
      </c>
      <c r="J399" s="594">
        <f t="shared" si="33"/>
        <v>77.777777777777771</v>
      </c>
      <c r="K399" s="594">
        <f>(K398*100)/K396</f>
        <v>80</v>
      </c>
      <c r="L399" s="53"/>
    </row>
    <row r="400" spans="1:14" ht="15.95" customHeight="1" x14ac:dyDescent="0.25">
      <c r="A400" s="1775"/>
      <c r="B400" s="1799"/>
      <c r="C400" s="1159" t="s">
        <v>526</v>
      </c>
      <c r="D400" s="248" t="s">
        <v>251</v>
      </c>
      <c r="E400" s="249"/>
      <c r="F400" s="250">
        <v>89</v>
      </c>
      <c r="G400" s="250">
        <v>93</v>
      </c>
      <c r="H400" s="250">
        <v>110</v>
      </c>
      <c r="I400" s="250">
        <v>99</v>
      </c>
      <c r="J400" s="250">
        <v>97</v>
      </c>
      <c r="K400" s="36">
        <v>98</v>
      </c>
      <c r="L400" s="20"/>
    </row>
    <row r="401" spans="1:12" ht="15.95" customHeight="1" x14ac:dyDescent="0.25">
      <c r="A401" s="1775"/>
      <c r="B401" s="1799"/>
      <c r="C401" s="1160"/>
      <c r="D401" s="28" t="s">
        <v>257</v>
      </c>
      <c r="E401" s="94"/>
      <c r="F401" s="80">
        <v>51</v>
      </c>
      <c r="G401" s="80">
        <v>49</v>
      </c>
      <c r="H401" s="80">
        <v>56</v>
      </c>
      <c r="I401" s="80">
        <v>46</v>
      </c>
      <c r="J401" s="80">
        <v>43</v>
      </c>
      <c r="K401" s="28">
        <v>43</v>
      </c>
      <c r="L401" s="21"/>
    </row>
    <row r="402" spans="1:12" ht="15.95" customHeight="1" x14ac:dyDescent="0.25">
      <c r="A402" s="1775"/>
      <c r="B402" s="1799"/>
      <c r="C402" s="1160"/>
      <c r="D402" s="28" t="s">
        <v>263</v>
      </c>
      <c r="E402" s="94"/>
      <c r="F402" s="80">
        <v>38</v>
      </c>
      <c r="G402" s="80">
        <v>44</v>
      </c>
      <c r="H402" s="80">
        <v>54</v>
      </c>
      <c r="I402" s="80">
        <v>53</v>
      </c>
      <c r="J402" s="80">
        <v>54</v>
      </c>
      <c r="K402" s="28">
        <v>55</v>
      </c>
      <c r="L402" s="21"/>
    </row>
    <row r="403" spans="1:12" ht="15.95" customHeight="1" x14ac:dyDescent="0.25">
      <c r="A403" s="1775"/>
      <c r="B403" s="1799"/>
      <c r="C403" s="1519"/>
      <c r="D403" s="336" t="s">
        <v>270</v>
      </c>
      <c r="E403" s="126"/>
      <c r="F403" s="595">
        <f>(F402*100)/F400</f>
        <v>42.696629213483149</v>
      </c>
      <c r="G403" s="595">
        <f t="shared" ref="G403:J403" si="34">(G402*100)/G400</f>
        <v>47.311827956989248</v>
      </c>
      <c r="H403" s="595">
        <f t="shared" si="34"/>
        <v>49.090909090909093</v>
      </c>
      <c r="I403" s="595">
        <f t="shared" si="34"/>
        <v>53.535353535353536</v>
      </c>
      <c r="J403" s="595">
        <f t="shared" si="34"/>
        <v>55.670103092783506</v>
      </c>
      <c r="K403" s="595">
        <f>(K402*100)/K400</f>
        <v>56.122448979591837</v>
      </c>
      <c r="L403" s="53"/>
    </row>
    <row r="404" spans="1:12" ht="15.95" customHeight="1" x14ac:dyDescent="0.25">
      <c r="A404" s="1775"/>
      <c r="B404" s="1799"/>
      <c r="C404" s="1159" t="s">
        <v>564</v>
      </c>
      <c r="D404" s="248" t="s">
        <v>251</v>
      </c>
      <c r="E404" s="249"/>
      <c r="F404" s="250">
        <v>33</v>
      </c>
      <c r="G404" s="250">
        <v>23</v>
      </c>
      <c r="H404" s="250">
        <v>25</v>
      </c>
      <c r="I404" s="250">
        <v>35</v>
      </c>
      <c r="J404" s="250">
        <v>28</v>
      </c>
      <c r="K404" s="36">
        <v>26</v>
      </c>
      <c r="L404" s="20"/>
    </row>
    <row r="405" spans="1:12" ht="15.95" customHeight="1" x14ac:dyDescent="0.25">
      <c r="A405" s="1775"/>
      <c r="B405" s="1799"/>
      <c r="C405" s="1160"/>
      <c r="D405" s="28" t="s">
        <v>257</v>
      </c>
      <c r="E405" s="94"/>
      <c r="F405" s="80">
        <v>32</v>
      </c>
      <c r="G405" s="80">
        <v>21</v>
      </c>
      <c r="H405" s="80">
        <v>19</v>
      </c>
      <c r="I405" s="80">
        <v>26</v>
      </c>
      <c r="J405" s="80">
        <v>25</v>
      </c>
      <c r="K405" s="28">
        <v>24</v>
      </c>
      <c r="L405" s="21"/>
    </row>
    <row r="406" spans="1:12" ht="15.95" customHeight="1" x14ac:dyDescent="0.25">
      <c r="A406" s="1775"/>
      <c r="B406" s="1799"/>
      <c r="C406" s="1160"/>
      <c r="D406" s="28" t="s">
        <v>263</v>
      </c>
      <c r="E406" s="94"/>
      <c r="F406" s="80">
        <v>1</v>
      </c>
      <c r="G406" s="80">
        <v>2</v>
      </c>
      <c r="H406" s="80">
        <v>6</v>
      </c>
      <c r="I406" s="80">
        <v>9</v>
      </c>
      <c r="J406" s="80">
        <v>3</v>
      </c>
      <c r="K406" s="28">
        <v>2</v>
      </c>
      <c r="L406" s="21"/>
    </row>
    <row r="407" spans="1:12" ht="15.95" customHeight="1" x14ac:dyDescent="0.25">
      <c r="A407" s="1775"/>
      <c r="B407" s="1799"/>
      <c r="C407" s="1519"/>
      <c r="D407" s="336" t="s">
        <v>270</v>
      </c>
      <c r="E407" s="126"/>
      <c r="F407" s="596">
        <f>(F406*100)/F404</f>
        <v>3.0303030303030303</v>
      </c>
      <c r="G407" s="596">
        <f t="shared" ref="G407:J407" si="35">(G406*100)/G404</f>
        <v>8.695652173913043</v>
      </c>
      <c r="H407" s="596">
        <f t="shared" si="35"/>
        <v>24</v>
      </c>
      <c r="I407" s="596">
        <f t="shared" si="35"/>
        <v>25.714285714285715</v>
      </c>
      <c r="J407" s="596">
        <f t="shared" si="35"/>
        <v>10.714285714285714</v>
      </c>
      <c r="K407" s="596">
        <f>(K406*100)/K404</f>
        <v>7.6923076923076925</v>
      </c>
      <c r="L407" s="53"/>
    </row>
    <row r="408" spans="1:12" ht="15.95" customHeight="1" x14ac:dyDescent="0.25">
      <c r="A408" s="1775"/>
      <c r="B408" s="1799"/>
      <c r="C408" s="1159" t="s">
        <v>527</v>
      </c>
      <c r="D408" s="248" t="s">
        <v>251</v>
      </c>
      <c r="E408" s="249"/>
      <c r="F408" s="250">
        <v>41</v>
      </c>
      <c r="G408" s="250">
        <v>41</v>
      </c>
      <c r="H408" s="250">
        <v>24</v>
      </c>
      <c r="I408" s="250">
        <v>30</v>
      </c>
      <c r="J408" s="250">
        <v>37</v>
      </c>
      <c r="K408" s="36">
        <v>37</v>
      </c>
      <c r="L408" s="20"/>
    </row>
    <row r="409" spans="1:12" ht="15.95" customHeight="1" x14ac:dyDescent="0.25">
      <c r="A409" s="1775"/>
      <c r="B409" s="1799"/>
      <c r="C409" s="1160"/>
      <c r="D409" s="28" t="s">
        <v>257</v>
      </c>
      <c r="E409" s="94"/>
      <c r="F409" s="80">
        <v>41</v>
      </c>
      <c r="G409" s="80">
        <v>38</v>
      </c>
      <c r="H409" s="80">
        <v>22</v>
      </c>
      <c r="I409" s="80">
        <v>28</v>
      </c>
      <c r="J409" s="80">
        <v>33</v>
      </c>
      <c r="K409" s="28">
        <v>33</v>
      </c>
      <c r="L409" s="21"/>
    </row>
    <row r="410" spans="1:12" ht="15.95" customHeight="1" x14ac:dyDescent="0.25">
      <c r="A410" s="1775"/>
      <c r="B410" s="1799"/>
      <c r="C410" s="1160"/>
      <c r="D410" s="28" t="s">
        <v>263</v>
      </c>
      <c r="E410" s="94"/>
      <c r="F410" s="80">
        <v>0</v>
      </c>
      <c r="G410" s="80">
        <v>3</v>
      </c>
      <c r="H410" s="80">
        <v>2</v>
      </c>
      <c r="I410" s="80">
        <v>2</v>
      </c>
      <c r="J410" s="80">
        <v>4</v>
      </c>
      <c r="K410" s="28">
        <v>4</v>
      </c>
      <c r="L410" s="21"/>
    </row>
    <row r="411" spans="1:12" ht="15.95" customHeight="1" x14ac:dyDescent="0.25">
      <c r="A411" s="1775"/>
      <c r="B411" s="1799"/>
      <c r="C411" s="1519"/>
      <c r="D411" s="336" t="s">
        <v>270</v>
      </c>
      <c r="E411" s="126"/>
      <c r="F411" s="596">
        <f>(F410*100)/F408</f>
        <v>0</v>
      </c>
      <c r="G411" s="596">
        <f t="shared" ref="G411:J411" si="36">(G410*100)/G408</f>
        <v>7.3170731707317076</v>
      </c>
      <c r="H411" s="596">
        <f t="shared" si="36"/>
        <v>8.3333333333333339</v>
      </c>
      <c r="I411" s="596">
        <f t="shared" si="36"/>
        <v>6.666666666666667</v>
      </c>
      <c r="J411" s="596">
        <f t="shared" si="36"/>
        <v>10.810810810810811</v>
      </c>
      <c r="K411" s="596">
        <f>(K410*100)/K408</f>
        <v>10.810810810810811</v>
      </c>
      <c r="L411" s="53"/>
    </row>
    <row r="412" spans="1:12" ht="15.95" customHeight="1" x14ac:dyDescent="0.25">
      <c r="A412" s="1775"/>
      <c r="B412" s="1799"/>
      <c r="C412" s="1159" t="s">
        <v>525</v>
      </c>
      <c r="D412" s="248" t="s">
        <v>251</v>
      </c>
      <c r="E412" s="249"/>
      <c r="F412" s="250"/>
      <c r="G412" s="250">
        <v>25</v>
      </c>
      <c r="H412" s="250">
        <v>22</v>
      </c>
      <c r="I412" s="250">
        <v>19</v>
      </c>
      <c r="J412" s="250">
        <v>19</v>
      </c>
      <c r="K412" s="36">
        <v>20</v>
      </c>
      <c r="L412" s="20"/>
    </row>
    <row r="413" spans="1:12" ht="15.95" customHeight="1" x14ac:dyDescent="0.25">
      <c r="A413" s="1775"/>
      <c r="B413" s="1799"/>
      <c r="C413" s="1160"/>
      <c r="D413" s="28" t="s">
        <v>257</v>
      </c>
      <c r="E413" s="94"/>
      <c r="F413" s="80"/>
      <c r="G413" s="80">
        <v>25</v>
      </c>
      <c r="H413" s="80">
        <v>21</v>
      </c>
      <c r="I413" s="80">
        <v>18</v>
      </c>
      <c r="J413" s="80">
        <v>18</v>
      </c>
      <c r="K413" s="28">
        <v>15</v>
      </c>
      <c r="L413" s="21"/>
    </row>
    <row r="414" spans="1:12" ht="15.95" customHeight="1" x14ac:dyDescent="0.25">
      <c r="A414" s="1775"/>
      <c r="B414" s="1799"/>
      <c r="C414" s="1160"/>
      <c r="D414" s="28" t="s">
        <v>263</v>
      </c>
      <c r="E414" s="94"/>
      <c r="F414" s="80"/>
      <c r="G414" s="80">
        <v>0</v>
      </c>
      <c r="H414" s="80">
        <v>1</v>
      </c>
      <c r="I414" s="80">
        <v>1</v>
      </c>
      <c r="J414" s="80">
        <v>1</v>
      </c>
      <c r="K414" s="28">
        <v>5</v>
      </c>
      <c r="L414" s="21"/>
    </row>
    <row r="415" spans="1:12" ht="15.95" customHeight="1" x14ac:dyDescent="0.25">
      <c r="A415" s="1775"/>
      <c r="B415" s="1799"/>
      <c r="C415" s="1519"/>
      <c r="D415" s="336" t="s">
        <v>270</v>
      </c>
      <c r="E415" s="126"/>
      <c r="F415" s="441"/>
      <c r="G415" s="596">
        <f>(G414*100)/G412</f>
        <v>0</v>
      </c>
      <c r="H415" s="596">
        <f t="shared" ref="H415:J415" si="37">(H414*100)/H412</f>
        <v>4.5454545454545459</v>
      </c>
      <c r="I415" s="596">
        <f t="shared" si="37"/>
        <v>5.2631578947368425</v>
      </c>
      <c r="J415" s="596">
        <f t="shared" si="37"/>
        <v>5.2631578947368425</v>
      </c>
      <c r="K415" s="596">
        <f>(K414*100)/K412</f>
        <v>25</v>
      </c>
      <c r="L415" s="53"/>
    </row>
    <row r="416" spans="1:12" ht="15.95" customHeight="1" x14ac:dyDescent="0.25">
      <c r="A416" s="1775"/>
      <c r="B416" s="1799"/>
      <c r="C416" s="1159" t="s">
        <v>482</v>
      </c>
      <c r="D416" s="248" t="s">
        <v>251</v>
      </c>
      <c r="E416" s="249"/>
      <c r="F416" s="250"/>
      <c r="G416" s="250"/>
      <c r="H416" s="250">
        <v>167</v>
      </c>
      <c r="I416" s="250">
        <v>180</v>
      </c>
      <c r="J416" s="250">
        <v>182</v>
      </c>
      <c r="K416" s="36">
        <v>163</v>
      </c>
      <c r="L416" s="20"/>
    </row>
    <row r="417" spans="1:12" ht="15.95" customHeight="1" x14ac:dyDescent="0.25">
      <c r="A417" s="1775"/>
      <c r="B417" s="1799"/>
      <c r="C417" s="1160"/>
      <c r="D417" s="28" t="s">
        <v>257</v>
      </c>
      <c r="E417" s="94"/>
      <c r="F417" s="80"/>
      <c r="G417" s="80"/>
      <c r="H417" s="80">
        <v>115</v>
      </c>
      <c r="I417" s="80">
        <v>117</v>
      </c>
      <c r="J417" s="80">
        <v>114</v>
      </c>
      <c r="K417" s="28">
        <v>99</v>
      </c>
      <c r="L417" s="21"/>
    </row>
    <row r="418" spans="1:12" ht="15.95" customHeight="1" x14ac:dyDescent="0.25">
      <c r="A418" s="1775"/>
      <c r="B418" s="1799"/>
      <c r="C418" s="1160"/>
      <c r="D418" s="28" t="s">
        <v>263</v>
      </c>
      <c r="E418" s="94"/>
      <c r="F418" s="80"/>
      <c r="G418" s="80"/>
      <c r="H418" s="80">
        <v>52</v>
      </c>
      <c r="I418" s="80">
        <v>63</v>
      </c>
      <c r="J418" s="80">
        <v>68</v>
      </c>
      <c r="K418" s="28">
        <v>64</v>
      </c>
      <c r="L418" s="21"/>
    </row>
    <row r="419" spans="1:12" ht="15.95" customHeight="1" x14ac:dyDescent="0.25">
      <c r="A419" s="1775"/>
      <c r="B419" s="1799"/>
      <c r="C419" s="1519"/>
      <c r="D419" s="336" t="s">
        <v>270</v>
      </c>
      <c r="E419" s="128"/>
      <c r="F419" s="441"/>
      <c r="G419" s="441"/>
      <c r="H419" s="596">
        <f>(H418*100)/H416</f>
        <v>31.137724550898202</v>
      </c>
      <c r="I419" s="596">
        <f t="shared" ref="I419:J419" si="38">(I418*100)/I416</f>
        <v>35</v>
      </c>
      <c r="J419" s="596">
        <f t="shared" si="38"/>
        <v>37.362637362637365</v>
      </c>
      <c r="K419" s="596">
        <f>(K418*100)/K416</f>
        <v>39.263803680981596</v>
      </c>
      <c r="L419" s="53"/>
    </row>
    <row r="420" spans="1:12" ht="15.95" customHeight="1" x14ac:dyDescent="0.25">
      <c r="A420" s="1775"/>
      <c r="B420" s="1799"/>
      <c r="C420" s="1159" t="s">
        <v>539</v>
      </c>
      <c r="D420" s="248" t="s">
        <v>251</v>
      </c>
      <c r="E420" s="249"/>
      <c r="F420" s="250"/>
      <c r="G420" s="250"/>
      <c r="H420" s="250">
        <v>73</v>
      </c>
      <c r="I420" s="250">
        <v>59</v>
      </c>
      <c r="J420" s="250">
        <v>58</v>
      </c>
      <c r="K420" s="36">
        <v>45</v>
      </c>
      <c r="L420" s="20"/>
    </row>
    <row r="421" spans="1:12" ht="15.95" customHeight="1" x14ac:dyDescent="0.25">
      <c r="A421" s="1775"/>
      <c r="B421" s="1799"/>
      <c r="C421" s="1160"/>
      <c r="D421" s="28" t="s">
        <v>257</v>
      </c>
      <c r="E421" s="94"/>
      <c r="F421" s="80"/>
      <c r="G421" s="80"/>
      <c r="H421" s="80">
        <v>64</v>
      </c>
      <c r="I421" s="80">
        <v>48</v>
      </c>
      <c r="J421" s="80">
        <v>43</v>
      </c>
      <c r="K421" s="28">
        <v>34</v>
      </c>
      <c r="L421" s="21"/>
    </row>
    <row r="422" spans="1:12" ht="15.95" customHeight="1" x14ac:dyDescent="0.25">
      <c r="A422" s="1775"/>
      <c r="B422" s="1799"/>
      <c r="C422" s="1160"/>
      <c r="D422" s="28" t="s">
        <v>263</v>
      </c>
      <c r="E422" s="94"/>
      <c r="F422" s="80"/>
      <c r="G422" s="80"/>
      <c r="H422" s="80">
        <v>9</v>
      </c>
      <c r="I422" s="80">
        <v>11</v>
      </c>
      <c r="J422" s="80">
        <v>15</v>
      </c>
      <c r="K422" s="28">
        <v>11</v>
      </c>
      <c r="L422" s="21"/>
    </row>
    <row r="423" spans="1:12" ht="15.95" customHeight="1" thickBot="1" x14ac:dyDescent="0.3">
      <c r="A423" s="1775"/>
      <c r="B423" s="1799"/>
      <c r="C423" s="1519"/>
      <c r="D423" s="336" t="s">
        <v>270</v>
      </c>
      <c r="E423" s="128"/>
      <c r="F423" s="441"/>
      <c r="G423" s="441"/>
      <c r="H423" s="596">
        <f>(H422*100)/H420</f>
        <v>12.328767123287671</v>
      </c>
      <c r="I423" s="596">
        <f t="shared" ref="I423:J423" si="39">(I422*100)/I420</f>
        <v>18.64406779661017</v>
      </c>
      <c r="J423" s="596">
        <f t="shared" si="39"/>
        <v>25.862068965517242</v>
      </c>
      <c r="K423" s="596">
        <f>(K422*100)/K420</f>
        <v>24.444444444444443</v>
      </c>
      <c r="L423" s="53"/>
    </row>
    <row r="424" spans="1:12" ht="15.95" customHeight="1" x14ac:dyDescent="0.25">
      <c r="A424" s="1775"/>
      <c r="B424" s="1799"/>
      <c r="C424" s="1159" t="s">
        <v>532</v>
      </c>
      <c r="D424" s="248" t="s">
        <v>251</v>
      </c>
      <c r="E424" s="249"/>
      <c r="F424" s="250"/>
      <c r="G424" s="250"/>
      <c r="H424" s="250"/>
      <c r="I424" s="250"/>
      <c r="J424" s="250">
        <v>8</v>
      </c>
      <c r="K424" s="36">
        <v>16</v>
      </c>
      <c r="L424" s="20"/>
    </row>
    <row r="425" spans="1:12" ht="15.95" customHeight="1" x14ac:dyDescent="0.25">
      <c r="A425" s="1775"/>
      <c r="B425" s="1799"/>
      <c r="C425" s="1160"/>
      <c r="D425" s="28" t="s">
        <v>257</v>
      </c>
      <c r="E425" s="94"/>
      <c r="F425" s="80"/>
      <c r="G425" s="80"/>
      <c r="H425" s="80"/>
      <c r="I425" s="80"/>
      <c r="J425" s="80">
        <v>1</v>
      </c>
      <c r="K425" s="28">
        <v>6</v>
      </c>
      <c r="L425" s="21"/>
    </row>
    <row r="426" spans="1:12" ht="15.95" customHeight="1" x14ac:dyDescent="0.25">
      <c r="A426" s="1775"/>
      <c r="B426" s="1799"/>
      <c r="C426" s="1160"/>
      <c r="D426" s="28" t="s">
        <v>263</v>
      </c>
      <c r="E426" s="94"/>
      <c r="F426" s="80"/>
      <c r="G426" s="80"/>
      <c r="H426" s="80"/>
      <c r="I426" s="80"/>
      <c r="J426" s="80">
        <v>7</v>
      </c>
      <c r="K426" s="28">
        <v>10</v>
      </c>
      <c r="L426" s="21"/>
    </row>
    <row r="427" spans="1:12" ht="15.95" customHeight="1" x14ac:dyDescent="0.25">
      <c r="A427" s="1775"/>
      <c r="B427" s="1799"/>
      <c r="C427" s="1519"/>
      <c r="D427" s="336" t="s">
        <v>270</v>
      </c>
      <c r="E427" s="128"/>
      <c r="F427" s="441"/>
      <c r="G427" s="441"/>
      <c r="H427" s="441"/>
      <c r="I427" s="441"/>
      <c r="J427" s="594">
        <f>(J426*100)/J424</f>
        <v>87.5</v>
      </c>
      <c r="K427" s="594">
        <f>(K426*100)/K424</f>
        <v>62.5</v>
      </c>
      <c r="L427" s="53"/>
    </row>
    <row r="428" spans="1:12" ht="15.95" customHeight="1" x14ac:dyDescent="0.25">
      <c r="A428" s="1775"/>
      <c r="B428" s="1799"/>
      <c r="C428" s="1166" t="s">
        <v>472</v>
      </c>
      <c r="D428" s="308" t="s">
        <v>473</v>
      </c>
      <c r="E428" s="612"/>
      <c r="F428" s="261">
        <f>5/9*100</f>
        <v>55.555555555555557</v>
      </c>
      <c r="G428" s="261">
        <f>6/10*100</f>
        <v>60</v>
      </c>
      <c r="H428" s="261">
        <f>8/12*100</f>
        <v>66.666666666666657</v>
      </c>
      <c r="I428" s="261">
        <f>8/12*100</f>
        <v>66.666666666666657</v>
      </c>
      <c r="J428" s="261">
        <f>8/13*100</f>
        <v>61.53846153846154</v>
      </c>
      <c r="K428" s="261">
        <f>8/13*100</f>
        <v>61.53846153846154</v>
      </c>
      <c r="L428" s="20"/>
    </row>
    <row r="429" spans="1:12" ht="15.95" customHeight="1" x14ac:dyDescent="0.25">
      <c r="A429" s="1775"/>
      <c r="B429" s="1799"/>
      <c r="C429" s="1794"/>
      <c r="D429" s="232" t="s">
        <v>474</v>
      </c>
      <c r="E429" s="92"/>
      <c r="F429" s="234">
        <f>3/9*100</f>
        <v>33.333333333333329</v>
      </c>
      <c r="G429" s="234">
        <f>2/10*100</f>
        <v>20</v>
      </c>
      <c r="H429" s="234">
        <f>2/12*100</f>
        <v>16.666666666666664</v>
      </c>
      <c r="I429" s="234">
        <f>3/12*100</f>
        <v>25</v>
      </c>
      <c r="J429" s="234">
        <f>4/13*100</f>
        <v>30.76923076923077</v>
      </c>
      <c r="K429" s="234">
        <f>4/13*100</f>
        <v>30.76923076923077</v>
      </c>
      <c r="L429" s="21"/>
    </row>
    <row r="430" spans="1:12" ht="15.95" customHeight="1" x14ac:dyDescent="0.25">
      <c r="A430" s="1775"/>
      <c r="B430" s="1799"/>
      <c r="C430" s="1795"/>
      <c r="D430" s="311" t="s">
        <v>475</v>
      </c>
      <c r="E430" s="106"/>
      <c r="F430" s="312">
        <f>1/9*100</f>
        <v>11.111111111111111</v>
      </c>
      <c r="G430" s="312">
        <f>2/10*100</f>
        <v>20</v>
      </c>
      <c r="H430" s="312">
        <f>2/12*100</f>
        <v>16.666666666666664</v>
      </c>
      <c r="I430" s="312">
        <f>1/12*100</f>
        <v>8.3333333333333321</v>
      </c>
      <c r="J430" s="312">
        <f>1/13*100</f>
        <v>7.6923076923076925</v>
      </c>
      <c r="K430" s="312">
        <f>1/13*100</f>
        <v>7.6923076923076925</v>
      </c>
      <c r="L430" s="22"/>
    </row>
    <row r="431" spans="1:12" ht="16.5" thickBot="1" x14ac:dyDescent="0.3">
      <c r="A431" s="1775"/>
      <c r="B431" s="767" t="s">
        <v>249</v>
      </c>
      <c r="C431" s="1681"/>
      <c r="D431" s="1681"/>
      <c r="E431" s="112" t="s">
        <v>442</v>
      </c>
      <c r="F431" s="112" t="s">
        <v>443</v>
      </c>
      <c r="G431" s="112" t="s">
        <v>444</v>
      </c>
      <c r="H431" s="112" t="s">
        <v>445</v>
      </c>
      <c r="I431" s="112" t="s">
        <v>446</v>
      </c>
      <c r="J431" s="112" t="s">
        <v>447</v>
      </c>
      <c r="K431" s="112" t="s">
        <v>448</v>
      </c>
      <c r="L431" s="112" t="s">
        <v>449</v>
      </c>
    </row>
    <row r="432" spans="1:12" ht="15" customHeight="1" x14ac:dyDescent="0.25">
      <c r="A432" s="1775"/>
      <c r="B432" s="1799" t="s">
        <v>476</v>
      </c>
      <c r="C432" s="1251" t="s">
        <v>459</v>
      </c>
      <c r="D432" s="1206"/>
      <c r="E432" s="40"/>
      <c r="F432" s="195">
        <v>1515</v>
      </c>
      <c r="G432" s="195">
        <v>1438</v>
      </c>
      <c r="H432" s="195">
        <v>3006</v>
      </c>
      <c r="I432" s="195">
        <v>2972</v>
      </c>
      <c r="J432" s="195">
        <v>3058</v>
      </c>
      <c r="K432" s="225">
        <v>3146</v>
      </c>
      <c r="L432" s="20"/>
    </row>
    <row r="433" spans="1:12" x14ac:dyDescent="0.25">
      <c r="A433" s="1775"/>
      <c r="B433" s="1799"/>
      <c r="C433" s="1123" t="s">
        <v>436</v>
      </c>
      <c r="D433" s="1124"/>
      <c r="E433" s="96"/>
      <c r="F433" s="96">
        <v>798</v>
      </c>
      <c r="G433" s="96">
        <v>665</v>
      </c>
      <c r="H433" s="96">
        <v>1642</v>
      </c>
      <c r="I433" s="96">
        <v>1622</v>
      </c>
      <c r="J433" s="96">
        <v>1627</v>
      </c>
      <c r="K433" s="1006">
        <v>1678</v>
      </c>
      <c r="L433" s="21"/>
    </row>
    <row r="434" spans="1:12" x14ac:dyDescent="0.25">
      <c r="A434" s="1775"/>
      <c r="B434" s="1799"/>
      <c r="C434" s="1123" t="s">
        <v>437</v>
      </c>
      <c r="D434" s="1124"/>
      <c r="E434" s="96"/>
      <c r="F434" s="96">
        <v>717</v>
      </c>
      <c r="G434" s="96">
        <v>773</v>
      </c>
      <c r="H434" s="96">
        <v>1364</v>
      </c>
      <c r="I434" s="96">
        <v>1350</v>
      </c>
      <c r="J434" s="96">
        <v>1431</v>
      </c>
      <c r="K434" s="1006">
        <v>1468</v>
      </c>
      <c r="L434" s="21"/>
    </row>
    <row r="435" spans="1:12" ht="16.5" thickBot="1" x14ac:dyDescent="0.3">
      <c r="A435" s="1775"/>
      <c r="B435" s="1799"/>
      <c r="C435" s="1170" t="s">
        <v>270</v>
      </c>
      <c r="D435" s="1288"/>
      <c r="E435" s="190"/>
      <c r="F435" s="285">
        <f t="shared" ref="F435:H435" si="40">F434/F432*100</f>
        <v>47.326732673267323</v>
      </c>
      <c r="G435" s="285">
        <f t="shared" si="40"/>
        <v>53.75521557719054</v>
      </c>
      <c r="H435" s="285">
        <f t="shared" si="40"/>
        <v>45.375914836992678</v>
      </c>
      <c r="I435" s="285">
        <f>I434/I432*100</f>
        <v>45.423956931359356</v>
      </c>
      <c r="J435" s="285">
        <f t="shared" ref="J435:K435" si="41">J434/J432*100</f>
        <v>46.795291039895361</v>
      </c>
      <c r="K435" s="285">
        <f t="shared" si="41"/>
        <v>46.662428480610295</v>
      </c>
      <c r="L435" s="22"/>
    </row>
    <row r="436" spans="1:12" ht="14.85" customHeight="1" x14ac:dyDescent="0.25">
      <c r="A436" s="1775"/>
      <c r="B436" s="1799"/>
      <c r="C436" s="1159" t="s">
        <v>523</v>
      </c>
      <c r="D436" s="248" t="s">
        <v>251</v>
      </c>
      <c r="E436" s="249"/>
      <c r="F436" s="250">
        <v>128</v>
      </c>
      <c r="G436" s="250">
        <v>120</v>
      </c>
      <c r="H436" s="250">
        <v>328</v>
      </c>
      <c r="I436" s="250">
        <v>257</v>
      </c>
      <c r="J436" s="250">
        <v>242</v>
      </c>
      <c r="K436" s="36">
        <v>279</v>
      </c>
      <c r="L436" s="20"/>
    </row>
    <row r="437" spans="1:12" x14ac:dyDescent="0.25">
      <c r="A437" s="1775"/>
      <c r="B437" s="1799"/>
      <c r="C437" s="1160"/>
      <c r="D437" s="28" t="s">
        <v>257</v>
      </c>
      <c r="E437" s="94"/>
      <c r="F437" s="80">
        <v>45</v>
      </c>
      <c r="G437" s="80">
        <v>46</v>
      </c>
      <c r="H437" s="80">
        <v>151</v>
      </c>
      <c r="I437" s="80">
        <v>120</v>
      </c>
      <c r="J437" s="80">
        <v>106</v>
      </c>
      <c r="K437" s="956">
        <v>118</v>
      </c>
      <c r="L437" s="21"/>
    </row>
    <row r="438" spans="1:12" x14ac:dyDescent="0.25">
      <c r="A438" s="1775"/>
      <c r="B438" s="1799"/>
      <c r="C438" s="1160"/>
      <c r="D438" s="28" t="s">
        <v>263</v>
      </c>
      <c r="E438" s="94"/>
      <c r="F438" s="80">
        <v>83</v>
      </c>
      <c r="G438" s="80">
        <v>74</v>
      </c>
      <c r="H438" s="80">
        <v>177</v>
      </c>
      <c r="I438" s="80">
        <v>137</v>
      </c>
      <c r="J438" s="80">
        <v>136</v>
      </c>
      <c r="K438" s="956">
        <v>161</v>
      </c>
      <c r="L438" s="21"/>
    </row>
    <row r="439" spans="1:12" ht="16.5" thickBot="1" x14ac:dyDescent="0.3">
      <c r="A439" s="1775"/>
      <c r="B439" s="1799"/>
      <c r="C439" s="1161"/>
      <c r="D439" s="203" t="s">
        <v>270</v>
      </c>
      <c r="E439" s="106"/>
      <c r="F439" s="251">
        <f>(F438*100)/F436</f>
        <v>64.84375</v>
      </c>
      <c r="G439" s="251">
        <f t="shared" ref="G439:K439" si="42">(G438*100)/G436</f>
        <v>61.666666666666664</v>
      </c>
      <c r="H439" s="252">
        <f t="shared" si="42"/>
        <v>53.963414634146339</v>
      </c>
      <c r="I439" s="252">
        <f t="shared" si="42"/>
        <v>53.307392996108952</v>
      </c>
      <c r="J439" s="252">
        <f t="shared" si="42"/>
        <v>56.198347107438018</v>
      </c>
      <c r="K439" s="252">
        <f t="shared" si="42"/>
        <v>57.706093189964157</v>
      </c>
      <c r="L439" s="22"/>
    </row>
    <row r="440" spans="1:12" ht="14.85" customHeight="1" x14ac:dyDescent="0.25">
      <c r="A440" s="1775"/>
      <c r="B440" s="1799"/>
      <c r="C440" s="1159" t="s">
        <v>465</v>
      </c>
      <c r="D440" s="248" t="s">
        <v>251</v>
      </c>
      <c r="E440" s="249"/>
      <c r="F440" s="250">
        <v>247</v>
      </c>
      <c r="G440" s="250">
        <v>265</v>
      </c>
      <c r="H440" s="250">
        <v>466</v>
      </c>
      <c r="I440" s="250">
        <v>485</v>
      </c>
      <c r="J440" s="250">
        <v>506</v>
      </c>
      <c r="K440" s="36">
        <v>513</v>
      </c>
      <c r="L440" s="20"/>
    </row>
    <row r="441" spans="1:12" x14ac:dyDescent="0.25">
      <c r="A441" s="1775"/>
      <c r="B441" s="1799"/>
      <c r="C441" s="1160"/>
      <c r="D441" s="28" t="s">
        <v>257</v>
      </c>
      <c r="E441" s="94"/>
      <c r="F441" s="80">
        <v>75</v>
      </c>
      <c r="G441" s="80">
        <v>73</v>
      </c>
      <c r="H441" s="80">
        <v>134</v>
      </c>
      <c r="I441" s="80">
        <v>136</v>
      </c>
      <c r="J441" s="80">
        <v>132</v>
      </c>
      <c r="K441" s="956">
        <v>141</v>
      </c>
      <c r="L441" s="21"/>
    </row>
    <row r="442" spans="1:12" x14ac:dyDescent="0.25">
      <c r="A442" s="1775"/>
      <c r="B442" s="1799"/>
      <c r="C442" s="1160"/>
      <c r="D442" s="28" t="s">
        <v>263</v>
      </c>
      <c r="E442" s="94"/>
      <c r="F442" s="80">
        <v>172</v>
      </c>
      <c r="G442" s="80">
        <v>192</v>
      </c>
      <c r="H442" s="80">
        <v>332</v>
      </c>
      <c r="I442" s="80">
        <v>349</v>
      </c>
      <c r="J442" s="80">
        <v>374</v>
      </c>
      <c r="K442" s="956">
        <v>372</v>
      </c>
      <c r="L442" s="21"/>
    </row>
    <row r="443" spans="1:12" ht="16.5" thickBot="1" x14ac:dyDescent="0.3">
      <c r="A443" s="1775"/>
      <c r="B443" s="1799"/>
      <c r="C443" s="1161"/>
      <c r="D443" s="203" t="s">
        <v>270</v>
      </c>
      <c r="E443" s="106"/>
      <c r="F443" s="251">
        <f>(F442*100)/F440</f>
        <v>69.635627530364374</v>
      </c>
      <c r="G443" s="251">
        <f t="shared" ref="G443:K443" si="43">(G442*100)/G440</f>
        <v>72.452830188679243</v>
      </c>
      <c r="H443" s="251">
        <f t="shared" si="43"/>
        <v>71.24463519313305</v>
      </c>
      <c r="I443" s="251">
        <f t="shared" si="43"/>
        <v>71.958762886597938</v>
      </c>
      <c r="J443" s="251">
        <f t="shared" si="43"/>
        <v>73.913043478260875</v>
      </c>
      <c r="K443" s="251">
        <f t="shared" si="43"/>
        <v>72.514619883040936</v>
      </c>
      <c r="L443" s="22"/>
    </row>
    <row r="444" spans="1:12" ht="14.85" customHeight="1" x14ac:dyDescent="0.25">
      <c r="A444" s="1775"/>
      <c r="B444" s="1799"/>
      <c r="C444" s="1159" t="s">
        <v>559</v>
      </c>
      <c r="D444" s="248" t="s">
        <v>251</v>
      </c>
      <c r="E444" s="249"/>
      <c r="F444" s="250">
        <v>47</v>
      </c>
      <c r="G444" s="250">
        <v>57</v>
      </c>
      <c r="H444" s="250">
        <v>57</v>
      </c>
      <c r="I444" s="250">
        <v>43</v>
      </c>
      <c r="J444" s="250">
        <v>48</v>
      </c>
      <c r="K444" s="36">
        <v>52</v>
      </c>
      <c r="L444" s="20"/>
    </row>
    <row r="445" spans="1:12" x14ac:dyDescent="0.25">
      <c r="A445" s="1775"/>
      <c r="B445" s="1799"/>
      <c r="C445" s="1160"/>
      <c r="D445" s="28" t="s">
        <v>257</v>
      </c>
      <c r="E445" s="94"/>
      <c r="F445" s="80">
        <v>45</v>
      </c>
      <c r="G445" s="80">
        <v>57</v>
      </c>
      <c r="H445" s="80">
        <v>56</v>
      </c>
      <c r="I445" s="80">
        <v>43</v>
      </c>
      <c r="J445" s="80">
        <v>47</v>
      </c>
      <c r="K445" s="956">
        <v>51</v>
      </c>
      <c r="L445" s="21"/>
    </row>
    <row r="446" spans="1:12" x14ac:dyDescent="0.25">
      <c r="A446" s="1775"/>
      <c r="B446" s="1799"/>
      <c r="C446" s="1160"/>
      <c r="D446" s="28" t="s">
        <v>263</v>
      </c>
      <c r="E446" s="94"/>
      <c r="F446" s="80">
        <v>2</v>
      </c>
      <c r="G446" s="80">
        <v>0</v>
      </c>
      <c r="H446" s="80">
        <v>1</v>
      </c>
      <c r="I446" s="80">
        <v>0</v>
      </c>
      <c r="J446" s="80">
        <v>1</v>
      </c>
      <c r="K446" s="956">
        <v>1</v>
      </c>
      <c r="L446" s="21"/>
    </row>
    <row r="447" spans="1:12" ht="16.5" thickBot="1" x14ac:dyDescent="0.3">
      <c r="A447" s="1775"/>
      <c r="B447" s="1799"/>
      <c r="C447" s="1519"/>
      <c r="D447" s="336" t="s">
        <v>270</v>
      </c>
      <c r="E447" s="128"/>
      <c r="F447" s="596">
        <f>(F446*100)/F444</f>
        <v>4.2553191489361701</v>
      </c>
      <c r="G447" s="596">
        <f t="shared" ref="G447:K447" si="44">(G446*100)/G444</f>
        <v>0</v>
      </c>
      <c r="H447" s="596">
        <f t="shared" si="44"/>
        <v>1.7543859649122806</v>
      </c>
      <c r="I447" s="596">
        <f t="shared" si="44"/>
        <v>0</v>
      </c>
      <c r="J447" s="596">
        <f t="shared" si="44"/>
        <v>2.0833333333333335</v>
      </c>
      <c r="K447" s="596">
        <f t="shared" si="44"/>
        <v>1.9230769230769231</v>
      </c>
      <c r="L447" s="53"/>
    </row>
    <row r="448" spans="1:12" ht="14.85" customHeight="1" x14ac:dyDescent="0.25">
      <c r="A448" s="1775"/>
      <c r="B448" s="1799"/>
      <c r="C448" s="1159" t="s">
        <v>522</v>
      </c>
      <c r="D448" s="248" t="s">
        <v>251</v>
      </c>
      <c r="E448" s="249"/>
      <c r="F448" s="250">
        <v>95</v>
      </c>
      <c r="G448" s="250"/>
      <c r="H448" s="250"/>
      <c r="I448" s="250"/>
      <c r="J448" s="250"/>
      <c r="K448" s="36"/>
      <c r="L448" s="20"/>
    </row>
    <row r="449" spans="1:12" x14ac:dyDescent="0.25">
      <c r="A449" s="1775"/>
      <c r="B449" s="1799"/>
      <c r="C449" s="1160"/>
      <c r="D449" s="28" t="s">
        <v>257</v>
      </c>
      <c r="E449" s="94"/>
      <c r="F449" s="80">
        <v>84</v>
      </c>
      <c r="G449" s="80"/>
      <c r="H449" s="80"/>
      <c r="I449" s="80"/>
      <c r="J449" s="80"/>
      <c r="K449" s="28"/>
      <c r="L449" s="21"/>
    </row>
    <row r="450" spans="1:12" x14ac:dyDescent="0.25">
      <c r="A450" s="1775"/>
      <c r="B450" s="1799"/>
      <c r="C450" s="1160"/>
      <c r="D450" s="28" t="s">
        <v>263</v>
      </c>
      <c r="E450" s="94"/>
      <c r="F450" s="80">
        <v>11</v>
      </c>
      <c r="G450" s="80"/>
      <c r="H450" s="80"/>
      <c r="I450" s="80"/>
      <c r="J450" s="80"/>
      <c r="K450" s="28"/>
      <c r="L450" s="21"/>
    </row>
    <row r="451" spans="1:12" ht="16.5" thickBot="1" x14ac:dyDescent="0.3">
      <c r="A451" s="1775"/>
      <c r="B451" s="1799"/>
      <c r="C451" s="1161"/>
      <c r="D451" s="203" t="s">
        <v>270</v>
      </c>
      <c r="E451" s="106"/>
      <c r="F451" s="253">
        <f>(F450*100)/F448</f>
        <v>11.578947368421053</v>
      </c>
      <c r="G451" s="197"/>
      <c r="H451" s="190"/>
      <c r="I451" s="190"/>
      <c r="J451" s="190"/>
      <c r="K451" s="33"/>
      <c r="L451" s="22"/>
    </row>
    <row r="452" spans="1:12" ht="14.85" customHeight="1" x14ac:dyDescent="0.25">
      <c r="A452" s="1775"/>
      <c r="B452" s="1799"/>
      <c r="C452" s="1659" t="s">
        <v>524</v>
      </c>
      <c r="D452" s="241" t="s">
        <v>251</v>
      </c>
      <c r="E452" s="242"/>
      <c r="F452" s="827">
        <v>109</v>
      </c>
      <c r="G452" s="243">
        <v>99</v>
      </c>
      <c r="H452" s="243">
        <v>416</v>
      </c>
      <c r="I452" s="243">
        <v>522</v>
      </c>
      <c r="J452" s="243">
        <v>621</v>
      </c>
      <c r="K452" s="122">
        <v>726</v>
      </c>
      <c r="L452" s="87"/>
    </row>
    <row r="453" spans="1:12" x14ac:dyDescent="0.25">
      <c r="A453" s="1775"/>
      <c r="B453" s="1799"/>
      <c r="C453" s="1160"/>
      <c r="D453" s="28" t="s">
        <v>257</v>
      </c>
      <c r="E453" s="94"/>
      <c r="F453" s="181">
        <v>90</v>
      </c>
      <c r="G453" s="80">
        <v>74</v>
      </c>
      <c r="H453" s="80">
        <v>363</v>
      </c>
      <c r="I453" s="80">
        <v>448</v>
      </c>
      <c r="J453" s="80">
        <v>519</v>
      </c>
      <c r="K453" s="956">
        <v>613</v>
      </c>
      <c r="L453" s="21"/>
    </row>
    <row r="454" spans="1:12" x14ac:dyDescent="0.25">
      <c r="A454" s="1775"/>
      <c r="B454" s="1799"/>
      <c r="C454" s="1160"/>
      <c r="D454" s="28" t="s">
        <v>263</v>
      </c>
      <c r="E454" s="94"/>
      <c r="F454" s="181">
        <v>19</v>
      </c>
      <c r="G454" s="80">
        <v>25</v>
      </c>
      <c r="H454" s="80">
        <v>53</v>
      </c>
      <c r="I454" s="80">
        <v>74</v>
      </c>
      <c r="J454" s="80">
        <v>102</v>
      </c>
      <c r="K454" s="956">
        <v>113</v>
      </c>
      <c r="L454" s="21"/>
    </row>
    <row r="455" spans="1:12" ht="16.5" thickBot="1" x14ac:dyDescent="0.3">
      <c r="A455" s="1775"/>
      <c r="B455" s="1799"/>
      <c r="C455" s="1161"/>
      <c r="D455" s="203" t="s">
        <v>270</v>
      </c>
      <c r="E455" s="106"/>
      <c r="F455" s="253">
        <f>(F454*100)/F452</f>
        <v>17.431192660550458</v>
      </c>
      <c r="G455" s="253">
        <f t="shared" ref="G455:K455" si="45">(G454*100)/G452</f>
        <v>25.252525252525253</v>
      </c>
      <c r="H455" s="253">
        <f t="shared" si="45"/>
        <v>12.740384615384615</v>
      </c>
      <c r="I455" s="253">
        <f t="shared" si="45"/>
        <v>14.17624521072797</v>
      </c>
      <c r="J455" s="253">
        <f t="shared" si="45"/>
        <v>16.425120772946858</v>
      </c>
      <c r="K455" s="253">
        <f t="shared" si="45"/>
        <v>15.56473829201102</v>
      </c>
      <c r="L455" s="22"/>
    </row>
    <row r="456" spans="1:12" ht="14.85" customHeight="1" x14ac:dyDescent="0.25">
      <c r="A456" s="1775"/>
      <c r="B456" s="1799"/>
      <c r="C456" s="1159" t="s">
        <v>531</v>
      </c>
      <c r="D456" s="248" t="s">
        <v>251</v>
      </c>
      <c r="E456" s="249"/>
      <c r="F456" s="250">
        <v>158</v>
      </c>
      <c r="G456" s="250">
        <v>197</v>
      </c>
      <c r="H456" s="250">
        <v>252</v>
      </c>
      <c r="I456" s="250">
        <v>266</v>
      </c>
      <c r="J456" s="250">
        <v>266</v>
      </c>
      <c r="K456" s="36">
        <v>257</v>
      </c>
      <c r="L456" s="20"/>
    </row>
    <row r="457" spans="1:12" x14ac:dyDescent="0.25">
      <c r="A457" s="1775"/>
      <c r="B457" s="1799"/>
      <c r="C457" s="1160"/>
      <c r="D457" s="28" t="s">
        <v>257</v>
      </c>
      <c r="E457" s="94"/>
      <c r="F457" s="80">
        <v>20</v>
      </c>
      <c r="G457" s="80">
        <v>21</v>
      </c>
      <c r="H457" s="80">
        <v>31</v>
      </c>
      <c r="I457" s="80">
        <v>28</v>
      </c>
      <c r="J457" s="80">
        <v>25</v>
      </c>
      <c r="K457" s="28">
        <v>27</v>
      </c>
      <c r="L457" s="21"/>
    </row>
    <row r="458" spans="1:12" x14ac:dyDescent="0.25">
      <c r="A458" s="1775"/>
      <c r="B458" s="1799"/>
      <c r="C458" s="1160"/>
      <c r="D458" s="28" t="s">
        <v>263</v>
      </c>
      <c r="E458" s="94"/>
      <c r="F458" s="80">
        <v>138</v>
      </c>
      <c r="G458" s="80">
        <v>176</v>
      </c>
      <c r="H458" s="80">
        <v>221</v>
      </c>
      <c r="I458" s="80">
        <v>238</v>
      </c>
      <c r="J458" s="80">
        <v>241</v>
      </c>
      <c r="K458" s="28">
        <v>230</v>
      </c>
      <c r="L458" s="21"/>
    </row>
    <row r="459" spans="1:12" ht="16.5" thickBot="1" x14ac:dyDescent="0.3">
      <c r="A459" s="1775"/>
      <c r="B459" s="1799"/>
      <c r="C459" s="1161"/>
      <c r="D459" s="203" t="s">
        <v>270</v>
      </c>
      <c r="E459" s="106"/>
      <c r="F459" s="251">
        <f>(F458*100)/F456</f>
        <v>87.341772151898738</v>
      </c>
      <c r="G459" s="251">
        <f t="shared" ref="G459:K459" si="46">(G458*100)/G456</f>
        <v>89.340101522842644</v>
      </c>
      <c r="H459" s="251">
        <f t="shared" si="46"/>
        <v>87.698412698412696</v>
      </c>
      <c r="I459" s="251">
        <f t="shared" si="46"/>
        <v>89.473684210526315</v>
      </c>
      <c r="J459" s="251">
        <f t="shared" si="46"/>
        <v>90.601503759398497</v>
      </c>
      <c r="K459" s="251">
        <f t="shared" si="46"/>
        <v>89.494163424124508</v>
      </c>
      <c r="L459" s="22"/>
    </row>
    <row r="460" spans="1:12" ht="14.85" customHeight="1" x14ac:dyDescent="0.25">
      <c r="A460" s="1775"/>
      <c r="B460" s="1799"/>
      <c r="C460" s="1159" t="s">
        <v>526</v>
      </c>
      <c r="D460" s="248" t="s">
        <v>251</v>
      </c>
      <c r="E460" s="249"/>
      <c r="F460" s="250">
        <v>129</v>
      </c>
      <c r="G460" s="250">
        <v>136</v>
      </c>
      <c r="H460" s="250">
        <v>206</v>
      </c>
      <c r="I460" s="250">
        <v>174</v>
      </c>
      <c r="J460" s="250">
        <v>172</v>
      </c>
      <c r="K460" s="36">
        <v>194</v>
      </c>
      <c r="L460" s="20"/>
    </row>
    <row r="461" spans="1:12" x14ac:dyDescent="0.25">
      <c r="A461" s="1775"/>
      <c r="B461" s="1799"/>
      <c r="C461" s="1160"/>
      <c r="D461" s="28" t="s">
        <v>257</v>
      </c>
      <c r="E461" s="94"/>
      <c r="F461" s="80">
        <v>64</v>
      </c>
      <c r="G461" s="80">
        <v>56</v>
      </c>
      <c r="H461" s="80">
        <v>89</v>
      </c>
      <c r="I461" s="80">
        <v>75</v>
      </c>
      <c r="J461" s="80">
        <v>61</v>
      </c>
      <c r="K461" s="28">
        <v>60</v>
      </c>
      <c r="L461" s="21"/>
    </row>
    <row r="462" spans="1:12" x14ac:dyDescent="0.25">
      <c r="A462" s="1775"/>
      <c r="B462" s="1799"/>
      <c r="C462" s="1160"/>
      <c r="D462" s="28" t="s">
        <v>263</v>
      </c>
      <c r="E462" s="94"/>
      <c r="F462" s="80">
        <v>65</v>
      </c>
      <c r="G462" s="80">
        <v>80</v>
      </c>
      <c r="H462" s="80">
        <v>117</v>
      </c>
      <c r="I462" s="80">
        <v>99</v>
      </c>
      <c r="J462" s="80">
        <v>111</v>
      </c>
      <c r="K462" s="28">
        <v>134</v>
      </c>
      <c r="L462" s="21"/>
    </row>
    <row r="463" spans="1:12" ht="16.5" thickBot="1" x14ac:dyDescent="0.3">
      <c r="A463" s="1775"/>
      <c r="B463" s="1799"/>
      <c r="C463" s="1519"/>
      <c r="D463" s="336" t="s">
        <v>270</v>
      </c>
      <c r="E463" s="128"/>
      <c r="F463" s="595">
        <f>(F462*100)/F460</f>
        <v>50.387596899224803</v>
      </c>
      <c r="G463" s="595">
        <f t="shared" ref="G463:K463" si="47">(G462*100)/G460</f>
        <v>58.823529411764703</v>
      </c>
      <c r="H463" s="595">
        <f t="shared" si="47"/>
        <v>56.796116504854368</v>
      </c>
      <c r="I463" s="595">
        <f t="shared" si="47"/>
        <v>56.896551724137929</v>
      </c>
      <c r="J463" s="594">
        <f t="shared" si="47"/>
        <v>64.534883720930239</v>
      </c>
      <c r="K463" s="594">
        <f t="shared" si="47"/>
        <v>69.072164948453604</v>
      </c>
      <c r="L463" s="53"/>
    </row>
    <row r="464" spans="1:12" ht="14.85" customHeight="1" x14ac:dyDescent="0.25">
      <c r="A464" s="1775"/>
      <c r="B464" s="1799"/>
      <c r="C464" s="1159" t="s">
        <v>530</v>
      </c>
      <c r="D464" s="248" t="s">
        <v>251</v>
      </c>
      <c r="E464" s="249"/>
      <c r="F464" s="250"/>
      <c r="G464" s="250"/>
      <c r="H464" s="250"/>
      <c r="I464" s="250"/>
      <c r="J464" s="250">
        <v>32</v>
      </c>
      <c r="K464" s="36">
        <v>55</v>
      </c>
      <c r="L464" s="20"/>
    </row>
    <row r="465" spans="1:12" x14ac:dyDescent="0.25">
      <c r="A465" s="1775"/>
      <c r="B465" s="1799"/>
      <c r="C465" s="1160"/>
      <c r="D465" s="28" t="s">
        <v>257</v>
      </c>
      <c r="E465" s="94"/>
      <c r="F465" s="80"/>
      <c r="G465" s="80"/>
      <c r="H465" s="80"/>
      <c r="I465" s="80"/>
      <c r="J465" s="80">
        <v>17</v>
      </c>
      <c r="K465" s="28">
        <v>29</v>
      </c>
      <c r="L465" s="21"/>
    </row>
    <row r="466" spans="1:12" x14ac:dyDescent="0.25">
      <c r="A466" s="1775"/>
      <c r="B466" s="1799"/>
      <c r="C466" s="1160"/>
      <c r="D466" s="28" t="s">
        <v>263</v>
      </c>
      <c r="E466" s="94"/>
      <c r="F466" s="80"/>
      <c r="G466" s="80"/>
      <c r="H466" s="80"/>
      <c r="I466" s="80"/>
      <c r="J466" s="80">
        <v>15</v>
      </c>
      <c r="K466" s="28">
        <v>26</v>
      </c>
      <c r="L466" s="21"/>
    </row>
    <row r="467" spans="1:12" ht="16.5" thickBot="1" x14ac:dyDescent="0.3">
      <c r="A467" s="1775"/>
      <c r="B467" s="1799"/>
      <c r="C467" s="1161"/>
      <c r="D467" s="203" t="s">
        <v>270</v>
      </c>
      <c r="E467" s="106"/>
      <c r="F467" s="197"/>
      <c r="G467" s="197"/>
      <c r="H467" s="197"/>
      <c r="I467" s="197"/>
      <c r="J467" s="252">
        <f>(J466*100)/J464</f>
        <v>46.875</v>
      </c>
      <c r="K467" s="252">
        <f>(K466*100)/K464</f>
        <v>47.272727272727273</v>
      </c>
      <c r="L467" s="22"/>
    </row>
    <row r="468" spans="1:12" ht="14.85" customHeight="1" x14ac:dyDescent="0.25">
      <c r="A468" s="1775"/>
      <c r="B468" s="1799"/>
      <c r="C468" s="1159" t="s">
        <v>527</v>
      </c>
      <c r="D468" s="248" t="s">
        <v>251</v>
      </c>
      <c r="E468" s="249"/>
      <c r="F468" s="250"/>
      <c r="G468" s="250">
        <v>28</v>
      </c>
      <c r="H468" s="250">
        <v>45</v>
      </c>
      <c r="I468" s="250">
        <v>41</v>
      </c>
      <c r="J468" s="250">
        <v>43</v>
      </c>
      <c r="K468" s="36">
        <v>51</v>
      </c>
      <c r="L468" s="20"/>
    </row>
    <row r="469" spans="1:12" x14ac:dyDescent="0.25">
      <c r="A469" s="1775"/>
      <c r="B469" s="1799"/>
      <c r="C469" s="1160"/>
      <c r="D469" s="28" t="s">
        <v>257</v>
      </c>
      <c r="E469" s="94"/>
      <c r="F469" s="80"/>
      <c r="G469" s="80">
        <v>27</v>
      </c>
      <c r="H469" s="80">
        <v>44</v>
      </c>
      <c r="I469" s="80">
        <v>40</v>
      </c>
      <c r="J469" s="80">
        <v>41</v>
      </c>
      <c r="K469" s="28">
        <v>49</v>
      </c>
      <c r="L469" s="21"/>
    </row>
    <row r="470" spans="1:12" x14ac:dyDescent="0.25">
      <c r="A470" s="1775"/>
      <c r="B470" s="1799"/>
      <c r="C470" s="1160"/>
      <c r="D470" s="28" t="s">
        <v>263</v>
      </c>
      <c r="E470" s="94"/>
      <c r="F470" s="80"/>
      <c r="G470" s="80">
        <v>1</v>
      </c>
      <c r="H470" s="80">
        <v>1</v>
      </c>
      <c r="I470" s="80">
        <v>1</v>
      </c>
      <c r="J470" s="80">
        <v>2</v>
      </c>
      <c r="K470" s="28">
        <v>2</v>
      </c>
      <c r="L470" s="21"/>
    </row>
    <row r="471" spans="1:12" ht="16.5" thickBot="1" x14ac:dyDescent="0.3">
      <c r="A471" s="1775"/>
      <c r="B471" s="1799"/>
      <c r="C471" s="1161"/>
      <c r="D471" s="203" t="s">
        <v>270</v>
      </c>
      <c r="E471" s="106"/>
      <c r="F471" s="197"/>
      <c r="G471" s="253">
        <f>(G470*100)/G468</f>
        <v>3.5714285714285716</v>
      </c>
      <c r="H471" s="253">
        <f t="shared" ref="H471:K471" si="48">(H470*100)/H468</f>
        <v>2.2222222222222223</v>
      </c>
      <c r="I471" s="253">
        <f t="shared" si="48"/>
        <v>2.4390243902439024</v>
      </c>
      <c r="J471" s="253">
        <f t="shared" si="48"/>
        <v>4.6511627906976747</v>
      </c>
      <c r="K471" s="253">
        <f t="shared" si="48"/>
        <v>3.9215686274509802</v>
      </c>
      <c r="L471" s="22"/>
    </row>
    <row r="472" spans="1:12" ht="14.85" customHeight="1" x14ac:dyDescent="0.25">
      <c r="A472" s="1775"/>
      <c r="B472" s="1799"/>
      <c r="C472" s="1159" t="s">
        <v>525</v>
      </c>
      <c r="D472" s="248" t="s">
        <v>251</v>
      </c>
      <c r="E472" s="249"/>
      <c r="F472" s="250">
        <v>31</v>
      </c>
      <c r="G472" s="250"/>
      <c r="H472" s="250"/>
      <c r="I472" s="250"/>
      <c r="J472" s="250"/>
      <c r="K472" s="36"/>
      <c r="L472" s="20"/>
    </row>
    <row r="473" spans="1:12" x14ac:dyDescent="0.25">
      <c r="A473" s="1775"/>
      <c r="B473" s="1799"/>
      <c r="C473" s="1160"/>
      <c r="D473" s="28" t="s">
        <v>257</v>
      </c>
      <c r="E473" s="94"/>
      <c r="F473" s="236">
        <v>31</v>
      </c>
      <c r="G473" s="236"/>
      <c r="H473" s="236"/>
      <c r="I473" s="236"/>
      <c r="J473" s="236"/>
      <c r="K473" s="28"/>
      <c r="L473" s="21"/>
    </row>
    <row r="474" spans="1:12" x14ac:dyDescent="0.25">
      <c r="A474" s="1775"/>
      <c r="B474" s="1799"/>
      <c r="C474" s="1160"/>
      <c r="D474" s="28" t="s">
        <v>263</v>
      </c>
      <c r="E474" s="94"/>
      <c r="F474" s="236">
        <v>0</v>
      </c>
      <c r="G474" s="236"/>
      <c r="H474" s="236"/>
      <c r="I474" s="236"/>
      <c r="J474" s="236"/>
      <c r="K474" s="28"/>
      <c r="L474" s="21"/>
    </row>
    <row r="475" spans="1:12" ht="16.5" thickBot="1" x14ac:dyDescent="0.3">
      <c r="A475" s="1775"/>
      <c r="B475" s="1799"/>
      <c r="C475" s="1161"/>
      <c r="D475" s="203" t="s">
        <v>270</v>
      </c>
      <c r="E475" s="106"/>
      <c r="F475" s="253">
        <f>(F474*100)/F472</f>
        <v>0</v>
      </c>
      <c r="G475" s="190"/>
      <c r="H475" s="190"/>
      <c r="I475" s="190"/>
      <c r="J475" s="190"/>
      <c r="K475" s="33"/>
      <c r="L475" s="22"/>
    </row>
    <row r="476" spans="1:12" ht="14.85" customHeight="1" x14ac:dyDescent="0.25">
      <c r="A476" s="1775"/>
      <c r="B476" s="1799"/>
      <c r="C476" s="1159" t="s">
        <v>482</v>
      </c>
      <c r="D476" s="248" t="s">
        <v>251</v>
      </c>
      <c r="E476" s="249"/>
      <c r="F476" s="250"/>
      <c r="G476" s="250"/>
      <c r="H476" s="250">
        <v>786</v>
      </c>
      <c r="I476" s="250">
        <v>747</v>
      </c>
      <c r="J476" s="250">
        <v>711</v>
      </c>
      <c r="K476" s="36">
        <v>626</v>
      </c>
      <c r="L476" s="20"/>
    </row>
    <row r="477" spans="1:12" x14ac:dyDescent="0.25">
      <c r="A477" s="1775"/>
      <c r="B477" s="1799"/>
      <c r="C477" s="1160"/>
      <c r="D477" s="28" t="s">
        <v>257</v>
      </c>
      <c r="E477" s="94"/>
      <c r="F477" s="80"/>
      <c r="G477" s="80"/>
      <c r="H477" s="80">
        <v>468</v>
      </c>
      <c r="I477" s="80">
        <v>431</v>
      </c>
      <c r="J477" s="80">
        <v>405</v>
      </c>
      <c r="K477" s="956">
        <v>356</v>
      </c>
      <c r="L477" s="21"/>
    </row>
    <row r="478" spans="1:12" x14ac:dyDescent="0.25">
      <c r="A478" s="1775"/>
      <c r="B478" s="1799"/>
      <c r="C478" s="1160"/>
      <c r="D478" s="28" t="s">
        <v>263</v>
      </c>
      <c r="E478" s="94"/>
      <c r="F478" s="80"/>
      <c r="G478" s="80"/>
      <c r="H478" s="80">
        <v>318</v>
      </c>
      <c r="I478" s="80">
        <v>316</v>
      </c>
      <c r="J478" s="80">
        <v>306</v>
      </c>
      <c r="K478" s="956">
        <v>270</v>
      </c>
      <c r="L478" s="21"/>
    </row>
    <row r="479" spans="1:12" ht="16.5" thickBot="1" x14ac:dyDescent="0.3">
      <c r="A479" s="1775"/>
      <c r="B479" s="1799"/>
      <c r="C479" s="1161"/>
      <c r="D479" s="203" t="s">
        <v>270</v>
      </c>
      <c r="E479" s="106"/>
      <c r="F479" s="197"/>
      <c r="G479" s="197"/>
      <c r="H479" s="252">
        <f>(H478*100)/H476</f>
        <v>40.458015267175576</v>
      </c>
      <c r="I479" s="252">
        <f t="shared" ref="I479:K479" si="49">(I478*100)/I476</f>
        <v>42.302543507362785</v>
      </c>
      <c r="J479" s="252">
        <f t="shared" si="49"/>
        <v>43.037974683544306</v>
      </c>
      <c r="K479" s="252">
        <f t="shared" si="49"/>
        <v>43.130990415335461</v>
      </c>
      <c r="L479" s="22"/>
    </row>
    <row r="480" spans="1:12" ht="14.85" customHeight="1" x14ac:dyDescent="0.25">
      <c r="A480" s="1775"/>
      <c r="B480" s="1799"/>
      <c r="C480" s="1159" t="s">
        <v>539</v>
      </c>
      <c r="D480" s="248" t="s">
        <v>251</v>
      </c>
      <c r="E480" s="249"/>
      <c r="F480" s="250">
        <v>64</v>
      </c>
      <c r="G480" s="250">
        <v>55</v>
      </c>
      <c r="H480" s="250">
        <v>290</v>
      </c>
      <c r="I480" s="250">
        <v>307</v>
      </c>
      <c r="J480" s="250">
        <v>273</v>
      </c>
      <c r="K480" s="36">
        <v>246</v>
      </c>
      <c r="L480" s="20"/>
    </row>
    <row r="481" spans="1:12" x14ac:dyDescent="0.25">
      <c r="A481" s="1775"/>
      <c r="B481" s="1799"/>
      <c r="C481" s="1160"/>
      <c r="D481" s="28" t="s">
        <v>257</v>
      </c>
      <c r="E481" s="94"/>
      <c r="F481" s="80">
        <v>48</v>
      </c>
      <c r="G481" s="80">
        <v>43</v>
      </c>
      <c r="H481" s="80">
        <v>204</v>
      </c>
      <c r="I481" s="80">
        <v>223</v>
      </c>
      <c r="J481" s="80">
        <v>204</v>
      </c>
      <c r="K481" s="956">
        <v>186</v>
      </c>
      <c r="L481" s="21"/>
    </row>
    <row r="482" spans="1:12" x14ac:dyDescent="0.25">
      <c r="A482" s="1775"/>
      <c r="B482" s="1799"/>
      <c r="C482" s="1160"/>
      <c r="D482" s="28" t="s">
        <v>263</v>
      </c>
      <c r="E482" s="94"/>
      <c r="F482" s="80">
        <v>16</v>
      </c>
      <c r="G482" s="80">
        <v>12</v>
      </c>
      <c r="H482" s="80">
        <v>86</v>
      </c>
      <c r="I482" s="80">
        <v>84</v>
      </c>
      <c r="J482" s="80">
        <v>69</v>
      </c>
      <c r="K482" s="956">
        <v>60</v>
      </c>
      <c r="L482" s="21"/>
    </row>
    <row r="483" spans="1:12" ht="16.5" thickBot="1" x14ac:dyDescent="0.3">
      <c r="A483" s="1775"/>
      <c r="B483" s="1799"/>
      <c r="C483" s="1519"/>
      <c r="D483" s="336" t="s">
        <v>270</v>
      </c>
      <c r="E483" s="128"/>
      <c r="F483" s="596">
        <f t="shared" ref="F483:K483" si="50">(F482*100)/F480</f>
        <v>25</v>
      </c>
      <c r="G483" s="596">
        <f t="shared" si="50"/>
        <v>21.818181818181817</v>
      </c>
      <c r="H483" s="596">
        <f t="shared" si="50"/>
        <v>29.655172413793103</v>
      </c>
      <c r="I483" s="596">
        <f t="shared" si="50"/>
        <v>27.361563517915311</v>
      </c>
      <c r="J483" s="596">
        <f t="shared" si="50"/>
        <v>25.274725274725274</v>
      </c>
      <c r="K483" s="596">
        <f t="shared" si="50"/>
        <v>24.390243902439025</v>
      </c>
      <c r="L483" s="53"/>
    </row>
    <row r="484" spans="1:12" x14ac:dyDescent="0.25">
      <c r="A484" s="1775"/>
      <c r="B484" s="1799"/>
      <c r="C484" s="1584" t="s">
        <v>532</v>
      </c>
      <c r="D484" s="248" t="s">
        <v>251</v>
      </c>
      <c r="E484" s="936"/>
      <c r="F484" s="1007"/>
      <c r="G484" s="1007"/>
      <c r="H484" s="1007"/>
      <c r="I484" s="1007"/>
      <c r="J484" s="1007"/>
      <c r="K484" s="1007">
        <v>140</v>
      </c>
      <c r="L484" s="1008"/>
    </row>
    <row r="485" spans="1:12" x14ac:dyDescent="0.25">
      <c r="A485" s="1775"/>
      <c r="B485" s="1799"/>
      <c r="C485" s="1585"/>
      <c r="D485" s="28" t="s">
        <v>257</v>
      </c>
      <c r="E485" s="937"/>
      <c r="F485" s="933"/>
      <c r="G485" s="933"/>
      <c r="H485" s="933"/>
      <c r="I485" s="933"/>
      <c r="J485" s="933"/>
      <c r="K485" s="933">
        <v>51</v>
      </c>
      <c r="L485" s="1009"/>
    </row>
    <row r="486" spans="1:12" x14ac:dyDescent="0.25">
      <c r="A486" s="1775"/>
      <c r="B486" s="1799"/>
      <c r="C486" s="1585"/>
      <c r="D486" s="28" t="s">
        <v>263</v>
      </c>
      <c r="E486" s="937"/>
      <c r="F486" s="933"/>
      <c r="G486" s="933"/>
      <c r="H486" s="933"/>
      <c r="I486" s="933"/>
      <c r="J486" s="933"/>
      <c r="K486" s="933">
        <v>89</v>
      </c>
      <c r="L486" s="1009"/>
    </row>
    <row r="487" spans="1:12" ht="16.5" thickBot="1" x14ac:dyDescent="0.3">
      <c r="A487" s="1775"/>
      <c r="B487" s="1799"/>
      <c r="C487" s="1586"/>
      <c r="D487" s="203" t="s">
        <v>270</v>
      </c>
      <c r="E487" s="954"/>
      <c r="F487" s="1010"/>
      <c r="G487" s="1010"/>
      <c r="H487" s="1010"/>
      <c r="I487" s="1010"/>
      <c r="J487" s="1010"/>
      <c r="K487" s="251">
        <f>(K486*100)/K484</f>
        <v>63.571428571428569</v>
      </c>
      <c r="L487" s="1011"/>
    </row>
    <row r="488" spans="1:12" x14ac:dyDescent="0.25">
      <c r="A488" s="1775"/>
      <c r="B488" s="1799"/>
      <c r="C488" s="1584" t="s">
        <v>576</v>
      </c>
      <c r="D488" s="248" t="s">
        <v>251</v>
      </c>
      <c r="E488" s="936"/>
      <c r="F488" s="1007"/>
      <c r="G488" s="1007"/>
      <c r="H488" s="1007"/>
      <c r="I488" s="1007"/>
      <c r="J488" s="1014"/>
      <c r="K488" s="1012">
        <v>7</v>
      </c>
      <c r="L488" s="1008"/>
    </row>
    <row r="489" spans="1:12" x14ac:dyDescent="0.25">
      <c r="A489" s="1775"/>
      <c r="B489" s="1799"/>
      <c r="C489" s="1585"/>
      <c r="D489" s="28" t="s">
        <v>257</v>
      </c>
      <c r="E489" s="937"/>
      <c r="F489" s="933"/>
      <c r="G489" s="933"/>
      <c r="H489" s="933"/>
      <c r="I489" s="933"/>
      <c r="J489" s="933"/>
      <c r="K489" s="938">
        <v>0</v>
      </c>
      <c r="L489" s="1009"/>
    </row>
    <row r="490" spans="1:12" x14ac:dyDescent="0.25">
      <c r="A490" s="1775"/>
      <c r="B490" s="1799"/>
      <c r="C490" s="1585"/>
      <c r="D490" s="28" t="s">
        <v>263</v>
      </c>
      <c r="E490" s="937"/>
      <c r="F490" s="933"/>
      <c r="G490" s="933"/>
      <c r="H490" s="933"/>
      <c r="I490" s="933"/>
      <c r="J490" s="1013"/>
      <c r="K490" s="938">
        <v>7</v>
      </c>
      <c r="L490" s="1009"/>
    </row>
    <row r="491" spans="1:12" ht="16.5" thickBot="1" x14ac:dyDescent="0.3">
      <c r="A491" s="1775"/>
      <c r="B491" s="1799"/>
      <c r="C491" s="1586"/>
      <c r="D491" s="203" t="s">
        <v>270</v>
      </c>
      <c r="E491" s="106"/>
      <c r="F491" s="803"/>
      <c r="G491" s="803"/>
      <c r="H491" s="803"/>
      <c r="I491" s="803"/>
      <c r="J491" s="803"/>
      <c r="K491" s="803">
        <f>(K490*100)/K488</f>
        <v>100</v>
      </c>
      <c r="L491" s="1015"/>
    </row>
    <row r="492" spans="1:12" ht="14.85" customHeight="1" x14ac:dyDescent="0.25">
      <c r="A492" s="1775"/>
      <c r="B492" s="1799"/>
      <c r="C492" s="1659" t="s">
        <v>562</v>
      </c>
      <c r="D492" s="241" t="s">
        <v>251</v>
      </c>
      <c r="E492" s="242"/>
      <c r="F492" s="243"/>
      <c r="G492" s="243">
        <v>18</v>
      </c>
      <c r="H492" s="243">
        <v>44</v>
      </c>
      <c r="I492" s="243">
        <v>27</v>
      </c>
      <c r="J492" s="243">
        <v>10</v>
      </c>
      <c r="K492" s="122"/>
      <c r="L492" s="87"/>
    </row>
    <row r="493" spans="1:12" x14ac:dyDescent="0.25">
      <c r="A493" s="1775"/>
      <c r="B493" s="1799"/>
      <c r="C493" s="1160"/>
      <c r="D493" s="28" t="s">
        <v>257</v>
      </c>
      <c r="E493" s="94"/>
      <c r="F493" s="80"/>
      <c r="G493" s="80">
        <v>15</v>
      </c>
      <c r="H493" s="80">
        <v>42</v>
      </c>
      <c r="I493" s="80">
        <v>26</v>
      </c>
      <c r="J493" s="80">
        <v>10</v>
      </c>
      <c r="L493" s="21"/>
    </row>
    <row r="494" spans="1:12" x14ac:dyDescent="0.25">
      <c r="A494" s="1775"/>
      <c r="B494" s="1799"/>
      <c r="C494" s="1160"/>
      <c r="D494" s="28" t="s">
        <v>263</v>
      </c>
      <c r="E494" s="94"/>
      <c r="F494" s="80"/>
      <c r="G494" s="80">
        <v>3</v>
      </c>
      <c r="H494" s="80">
        <v>2</v>
      </c>
      <c r="I494" s="80">
        <v>1</v>
      </c>
      <c r="J494" s="80">
        <v>0</v>
      </c>
      <c r="K494" s="28"/>
      <c r="L494" s="21"/>
    </row>
    <row r="495" spans="1:12" ht="16.5" thickBot="1" x14ac:dyDescent="0.3">
      <c r="A495" s="1775"/>
      <c r="B495" s="1799"/>
      <c r="C495" s="1161"/>
      <c r="D495" s="203" t="s">
        <v>270</v>
      </c>
      <c r="E495" s="106"/>
      <c r="F495" s="197"/>
      <c r="G495" s="253">
        <f>(G494*100)/G492</f>
        <v>16.666666666666668</v>
      </c>
      <c r="H495" s="253">
        <f>(H494*100)/H492</f>
        <v>4.5454545454545459</v>
      </c>
      <c r="I495" s="253">
        <f>(I494*100)/I492</f>
        <v>3.7037037037037037</v>
      </c>
      <c r="J495" s="253">
        <f>(J494*100)/J492</f>
        <v>0</v>
      </c>
      <c r="K495" s="33"/>
      <c r="L495" s="22"/>
    </row>
    <row r="496" spans="1:12" x14ac:dyDescent="0.25">
      <c r="A496" s="1775"/>
      <c r="B496" s="1799"/>
      <c r="C496" s="1166" t="s">
        <v>472</v>
      </c>
      <c r="D496" s="308" t="s">
        <v>473</v>
      </c>
      <c r="E496" s="612"/>
      <c r="F496" s="261">
        <f>5/9*100</f>
        <v>55.555555555555557</v>
      </c>
      <c r="G496" s="261">
        <f>5/9*100</f>
        <v>55.555555555555557</v>
      </c>
      <c r="H496" s="261">
        <v>50</v>
      </c>
      <c r="I496" s="261">
        <f>5/9*100</f>
        <v>55.555555555555557</v>
      </c>
      <c r="J496" s="261">
        <f>5/11*100</f>
        <v>45.454545454545453</v>
      </c>
      <c r="K496" s="261">
        <f>5/12*100</f>
        <v>41.666666666666671</v>
      </c>
      <c r="L496" s="20"/>
    </row>
    <row r="497" spans="1:12" x14ac:dyDescent="0.25">
      <c r="A497" s="1775"/>
      <c r="B497" s="1799"/>
      <c r="C497" s="1167"/>
      <c r="D497" s="232" t="s">
        <v>474</v>
      </c>
      <c r="E497" s="92"/>
      <c r="F497" s="234">
        <f>3/9*100</f>
        <v>33.333333333333329</v>
      </c>
      <c r="G497" s="234">
        <f>3/9*100</f>
        <v>33.333333333333329</v>
      </c>
      <c r="H497" s="234">
        <v>20</v>
      </c>
      <c r="I497" s="234">
        <f>2/9*100</f>
        <v>22.222222222222221</v>
      </c>
      <c r="J497" s="234">
        <f>3/11*100</f>
        <v>27.27272727272727</v>
      </c>
      <c r="K497" s="234">
        <f>4/12*100</f>
        <v>33.333333333333329</v>
      </c>
      <c r="L497" s="21"/>
    </row>
    <row r="498" spans="1:12" ht="16.5" thickBot="1" x14ac:dyDescent="0.3">
      <c r="A498" s="1775"/>
      <c r="B498" s="1799"/>
      <c r="C498" s="1255"/>
      <c r="D498" s="311" t="s">
        <v>475</v>
      </c>
      <c r="E498" s="106"/>
      <c r="F498" s="312">
        <f>1/9*100</f>
        <v>11.111111111111111</v>
      </c>
      <c r="G498" s="312">
        <f>1/9*100</f>
        <v>11.111111111111111</v>
      </c>
      <c r="H498" s="312">
        <v>30</v>
      </c>
      <c r="I498" s="312">
        <f>2/9*100</f>
        <v>22.222222222222221</v>
      </c>
      <c r="J498" s="312">
        <f>3/11*100</f>
        <v>27.27272727272727</v>
      </c>
      <c r="K498" s="312">
        <f>3/12*100</f>
        <v>25</v>
      </c>
      <c r="L498" s="22"/>
    </row>
    <row r="499" spans="1:12" ht="16.5" thickBot="1" x14ac:dyDescent="0.3">
      <c r="A499" s="1775"/>
      <c r="B499" s="762" t="s">
        <v>249</v>
      </c>
      <c r="C499" s="1681"/>
      <c r="D499" s="1681"/>
      <c r="E499" s="112">
        <v>2005</v>
      </c>
      <c r="F499" s="112">
        <v>2010</v>
      </c>
      <c r="G499" s="112">
        <v>2015</v>
      </c>
      <c r="H499" s="112">
        <v>2020</v>
      </c>
      <c r="I499" s="112">
        <v>2021</v>
      </c>
      <c r="J499" s="112">
        <v>2022</v>
      </c>
      <c r="K499" s="112">
        <v>2023</v>
      </c>
      <c r="L499" s="112">
        <v>2024</v>
      </c>
    </row>
    <row r="500" spans="1:12" s="64" customFormat="1" x14ac:dyDescent="0.25">
      <c r="A500" s="1775"/>
      <c r="B500" s="1150" t="s">
        <v>219</v>
      </c>
      <c r="C500" s="1205" t="s">
        <v>459</v>
      </c>
      <c r="D500" s="1206"/>
      <c r="E500" s="40"/>
      <c r="F500" s="260"/>
      <c r="G500" s="260"/>
      <c r="H500" s="359">
        <v>150</v>
      </c>
      <c r="I500" s="359">
        <v>726</v>
      </c>
      <c r="J500" s="359">
        <v>851</v>
      </c>
      <c r="K500" s="359">
        <v>809</v>
      </c>
      <c r="L500" s="325"/>
    </row>
    <row r="501" spans="1:12" x14ac:dyDescent="0.25">
      <c r="A501" s="1775"/>
      <c r="B501" s="1151"/>
      <c r="C501" s="1148" t="s">
        <v>436</v>
      </c>
      <c r="D501" s="1124"/>
      <c r="E501" s="28"/>
      <c r="F501" s="187"/>
      <c r="G501" s="187"/>
      <c r="H501" s="358">
        <v>76</v>
      </c>
      <c r="I501" s="358">
        <v>442</v>
      </c>
      <c r="J501" s="358">
        <v>512</v>
      </c>
      <c r="K501" s="358">
        <v>484</v>
      </c>
      <c r="L501" s="21"/>
    </row>
    <row r="502" spans="1:12" x14ac:dyDescent="0.25">
      <c r="A502" s="1775"/>
      <c r="B502" s="1151"/>
      <c r="C502" s="1148" t="s">
        <v>437</v>
      </c>
      <c r="D502" s="1124"/>
      <c r="E502" s="96"/>
      <c r="F502" s="96"/>
      <c r="G502" s="96"/>
      <c r="H502" s="358">
        <v>74</v>
      </c>
      <c r="I502" s="358">
        <v>284</v>
      </c>
      <c r="J502" s="358">
        <v>339</v>
      </c>
      <c r="K502" s="358">
        <v>325</v>
      </c>
      <c r="L502" s="21"/>
    </row>
    <row r="503" spans="1:12" x14ac:dyDescent="0.25">
      <c r="A503" s="1775"/>
      <c r="B503" s="1151"/>
      <c r="C503" s="1190" t="s">
        <v>353</v>
      </c>
      <c r="D503" s="1112"/>
      <c r="E503" s="157"/>
      <c r="F503" s="157"/>
      <c r="G503" s="157"/>
      <c r="H503" s="157">
        <f>H502-H501</f>
        <v>-2</v>
      </c>
      <c r="I503" s="157">
        <f>I502-I501</f>
        <v>-158</v>
      </c>
      <c r="J503" s="157">
        <f>J502-J501</f>
        <v>-173</v>
      </c>
      <c r="K503" s="157">
        <f>K502-K501</f>
        <v>-159</v>
      </c>
      <c r="L503" s="21"/>
    </row>
    <row r="504" spans="1:12" ht="16.5" thickBot="1" x14ac:dyDescent="0.3">
      <c r="A504" s="1775"/>
      <c r="B504" s="1151"/>
      <c r="C504" s="1177" t="s">
        <v>270</v>
      </c>
      <c r="D504" s="1178"/>
      <c r="E504" s="360"/>
      <c r="F504" s="360"/>
      <c r="G504" s="360"/>
      <c r="H504" s="423">
        <f>H502/H500*100</f>
        <v>49.333333333333336</v>
      </c>
      <c r="I504" s="423">
        <f>I502/I500*100</f>
        <v>39.11845730027548</v>
      </c>
      <c r="J504" s="423">
        <f>J502/J500*100</f>
        <v>39.835487661574618</v>
      </c>
      <c r="K504" s="423">
        <f>K502/K500*100</f>
        <v>40.173053152039557</v>
      </c>
      <c r="L504" s="53"/>
    </row>
    <row r="505" spans="1:12" x14ac:dyDescent="0.25">
      <c r="A505" s="1775"/>
      <c r="B505" s="1678"/>
      <c r="C505" s="1406" t="s">
        <v>484</v>
      </c>
      <c r="D505" s="1405"/>
      <c r="E505" s="225"/>
      <c r="F505" s="225"/>
      <c r="G505" s="225"/>
      <c r="H505" s="261">
        <f>2/5*100</f>
        <v>40</v>
      </c>
      <c r="I505" s="261">
        <f>10/16*100</f>
        <v>62.5</v>
      </c>
      <c r="J505" s="261">
        <f>11/17*100</f>
        <v>64.705882352941174</v>
      </c>
      <c r="K505" s="315">
        <v>53.333333333333336</v>
      </c>
      <c r="L505" s="20"/>
    </row>
    <row r="506" spans="1:12" x14ac:dyDescent="0.25">
      <c r="A506" s="1775"/>
      <c r="B506" s="1678"/>
      <c r="C506" s="1111" t="s">
        <v>485</v>
      </c>
      <c r="D506" s="1112"/>
      <c r="E506" s="96"/>
      <c r="F506" s="96"/>
      <c r="G506" s="96"/>
      <c r="H506" s="235">
        <f>1/5*100</f>
        <v>20</v>
      </c>
      <c r="I506" s="235">
        <v>0</v>
      </c>
      <c r="J506" s="235">
        <f>2/17*100</f>
        <v>11.76470588235294</v>
      </c>
      <c r="K506" s="237">
        <v>13.333333333333334</v>
      </c>
      <c r="L506" s="21"/>
    </row>
    <row r="507" spans="1:12" x14ac:dyDescent="0.25">
      <c r="A507" s="1796"/>
      <c r="B507" s="1679"/>
      <c r="C507" s="1277" t="s">
        <v>486</v>
      </c>
      <c r="D507" s="1142"/>
      <c r="E507" s="360"/>
      <c r="F507" s="360"/>
      <c r="G507" s="360"/>
      <c r="H507" s="356">
        <f>2/5*100</f>
        <v>40</v>
      </c>
      <c r="I507" s="356">
        <f>6/16*100</f>
        <v>37.5</v>
      </c>
      <c r="J507" s="356">
        <f>4/17*100</f>
        <v>23.52941176470588</v>
      </c>
      <c r="K507" s="361">
        <v>33.333333333333329</v>
      </c>
      <c r="L507" s="53"/>
    </row>
    <row r="508" spans="1:12" ht="16.5" thickBot="1" x14ac:dyDescent="0.3">
      <c r="A508" s="338" t="s">
        <v>248</v>
      </c>
      <c r="B508" s="338" t="s">
        <v>249</v>
      </c>
      <c r="C508" s="1433"/>
      <c r="D508" s="1433"/>
      <c r="E508" s="616">
        <v>2005</v>
      </c>
      <c r="F508" s="616">
        <v>2010</v>
      </c>
      <c r="G508" s="616">
        <v>2015</v>
      </c>
      <c r="H508" s="616">
        <v>2020</v>
      </c>
      <c r="I508" s="616">
        <v>2021</v>
      </c>
      <c r="J508" s="616">
        <v>2022</v>
      </c>
      <c r="K508" s="616">
        <v>2023</v>
      </c>
      <c r="L508" s="616">
        <v>2024</v>
      </c>
    </row>
    <row r="509" spans="1:12" ht="15" customHeight="1" x14ac:dyDescent="0.25">
      <c r="A509" s="1766" t="s">
        <v>487</v>
      </c>
      <c r="B509" s="1572" t="s">
        <v>227</v>
      </c>
      <c r="C509" s="1205" t="s">
        <v>435</v>
      </c>
      <c r="D509" s="1206"/>
      <c r="E509" s="36"/>
      <c r="F509" s="36"/>
      <c r="G509" s="36"/>
      <c r="H509" s="36"/>
      <c r="I509" s="36"/>
      <c r="J509" s="36"/>
      <c r="K509" s="195">
        <v>1145</v>
      </c>
      <c r="L509" s="325">
        <v>1238</v>
      </c>
    </row>
    <row r="510" spans="1:12" x14ac:dyDescent="0.25">
      <c r="A510" s="1767"/>
      <c r="B510" s="1573"/>
      <c r="C510" s="1148" t="s">
        <v>533</v>
      </c>
      <c r="D510" s="1124"/>
      <c r="E510" s="28"/>
      <c r="F510" s="28"/>
      <c r="G510" s="28"/>
      <c r="H510" s="28"/>
      <c r="I510" s="28"/>
      <c r="J510" s="28"/>
      <c r="K510" s="28">
        <v>398</v>
      </c>
      <c r="L510" s="21">
        <v>433</v>
      </c>
    </row>
    <row r="511" spans="1:12" x14ac:dyDescent="0.25">
      <c r="A511" s="1767"/>
      <c r="B511" s="1573"/>
      <c r="C511" s="1148" t="s">
        <v>534</v>
      </c>
      <c r="D511" s="1124"/>
      <c r="E511" s="28"/>
      <c r="F511" s="28"/>
      <c r="G511" s="28"/>
      <c r="H511" s="28"/>
      <c r="I511" s="28"/>
      <c r="J511" s="28"/>
      <c r="K511" s="28">
        <v>747</v>
      </c>
      <c r="L511" s="21">
        <v>805</v>
      </c>
    </row>
    <row r="512" spans="1:12" x14ac:dyDescent="0.25">
      <c r="A512" s="1767"/>
      <c r="B512" s="1573"/>
      <c r="C512" s="1561" t="s">
        <v>353</v>
      </c>
      <c r="D512" s="1128"/>
      <c r="E512" s="28"/>
      <c r="F512" s="28"/>
      <c r="G512" s="28"/>
      <c r="H512" s="28"/>
      <c r="I512" s="28"/>
      <c r="J512" s="28"/>
      <c r="K512" s="262">
        <f t="shared" ref="K512" si="51">K511-K510</f>
        <v>349</v>
      </c>
      <c r="L512" s="317">
        <v>372</v>
      </c>
    </row>
    <row r="513" spans="1:12" ht="16.5" thickBot="1" x14ac:dyDescent="0.3">
      <c r="A513" s="1767"/>
      <c r="B513" s="1574"/>
      <c r="C513" s="1169" t="s">
        <v>270</v>
      </c>
      <c r="D513" s="1126"/>
      <c r="E513" s="197"/>
      <c r="F513" s="197"/>
      <c r="G513" s="197"/>
      <c r="H513" s="197"/>
      <c r="I513" s="197"/>
      <c r="J513" s="197"/>
      <c r="K513" s="161">
        <f t="shared" ref="K513" si="52">K511/K509*100</f>
        <v>65.240174672489076</v>
      </c>
      <c r="L513" s="162">
        <v>65.024232633279482</v>
      </c>
    </row>
    <row r="514" spans="1:12" x14ac:dyDescent="0.25">
      <c r="A514" s="1767"/>
      <c r="B514" s="1791" t="s">
        <v>577</v>
      </c>
      <c r="C514" s="1792" t="s">
        <v>489</v>
      </c>
      <c r="D514" s="1793"/>
      <c r="E514" s="202"/>
      <c r="F514" s="202">
        <v>115</v>
      </c>
      <c r="G514" s="202">
        <v>104</v>
      </c>
      <c r="H514" s="202">
        <v>144</v>
      </c>
      <c r="I514" s="122"/>
      <c r="J514" s="122"/>
      <c r="K514" s="202">
        <v>179</v>
      </c>
      <c r="L514" s="1072">
        <v>49</v>
      </c>
    </row>
    <row r="515" spans="1:12" x14ac:dyDescent="0.25">
      <c r="A515" s="1767"/>
      <c r="B515" s="1573"/>
      <c r="C515" s="1190" t="s">
        <v>490</v>
      </c>
      <c r="D515" s="1112"/>
      <c r="E515" s="157"/>
      <c r="F515" s="44">
        <v>7</v>
      </c>
      <c r="G515" s="44">
        <v>5</v>
      </c>
      <c r="H515" s="44">
        <v>9</v>
      </c>
      <c r="I515" s="28"/>
      <c r="J515" s="28"/>
      <c r="K515" s="44">
        <v>9</v>
      </c>
      <c r="L515" s="1072">
        <v>2</v>
      </c>
    </row>
    <row r="516" spans="1:12" ht="16.5" thickBot="1" x14ac:dyDescent="0.3">
      <c r="A516" s="1768"/>
      <c r="B516" s="1574"/>
      <c r="C516" s="1141" t="s">
        <v>491</v>
      </c>
      <c r="D516" s="1142"/>
      <c r="E516" s="336"/>
      <c r="F516" s="165">
        <f>F515/F514*100</f>
        <v>6.0869565217391308</v>
      </c>
      <c r="G516" s="165">
        <f t="shared" ref="G516:H516" si="53">G515/G514*100</f>
        <v>4.8076923076923084</v>
      </c>
      <c r="H516" s="165">
        <f t="shared" si="53"/>
        <v>6.25</v>
      </c>
      <c r="I516" s="110"/>
      <c r="J516" s="110"/>
      <c r="K516" s="165">
        <f>K515/K514*100</f>
        <v>5.027932960893855</v>
      </c>
      <c r="L516" s="859">
        <v>4.0816326530612246</v>
      </c>
    </row>
    <row r="517" spans="1:12" ht="16.5" thickBot="1" x14ac:dyDescent="0.3">
      <c r="A517" s="338" t="s">
        <v>248</v>
      </c>
      <c r="B517" s="773" t="s">
        <v>249</v>
      </c>
      <c r="C517" s="1433"/>
      <c r="D517" s="1433"/>
      <c r="E517" s="617">
        <v>2005</v>
      </c>
      <c r="F517" s="836">
        <v>2010</v>
      </c>
      <c r="G517" s="836">
        <v>2015</v>
      </c>
      <c r="H517" s="836">
        <v>2020</v>
      </c>
      <c r="I517" s="836">
        <v>2021</v>
      </c>
      <c r="J517" s="836">
        <v>2022</v>
      </c>
      <c r="K517" s="836">
        <v>2023</v>
      </c>
      <c r="L517" s="616">
        <v>2024</v>
      </c>
    </row>
    <row r="518" spans="1:12" ht="15" customHeight="1" x14ac:dyDescent="0.25">
      <c r="A518" s="1705" t="s">
        <v>492</v>
      </c>
      <c r="B518" s="1258" t="s">
        <v>493</v>
      </c>
      <c r="C518" s="1251" t="s">
        <v>459</v>
      </c>
      <c r="D518" s="1206"/>
      <c r="E518" s="36"/>
      <c r="F518" s="195">
        <v>1608</v>
      </c>
      <c r="G518" s="195">
        <v>1710</v>
      </c>
      <c r="H518" s="195">
        <v>2076</v>
      </c>
      <c r="I518" s="195">
        <v>2713</v>
      </c>
      <c r="J518" s="195">
        <v>2869</v>
      </c>
      <c r="K518" s="195">
        <v>3258</v>
      </c>
      <c r="L518" s="20">
        <v>3532</v>
      </c>
    </row>
    <row r="519" spans="1:12" x14ac:dyDescent="0.25">
      <c r="A519" s="1706"/>
      <c r="B519" s="1259"/>
      <c r="C519" s="1320" t="s">
        <v>436</v>
      </c>
      <c r="D519" s="28" t="s">
        <v>494</v>
      </c>
      <c r="E519" s="28"/>
      <c r="F519" s="96">
        <v>677</v>
      </c>
      <c r="G519" s="96">
        <v>757</v>
      </c>
      <c r="H519" s="96">
        <v>1049</v>
      </c>
      <c r="I519" s="96">
        <v>1328</v>
      </c>
      <c r="J519" s="96">
        <v>1462</v>
      </c>
      <c r="K519" s="96">
        <v>1610</v>
      </c>
      <c r="L519" s="21">
        <v>1759</v>
      </c>
    </row>
    <row r="520" spans="1:12" x14ac:dyDescent="0.25">
      <c r="A520" s="1706"/>
      <c r="B520" s="1259"/>
      <c r="C520" s="1320"/>
      <c r="D520" s="28" t="s">
        <v>495</v>
      </c>
      <c r="E520" s="28"/>
      <c r="F520" s="96">
        <v>155</v>
      </c>
      <c r="G520" s="96">
        <v>144</v>
      </c>
      <c r="H520" s="96">
        <v>130</v>
      </c>
      <c r="I520" s="96">
        <v>209</v>
      </c>
      <c r="J520" s="96">
        <v>196</v>
      </c>
      <c r="K520" s="96">
        <v>215</v>
      </c>
      <c r="L520" s="21">
        <v>248</v>
      </c>
    </row>
    <row r="521" spans="1:12" x14ac:dyDescent="0.25">
      <c r="A521" s="1706"/>
      <c r="B521" s="1259"/>
      <c r="C521" s="1320" t="s">
        <v>437</v>
      </c>
      <c r="D521" s="28" t="s">
        <v>496</v>
      </c>
      <c r="E521" s="28"/>
      <c r="F521" s="96">
        <v>165</v>
      </c>
      <c r="G521" s="96">
        <v>200</v>
      </c>
      <c r="H521" s="96">
        <v>275</v>
      </c>
      <c r="I521" s="96">
        <v>413</v>
      </c>
      <c r="J521" s="96">
        <v>418</v>
      </c>
      <c r="K521" s="96">
        <v>524</v>
      </c>
      <c r="L521" s="21">
        <v>583</v>
      </c>
    </row>
    <row r="522" spans="1:12" ht="16.5" thickBot="1" x14ac:dyDescent="0.3">
      <c r="A522" s="1706"/>
      <c r="B522" s="1259"/>
      <c r="C522" s="1321"/>
      <c r="D522" s="33" t="s">
        <v>497</v>
      </c>
      <c r="E522" s="33"/>
      <c r="F522" s="190">
        <v>188</v>
      </c>
      <c r="G522" s="190">
        <v>211</v>
      </c>
      <c r="H522" s="190">
        <v>182</v>
      </c>
      <c r="I522" s="190">
        <v>277</v>
      </c>
      <c r="J522" s="190">
        <v>232</v>
      </c>
      <c r="K522" s="190">
        <v>328</v>
      </c>
      <c r="L522" s="22">
        <v>326</v>
      </c>
    </row>
    <row r="523" spans="1:12" x14ac:dyDescent="0.25">
      <c r="A523" s="1706"/>
      <c r="B523" s="1259"/>
      <c r="C523" s="1441" t="s">
        <v>353</v>
      </c>
      <c r="D523" s="40" t="s">
        <v>498</v>
      </c>
      <c r="E523" s="40"/>
      <c r="F523" s="81">
        <f t="shared" ref="F523:L523" si="54">+F521-F519</f>
        <v>-512</v>
      </c>
      <c r="G523" s="81">
        <f t="shared" si="54"/>
        <v>-557</v>
      </c>
      <c r="H523" s="81">
        <f t="shared" si="54"/>
        <v>-774</v>
      </c>
      <c r="I523" s="81">
        <f t="shared" si="54"/>
        <v>-915</v>
      </c>
      <c r="J523" s="81">
        <f t="shared" si="54"/>
        <v>-1044</v>
      </c>
      <c r="K523" s="81">
        <f t="shared" si="54"/>
        <v>-1086</v>
      </c>
      <c r="L523" s="81">
        <f t="shared" si="54"/>
        <v>-1176</v>
      </c>
    </row>
    <row r="524" spans="1:12" x14ac:dyDescent="0.25">
      <c r="A524" s="1706"/>
      <c r="B524" s="1259"/>
      <c r="C524" s="1560"/>
      <c r="D524" s="44" t="s">
        <v>499</v>
      </c>
      <c r="E524" s="44"/>
      <c r="F524" s="79">
        <f t="shared" ref="F524:L524" si="55">F522-F520</f>
        <v>33</v>
      </c>
      <c r="G524" s="79">
        <f t="shared" si="55"/>
        <v>67</v>
      </c>
      <c r="H524" s="79">
        <f t="shared" si="55"/>
        <v>52</v>
      </c>
      <c r="I524" s="79">
        <f t="shared" si="55"/>
        <v>68</v>
      </c>
      <c r="J524" s="79">
        <f t="shared" si="55"/>
        <v>36</v>
      </c>
      <c r="K524" s="79">
        <f t="shared" si="55"/>
        <v>113</v>
      </c>
      <c r="L524" s="79">
        <f t="shared" si="55"/>
        <v>78</v>
      </c>
    </row>
    <row r="525" spans="1:12" ht="16.5" customHeight="1" x14ac:dyDescent="0.25">
      <c r="A525" s="1706"/>
      <c r="B525" s="1259"/>
      <c r="C525" s="1560" t="s">
        <v>270</v>
      </c>
      <c r="D525" s="44" t="s">
        <v>500</v>
      </c>
      <c r="E525" s="44"/>
      <c r="F525" s="263">
        <f>+F521/(F521+F519)*100</f>
        <v>19.596199524940616</v>
      </c>
      <c r="G525" s="263">
        <f t="shared" ref="G525:L526" si="56">+G521/(G521+G519)*100</f>
        <v>20.898641588296758</v>
      </c>
      <c r="H525" s="263">
        <f t="shared" si="56"/>
        <v>20.770392749244714</v>
      </c>
      <c r="I525" s="263">
        <f t="shared" si="56"/>
        <v>23.721998851234922</v>
      </c>
      <c r="J525" s="263">
        <f t="shared" si="56"/>
        <v>22.23404255319149</v>
      </c>
      <c r="K525" s="263">
        <f t="shared" si="56"/>
        <v>24.554826616682288</v>
      </c>
      <c r="L525" s="263">
        <f t="shared" si="56"/>
        <v>24.893253629376602</v>
      </c>
    </row>
    <row r="526" spans="1:12" ht="16.5" thickBot="1" x14ac:dyDescent="0.3">
      <c r="A526" s="1707"/>
      <c r="B526" s="1260"/>
      <c r="C526" s="1421"/>
      <c r="D526" s="203" t="s">
        <v>501</v>
      </c>
      <c r="E526" s="203"/>
      <c r="F526" s="230">
        <f>+F522/(F522+F520)*100</f>
        <v>54.810495626822153</v>
      </c>
      <c r="G526" s="230">
        <f t="shared" si="56"/>
        <v>59.436619718309856</v>
      </c>
      <c r="H526" s="230">
        <f t="shared" si="56"/>
        <v>58.333333333333336</v>
      </c>
      <c r="I526" s="230">
        <f t="shared" si="56"/>
        <v>56.995884773662553</v>
      </c>
      <c r="J526" s="230">
        <f t="shared" si="56"/>
        <v>54.205607476635507</v>
      </c>
      <c r="K526" s="230">
        <f t="shared" si="56"/>
        <v>60.405156537753221</v>
      </c>
      <c r="L526" s="230">
        <f t="shared" si="56"/>
        <v>56.79442508710801</v>
      </c>
    </row>
  </sheetData>
  <mergeCells count="242">
    <mergeCell ref="C525:C526"/>
    <mergeCell ref="A518:A526"/>
    <mergeCell ref="B518:B526"/>
    <mergeCell ref="C506:D506"/>
    <mergeCell ref="C507:D507"/>
    <mergeCell ref="C492:C495"/>
    <mergeCell ref="C412:C415"/>
    <mergeCell ref="C416:C419"/>
    <mergeCell ref="C496:C498"/>
    <mergeCell ref="B432:B498"/>
    <mergeCell ref="B372:B430"/>
    <mergeCell ref="C372:D372"/>
    <mergeCell ref="C373:D373"/>
    <mergeCell ref="C374:D374"/>
    <mergeCell ref="C375:D375"/>
    <mergeCell ref="C435:D435"/>
    <mergeCell ref="C424:C427"/>
    <mergeCell ref="C436:C439"/>
    <mergeCell ref="C440:C443"/>
    <mergeCell ref="C444:C447"/>
    <mergeCell ref="C448:C451"/>
    <mergeCell ref="C376:C379"/>
    <mergeCell ref="C380:C383"/>
    <mergeCell ref="C384:C387"/>
    <mergeCell ref="C468:C471"/>
    <mergeCell ref="C472:C475"/>
    <mergeCell ref="C476:C479"/>
    <mergeCell ref="C480:C483"/>
    <mergeCell ref="C388:C391"/>
    <mergeCell ref="C361:D361"/>
    <mergeCell ref="A362:A507"/>
    <mergeCell ref="B362:B370"/>
    <mergeCell ref="C362:C364"/>
    <mergeCell ref="C365:C367"/>
    <mergeCell ref="C368:D368"/>
    <mergeCell ref="C369:D369"/>
    <mergeCell ref="C370:D370"/>
    <mergeCell ref="C432:D432"/>
    <mergeCell ref="C433:D433"/>
    <mergeCell ref="C434:D434"/>
    <mergeCell ref="C499:D499"/>
    <mergeCell ref="C500:D500"/>
    <mergeCell ref="C501:D501"/>
    <mergeCell ref="C502:D502"/>
    <mergeCell ref="B500:B507"/>
    <mergeCell ref="C504:D504"/>
    <mergeCell ref="C505:D505"/>
    <mergeCell ref="C396:C399"/>
    <mergeCell ref="C400:C403"/>
    <mergeCell ref="C517:D517"/>
    <mergeCell ref="C518:D518"/>
    <mergeCell ref="C508:D508"/>
    <mergeCell ref="A509:A516"/>
    <mergeCell ref="B509:B513"/>
    <mergeCell ref="C509:D509"/>
    <mergeCell ref="C510:D510"/>
    <mergeCell ref="C511:D511"/>
    <mergeCell ref="C513:D513"/>
    <mergeCell ref="B514:B516"/>
    <mergeCell ref="C514:D514"/>
    <mergeCell ref="C516:D516"/>
    <mergeCell ref="C404:C407"/>
    <mergeCell ref="C408:C411"/>
    <mergeCell ref="C431:D431"/>
    <mergeCell ref="C452:C455"/>
    <mergeCell ref="C456:C459"/>
    <mergeCell ref="C460:C463"/>
    <mergeCell ref="C428:C430"/>
    <mergeCell ref="C420:C423"/>
    <mergeCell ref="C503:D503"/>
    <mergeCell ref="C464:C467"/>
    <mergeCell ref="C515:D515"/>
    <mergeCell ref="C519:C520"/>
    <mergeCell ref="C521:C522"/>
    <mergeCell ref="C523:C524"/>
    <mergeCell ref="C512:D512"/>
    <mergeCell ref="B322:B325"/>
    <mergeCell ref="C316:D316"/>
    <mergeCell ref="C341:D341"/>
    <mergeCell ref="A342:A349"/>
    <mergeCell ref="B342:B345"/>
    <mergeCell ref="C342:D342"/>
    <mergeCell ref="C343:D343"/>
    <mergeCell ref="C344:D344"/>
    <mergeCell ref="C345:D345"/>
    <mergeCell ref="B346:B349"/>
    <mergeCell ref="C346:D346"/>
    <mergeCell ref="C347:D347"/>
    <mergeCell ref="C348:D348"/>
    <mergeCell ref="C349:D349"/>
    <mergeCell ref="B326:B335"/>
    <mergeCell ref="C326:C330"/>
    <mergeCell ref="A351:A360"/>
    <mergeCell ref="B351:B360"/>
    <mergeCell ref="C354:C356"/>
    <mergeCell ref="C350:D350"/>
    <mergeCell ref="C61:D61"/>
    <mergeCell ref="B62:B315"/>
    <mergeCell ref="C62:C64"/>
    <mergeCell ref="C65:C68"/>
    <mergeCell ref="C69:C72"/>
    <mergeCell ref="C73:C76"/>
    <mergeCell ref="A317:A340"/>
    <mergeCell ref="B317:B321"/>
    <mergeCell ref="C317:D317"/>
    <mergeCell ref="C318:D318"/>
    <mergeCell ref="C319:D319"/>
    <mergeCell ref="C320:D320"/>
    <mergeCell ref="C321:D321"/>
    <mergeCell ref="C322:D322"/>
    <mergeCell ref="C323:D323"/>
    <mergeCell ref="C324:D324"/>
    <mergeCell ref="C325:D325"/>
    <mergeCell ref="C331:C335"/>
    <mergeCell ref="B336:B340"/>
    <mergeCell ref="C336:D336"/>
    <mergeCell ref="C337:D337"/>
    <mergeCell ref="C338:D338"/>
    <mergeCell ref="C339:D339"/>
    <mergeCell ref="C340:D340"/>
    <mergeCell ref="C53:D53"/>
    <mergeCell ref="C54:D54"/>
    <mergeCell ref="C55:D55"/>
    <mergeCell ref="B56:B60"/>
    <mergeCell ref="C56:D56"/>
    <mergeCell ref="C57:D57"/>
    <mergeCell ref="C58:D58"/>
    <mergeCell ref="C59:D59"/>
    <mergeCell ref="C60:D60"/>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65:C168"/>
    <mergeCell ref="C169:C172"/>
    <mergeCell ref="C221:C224"/>
    <mergeCell ref="C225:C228"/>
    <mergeCell ref="C229:C232"/>
    <mergeCell ref="C233:C236"/>
    <mergeCell ref="C237:C240"/>
    <mergeCell ref="C241:C244"/>
    <mergeCell ref="C245:C248"/>
    <mergeCell ref="C217:C220"/>
    <mergeCell ref="C205:C208"/>
    <mergeCell ref="C209:C212"/>
    <mergeCell ref="C213:C216"/>
    <mergeCell ref="C201:C204"/>
    <mergeCell ref="C113:C116"/>
    <mergeCell ref="C117:C120"/>
    <mergeCell ref="C121:C124"/>
    <mergeCell ref="C125:C128"/>
    <mergeCell ref="C129:C132"/>
    <mergeCell ref="C133:C136"/>
    <mergeCell ref="C137:C140"/>
    <mergeCell ref="C141:C144"/>
    <mergeCell ref="C145:C148"/>
    <mergeCell ref="A47:A315"/>
    <mergeCell ref="B47:B51"/>
    <mergeCell ref="C47:D47"/>
    <mergeCell ref="C48:D48"/>
    <mergeCell ref="C49:D49"/>
    <mergeCell ref="C50:D50"/>
    <mergeCell ref="C51:D51"/>
    <mergeCell ref="B52:B55"/>
    <mergeCell ref="C52:D52"/>
    <mergeCell ref="C277:C280"/>
    <mergeCell ref="C281:C284"/>
    <mergeCell ref="C285:C288"/>
    <mergeCell ref="C185:C188"/>
    <mergeCell ref="C189:C192"/>
    <mergeCell ref="C193:C196"/>
    <mergeCell ref="C197:C200"/>
    <mergeCell ref="C293:C296"/>
    <mergeCell ref="C297:C300"/>
    <mergeCell ref="C301:C304"/>
    <mergeCell ref="C305:C308"/>
    <mergeCell ref="C309:C312"/>
    <mergeCell ref="C313:D313"/>
    <mergeCell ref="C314:D314"/>
    <mergeCell ref="C315:D315"/>
    <mergeCell ref="C484:C487"/>
    <mergeCell ref="C488:C491"/>
    <mergeCell ref="C371:D371"/>
    <mergeCell ref="C149:C152"/>
    <mergeCell ref="C153:C156"/>
    <mergeCell ref="C289:C292"/>
    <mergeCell ref="C273:C276"/>
    <mergeCell ref="C249:C252"/>
    <mergeCell ref="C253:C256"/>
    <mergeCell ref="C392:C395"/>
    <mergeCell ref="C358:D358"/>
    <mergeCell ref="C359:D359"/>
    <mergeCell ref="C360:D360"/>
    <mergeCell ref="C351:C353"/>
    <mergeCell ref="C357:D357"/>
    <mergeCell ref="C173:C176"/>
    <mergeCell ref="C177:C180"/>
    <mergeCell ref="C181:C184"/>
    <mergeCell ref="C257:C260"/>
    <mergeCell ref="C261:C264"/>
    <mergeCell ref="C265:C268"/>
    <mergeCell ref="C269:C272"/>
    <mergeCell ref="C157:C160"/>
    <mergeCell ref="C161:C164"/>
  </mergeCells>
  <phoneticPr fontId="5" type="noConversion"/>
  <conditionalFormatting sqref="E50 G50:L50">
    <cfRule type="cellIs" dxfId="704" priority="272" operator="lessThan">
      <formula>1</formula>
    </cfRule>
    <cfRule type="cellIs" dxfId="703" priority="270" operator="greaterThan">
      <formula>1</formula>
    </cfRule>
    <cfRule type="cellIs" dxfId="702" priority="269" operator="lessThan">
      <formula>1</formula>
    </cfRule>
    <cfRule type="cellIs" dxfId="701" priority="273" operator="greaterThan">
      <formula>1</formula>
    </cfRule>
    <cfRule type="cellIs" dxfId="700" priority="271" operator="greaterThan">
      <formula>1</formula>
    </cfRule>
  </conditionalFormatting>
  <conditionalFormatting sqref="E349:F349">
    <cfRule type="cellIs" dxfId="699" priority="155" operator="lessThan">
      <formula>0</formula>
    </cfRule>
    <cfRule type="cellIs" dxfId="698" priority="156" operator="greaterThan">
      <formula>0</formula>
    </cfRule>
  </conditionalFormatting>
  <conditionalFormatting sqref="E39:L39">
    <cfRule type="cellIs" dxfId="697" priority="411" operator="greaterThan">
      <formula>1</formula>
    </cfRule>
    <cfRule type="cellIs" dxfId="696" priority="412" operator="greaterThan">
      <formula>1</formula>
    </cfRule>
    <cfRule type="cellIs" dxfId="695" priority="413" operator="lessThan">
      <formula>1</formula>
    </cfRule>
    <cfRule type="cellIs" dxfId="694" priority="414" operator="greaterThan">
      <formula>1</formula>
    </cfRule>
  </conditionalFormatting>
  <conditionalFormatting sqref="E40:L40">
    <cfRule type="cellIs" dxfId="693" priority="410" operator="greaterThan">
      <formula>50</formula>
    </cfRule>
    <cfRule type="cellIs" dxfId="692" priority="416" operator="greaterThan">
      <formula>50</formula>
    </cfRule>
    <cfRule type="cellIs" dxfId="691" priority="415" operator="lessThan">
      <formula>50</formula>
    </cfRule>
  </conditionalFormatting>
  <conditionalFormatting sqref="E44:L44">
    <cfRule type="cellIs" dxfId="690" priority="409" operator="greaterThan">
      <formula>1</formula>
    </cfRule>
    <cfRule type="cellIs" dxfId="689" priority="408" operator="lessThan">
      <formula>1</formula>
    </cfRule>
    <cfRule type="cellIs" dxfId="688" priority="407" operator="greaterThan">
      <formula>1</formula>
    </cfRule>
    <cfRule type="cellIs" dxfId="687" priority="406" operator="greaterThan">
      <formula>1</formula>
    </cfRule>
  </conditionalFormatting>
  <conditionalFormatting sqref="E45:L45">
    <cfRule type="cellIs" dxfId="686" priority="404" operator="lessThan">
      <formula>50</formula>
    </cfRule>
    <cfRule type="cellIs" dxfId="685" priority="403" operator="greaterThan">
      <formula>50</formula>
    </cfRule>
    <cfRule type="cellIs" dxfId="684" priority="405" operator="greaterThan">
      <formula>50</formula>
    </cfRule>
  </conditionalFormatting>
  <conditionalFormatting sqref="E51:L51">
    <cfRule type="cellIs" dxfId="683" priority="281" operator="lessThan">
      <formula>50</formula>
    </cfRule>
    <cfRule type="cellIs" dxfId="682" priority="282" operator="greaterThan">
      <formula>50</formula>
    </cfRule>
    <cfRule type="cellIs" dxfId="681" priority="280" operator="greaterThan">
      <formula>50</formula>
    </cfRule>
  </conditionalFormatting>
  <conditionalFormatting sqref="F370:K370">
    <cfRule type="cellIs" dxfId="680" priority="151" operator="lessThan">
      <formula>0</formula>
    </cfRule>
  </conditionalFormatting>
  <conditionalFormatting sqref="F320:L321">
    <cfRule type="cellIs" dxfId="679" priority="172" operator="lessThan">
      <formula>1</formula>
    </cfRule>
  </conditionalFormatting>
  <conditionalFormatting sqref="F523:L523">
    <cfRule type="cellIs" dxfId="678" priority="13" operator="lessThan">
      <formula>0</formula>
    </cfRule>
  </conditionalFormatting>
  <conditionalFormatting sqref="F524:L526">
    <cfRule type="cellIs" dxfId="677" priority="11" operator="greaterThan">
      <formula>0</formula>
    </cfRule>
  </conditionalFormatting>
  <conditionalFormatting sqref="F526:L526">
    <cfRule type="cellIs" dxfId="676" priority="16" operator="lessThan">
      <formula>0</formula>
    </cfRule>
    <cfRule type="cellIs" dxfId="675" priority="15" operator="greaterThan">
      <formula>0</formula>
    </cfRule>
  </conditionalFormatting>
  <conditionalFormatting sqref="G325:L325">
    <cfRule type="cellIs" dxfId="674" priority="178" operator="greaterThan">
      <formula>0</formula>
    </cfRule>
    <cfRule type="cellIs" dxfId="673" priority="179" operator="lessThan">
      <formula>1</formula>
    </cfRule>
  </conditionalFormatting>
  <conditionalFormatting sqref="H503:J503">
    <cfRule type="cellIs" dxfId="672" priority="2" operator="greaterThan">
      <formula>0</formula>
    </cfRule>
  </conditionalFormatting>
  <conditionalFormatting sqref="H59:K59">
    <cfRule type="cellIs" dxfId="671" priority="276" operator="greaterThan">
      <formula>0</formula>
    </cfRule>
  </conditionalFormatting>
  <conditionalFormatting sqref="H60:K60">
    <cfRule type="cellIs" dxfId="670" priority="278" operator="greaterThan">
      <formula>50</formula>
    </cfRule>
    <cfRule type="cellIs" dxfId="669" priority="274" operator="lessThan">
      <formula>50</formula>
    </cfRule>
    <cfRule type="cellIs" dxfId="668" priority="275" operator="greaterThan">
      <formula>50</formula>
    </cfRule>
    <cfRule type="cellIs" dxfId="667" priority="277" operator="lessThan">
      <formula>50</formula>
    </cfRule>
  </conditionalFormatting>
  <conditionalFormatting sqref="H339:K339">
    <cfRule type="cellIs" dxfId="666" priority="185" operator="greaterThan">
      <formula>0</formula>
    </cfRule>
    <cfRule type="cellIs" dxfId="665" priority="181" operator="lessThan">
      <formula>0</formula>
    </cfRule>
    <cfRule type="cellIs" dxfId="664" priority="187" operator="greaterThan">
      <formula>0</formula>
    </cfRule>
    <cfRule type="cellIs" dxfId="663" priority="186" operator="lessThan">
      <formula>0</formula>
    </cfRule>
  </conditionalFormatting>
  <conditionalFormatting sqref="H340:K340">
    <cfRule type="cellIs" dxfId="662" priority="184" operator="greaterThan">
      <formula>50</formula>
    </cfRule>
    <cfRule type="cellIs" dxfId="661" priority="180" operator="lessThan">
      <formula>50</formula>
    </cfRule>
    <cfRule type="cellIs" dxfId="660" priority="159" operator="greaterThan">
      <formula>50</formula>
    </cfRule>
  </conditionalFormatting>
  <conditionalFormatting sqref="H360:K360">
    <cfRule type="cellIs" dxfId="659" priority="26" operator="greaterThan">
      <formula>0</formula>
    </cfRule>
    <cfRule type="cellIs" dxfId="658" priority="25" operator="lessThan">
      <formula>0</formula>
    </cfRule>
  </conditionalFormatting>
  <conditionalFormatting sqref="H503:K503">
    <cfRule type="cellIs" dxfId="657" priority="1" operator="lessThan">
      <formula>0</formula>
    </cfRule>
  </conditionalFormatting>
  <conditionalFormatting sqref="H504:K504">
    <cfRule type="cellIs" dxfId="656" priority="4" operator="greaterThan">
      <formula>50</formula>
    </cfRule>
    <cfRule type="cellIs" dxfId="655" priority="3" operator="lessThan">
      <formula>50</formula>
    </cfRule>
  </conditionalFormatting>
  <conditionalFormatting sqref="H55:L55">
    <cfRule type="cellIs" dxfId="654" priority="279" operator="greaterThan">
      <formula>0</formula>
    </cfRule>
  </conditionalFormatting>
  <conditionalFormatting sqref="I329:I330">
    <cfRule type="cellIs" dxfId="653" priority="167" operator="greaterThan">
      <formula>50</formula>
    </cfRule>
  </conditionalFormatting>
  <conditionalFormatting sqref="I329:L329">
    <cfRule type="cellIs" dxfId="652" priority="175" operator="lessThan">
      <formula>1</formula>
    </cfRule>
    <cfRule type="cellIs" dxfId="651" priority="174" operator="greaterThan">
      <formula>0</formula>
    </cfRule>
  </conditionalFormatting>
  <conditionalFormatting sqref="I330:L330">
    <cfRule type="cellIs" dxfId="650" priority="176" operator="lessThan">
      <formula>50</formula>
    </cfRule>
    <cfRule type="cellIs" dxfId="649" priority="173" operator="greaterThan">
      <formula>50</formula>
    </cfRule>
  </conditionalFormatting>
  <conditionalFormatting sqref="I334:L334">
    <cfRule type="cellIs" dxfId="648" priority="182" operator="greaterThan">
      <formula>0</formula>
    </cfRule>
    <cfRule type="cellIs" dxfId="647" priority="183" operator="lessThan">
      <formula>1</formula>
    </cfRule>
    <cfRule type="cellIs" dxfId="646" priority="162" operator="greaterThan">
      <formula>0</formula>
    </cfRule>
  </conditionalFormatting>
  <conditionalFormatting sqref="I335:L335">
    <cfRule type="cellIs" dxfId="645" priority="160" operator="greaterThan">
      <formula>50</formula>
    </cfRule>
  </conditionalFormatting>
  <conditionalFormatting sqref="J329:L329">
    <cfRule type="cellIs" dxfId="644" priority="165" operator="greaterThan">
      <formula>0</formula>
    </cfRule>
  </conditionalFormatting>
  <conditionalFormatting sqref="J330:L330">
    <cfRule type="cellIs" dxfId="643" priority="164" operator="greaterThan">
      <formula>50</formula>
    </cfRule>
  </conditionalFormatting>
  <conditionalFormatting sqref="K513">
    <cfRule type="cellIs" dxfId="642" priority="10" operator="greaterThan">
      <formula>50</formula>
    </cfRule>
    <cfRule type="cellIs" dxfId="641" priority="9" operator="lessThan">
      <formula>50</formula>
    </cfRule>
    <cfRule type="cellIs" dxfId="640" priority="8" operator="lessThan">
      <formula>50</formula>
    </cfRule>
  </conditionalFormatting>
  <hyperlinks>
    <hyperlink ref="M1" location="INDICADORES!A1" display="INDICADORES" xr:uid="{94B4688A-32CA-4999-9926-05B920148983}"/>
    <hyperlink ref="O1" location="DISTRITOS!A1" display="DISTRITOS" xr:uid="{16BCD080-0205-4DCB-8C15-F6DF44364112}"/>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A1716-9D24-4F50-9F0C-EAD9AF902283}">
  <sheetPr codeName="Hoja15">
    <tabColor theme="8" tint="-0.249977111117893"/>
  </sheetPr>
  <dimension ref="A1:O502"/>
  <sheetViews>
    <sheetView showGridLines="0" topLeftCell="C1" zoomScale="80" zoomScaleNormal="80" workbookViewId="0">
      <pane ySplit="2" topLeftCell="A505" activePane="bottomLeft" state="frozen"/>
      <selection activeCell="C3" activeCellId="1" sqref="K60 C3:K3"/>
      <selection pane="bottomLeft" activeCell="L489" sqref="L489"/>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4.5703125" style="11" customWidth="1"/>
    <col min="14" max="14" width="4.85546875" style="11" customWidth="1"/>
    <col min="15" max="15" width="14.5703125" style="11" customWidth="1"/>
    <col min="16" max="16384" width="11.42578125" style="11"/>
  </cols>
  <sheetData>
    <row r="1" spans="1:15" ht="30" customHeight="1" thickTop="1" thickBot="1" x14ac:dyDescent="0.3">
      <c r="A1" s="1020" t="s">
        <v>578</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row>
    <row r="3" spans="1:15" s="64" customFormat="1" ht="15.75" customHeight="1" x14ac:dyDescent="0.25">
      <c r="A3" s="1782" t="s">
        <v>26</v>
      </c>
      <c r="B3" s="1716" t="s">
        <v>568</v>
      </c>
      <c r="C3" s="1210" t="s">
        <v>251</v>
      </c>
      <c r="D3" s="1211"/>
      <c r="E3" s="81">
        <v>132094</v>
      </c>
      <c r="F3" s="81">
        <v>141755</v>
      </c>
      <c r="G3" s="81">
        <v>132744</v>
      </c>
      <c r="H3" s="81">
        <v>142894</v>
      </c>
      <c r="I3" s="81">
        <v>142454</v>
      </c>
      <c r="J3" s="81">
        <v>140808</v>
      </c>
      <c r="K3" s="81">
        <v>142746</v>
      </c>
      <c r="L3" s="82">
        <v>149113</v>
      </c>
    </row>
    <row r="4" spans="1:15" x14ac:dyDescent="0.25">
      <c r="A4" s="1783"/>
      <c r="B4" s="1717"/>
      <c r="C4" s="1212" t="s">
        <v>257</v>
      </c>
      <c r="D4" s="1213"/>
      <c r="E4" s="80">
        <v>63465</v>
      </c>
      <c r="F4" s="80">
        <v>68362</v>
      </c>
      <c r="G4" s="80">
        <v>62464</v>
      </c>
      <c r="H4" s="80">
        <v>67346</v>
      </c>
      <c r="I4" s="80">
        <v>67230</v>
      </c>
      <c r="J4" s="80">
        <v>66532</v>
      </c>
      <c r="K4" s="80">
        <v>67538</v>
      </c>
      <c r="L4" s="83">
        <v>70801</v>
      </c>
    </row>
    <row r="5" spans="1:15" x14ac:dyDescent="0.25">
      <c r="A5" s="1783"/>
      <c r="B5" s="1717"/>
      <c r="C5" s="1212" t="s">
        <v>263</v>
      </c>
      <c r="D5" s="1213"/>
      <c r="E5" s="80">
        <v>68629</v>
      </c>
      <c r="F5" s="80">
        <v>73393</v>
      </c>
      <c r="G5" s="80">
        <v>70280</v>
      </c>
      <c r="H5" s="80">
        <v>75548</v>
      </c>
      <c r="I5" s="80">
        <v>75224</v>
      </c>
      <c r="J5" s="80">
        <v>74276</v>
      </c>
      <c r="K5" s="80">
        <v>75208</v>
      </c>
      <c r="L5" s="83">
        <v>78312</v>
      </c>
    </row>
    <row r="6" spans="1:15" x14ac:dyDescent="0.25">
      <c r="A6" s="1783"/>
      <c r="B6" s="1718"/>
      <c r="C6" s="1214" t="s">
        <v>269</v>
      </c>
      <c r="D6" s="1215"/>
      <c r="E6" s="363">
        <f>+E5-E4</f>
        <v>5164</v>
      </c>
      <c r="F6" s="363">
        <f t="shared" ref="F6:L6" si="0">+F5-F4</f>
        <v>5031</v>
      </c>
      <c r="G6" s="363">
        <f t="shared" si="0"/>
        <v>7816</v>
      </c>
      <c r="H6" s="363">
        <f t="shared" si="0"/>
        <v>8202</v>
      </c>
      <c r="I6" s="363">
        <f t="shared" si="0"/>
        <v>7994</v>
      </c>
      <c r="J6" s="363">
        <f t="shared" si="0"/>
        <v>7744</v>
      </c>
      <c r="K6" s="363">
        <f t="shared" si="0"/>
        <v>7670</v>
      </c>
      <c r="L6" s="365">
        <f t="shared" si="0"/>
        <v>7511</v>
      </c>
    </row>
    <row r="7" spans="1:15" x14ac:dyDescent="0.25">
      <c r="A7" s="1783"/>
      <c r="B7" s="1819"/>
      <c r="C7" s="1177" t="s">
        <v>270</v>
      </c>
      <c r="D7" s="1178"/>
      <c r="E7" s="378">
        <f>E5/E3*100</f>
        <v>51.95466864505579</v>
      </c>
      <c r="F7" s="378">
        <f t="shared" ref="F7:L7" si="1">F5/F3*100</f>
        <v>51.774540580579163</v>
      </c>
      <c r="G7" s="378">
        <f t="shared" si="1"/>
        <v>52.944012535406493</v>
      </c>
      <c r="H7" s="378">
        <f t="shared" si="1"/>
        <v>52.869959550435986</v>
      </c>
      <c r="I7" s="378">
        <f t="shared" si="1"/>
        <v>52.805818018448058</v>
      </c>
      <c r="J7" s="378">
        <f t="shared" si="1"/>
        <v>52.749843758877333</v>
      </c>
      <c r="K7" s="378">
        <f t="shared" si="1"/>
        <v>52.686590167150037</v>
      </c>
      <c r="L7" s="379">
        <f t="shared" si="1"/>
        <v>52.51855974998827</v>
      </c>
    </row>
    <row r="8" spans="1:15" x14ac:dyDescent="0.25">
      <c r="A8" s="1783"/>
      <c r="B8" s="1759" t="s">
        <v>569</v>
      </c>
      <c r="C8" s="1300" t="s">
        <v>257</v>
      </c>
      <c r="D8" s="168" t="s">
        <v>272</v>
      </c>
      <c r="E8" s="81">
        <v>63465</v>
      </c>
      <c r="F8" s="81">
        <v>68362</v>
      </c>
      <c r="G8" s="81">
        <v>62464</v>
      </c>
      <c r="H8" s="81">
        <v>67346</v>
      </c>
      <c r="I8" s="81">
        <v>67230</v>
      </c>
      <c r="J8" s="81">
        <v>66532</v>
      </c>
      <c r="K8" s="81">
        <v>67538</v>
      </c>
      <c r="L8" s="82">
        <v>70801</v>
      </c>
    </row>
    <row r="9" spans="1:15" x14ac:dyDescent="0.25">
      <c r="A9" s="1783"/>
      <c r="B9" s="1760"/>
      <c r="C9" s="1301"/>
      <c r="D9" s="164" t="s">
        <v>275</v>
      </c>
      <c r="E9" s="80">
        <v>9794</v>
      </c>
      <c r="F9" s="80">
        <v>11603</v>
      </c>
      <c r="G9" s="80">
        <v>11165</v>
      </c>
      <c r="H9" s="80">
        <v>11085</v>
      </c>
      <c r="I9" s="80">
        <v>10788</v>
      </c>
      <c r="J9" s="80">
        <v>10497</v>
      </c>
      <c r="K9" s="80">
        <v>10362</v>
      </c>
      <c r="L9" s="83">
        <v>9677</v>
      </c>
    </row>
    <row r="10" spans="1:15" x14ac:dyDescent="0.25">
      <c r="A10" s="1783"/>
      <c r="B10" s="1760"/>
      <c r="C10" s="1301"/>
      <c r="D10" s="164" t="s">
        <v>282</v>
      </c>
      <c r="E10" s="80">
        <v>43648</v>
      </c>
      <c r="F10" s="80">
        <v>47183</v>
      </c>
      <c r="G10" s="80">
        <v>42017</v>
      </c>
      <c r="H10" s="80">
        <v>47009</v>
      </c>
      <c r="I10" s="80">
        <v>47399</v>
      </c>
      <c r="J10" s="80">
        <v>46939</v>
      </c>
      <c r="K10" s="80">
        <v>47924</v>
      </c>
      <c r="L10" s="83">
        <v>51589</v>
      </c>
    </row>
    <row r="11" spans="1:15" x14ac:dyDescent="0.25">
      <c r="A11" s="1783"/>
      <c r="B11" s="1760"/>
      <c r="C11" s="1301"/>
      <c r="D11" s="164" t="s">
        <v>288</v>
      </c>
      <c r="E11" s="80">
        <v>10023</v>
      </c>
      <c r="F11" s="80">
        <v>9576</v>
      </c>
      <c r="G11" s="80">
        <v>9282</v>
      </c>
      <c r="H11" s="80">
        <v>9252</v>
      </c>
      <c r="I11" s="80">
        <v>9043</v>
      </c>
      <c r="J11" s="80">
        <v>9096</v>
      </c>
      <c r="K11" s="80">
        <v>9252</v>
      </c>
      <c r="L11" s="83">
        <v>9535</v>
      </c>
    </row>
    <row r="12" spans="1:15" x14ac:dyDescent="0.25">
      <c r="A12" s="1783"/>
      <c r="B12" s="1760"/>
      <c r="C12" s="1301"/>
      <c r="D12" s="164" t="s">
        <v>295</v>
      </c>
      <c r="E12" s="80">
        <v>2041</v>
      </c>
      <c r="F12" s="80">
        <v>2686</v>
      </c>
      <c r="G12" s="80">
        <v>3270</v>
      </c>
      <c r="H12" s="80">
        <v>3155</v>
      </c>
      <c r="I12" s="80">
        <v>3011</v>
      </c>
      <c r="J12" s="80">
        <v>2877</v>
      </c>
      <c r="K12" s="80">
        <v>2789</v>
      </c>
      <c r="L12" s="83">
        <v>2827</v>
      </c>
    </row>
    <row r="13" spans="1:15" x14ac:dyDescent="0.25">
      <c r="A13" s="1783"/>
      <c r="B13" s="1760"/>
      <c r="C13" s="1538"/>
      <c r="D13" s="456" t="s">
        <v>296</v>
      </c>
      <c r="E13" s="372">
        <v>0</v>
      </c>
      <c r="F13" s="372">
        <v>0</v>
      </c>
      <c r="G13" s="372">
        <v>0</v>
      </c>
      <c r="H13" s="372">
        <v>0</v>
      </c>
      <c r="I13" s="372">
        <v>0</v>
      </c>
      <c r="J13" s="372">
        <v>0</v>
      </c>
      <c r="K13" s="372">
        <v>0</v>
      </c>
      <c r="L13" s="373">
        <v>0</v>
      </c>
    </row>
    <row r="14" spans="1:15" x14ac:dyDescent="0.25">
      <c r="A14" s="1783"/>
      <c r="B14" s="1760"/>
      <c r="C14" s="1300" t="s">
        <v>263</v>
      </c>
      <c r="D14" s="168" t="s">
        <v>272</v>
      </c>
      <c r="E14" s="81">
        <v>68629</v>
      </c>
      <c r="F14" s="81">
        <v>73393</v>
      </c>
      <c r="G14" s="81">
        <v>70280</v>
      </c>
      <c r="H14" s="81">
        <v>75548</v>
      </c>
      <c r="I14" s="81">
        <v>75224</v>
      </c>
      <c r="J14" s="81">
        <v>74276</v>
      </c>
      <c r="K14" s="81">
        <v>75208</v>
      </c>
      <c r="L14" s="82">
        <v>78312</v>
      </c>
    </row>
    <row r="15" spans="1:15" x14ac:dyDescent="0.25">
      <c r="A15" s="1783"/>
      <c r="B15" s="1760"/>
      <c r="C15" s="1301"/>
      <c r="D15" s="164" t="s">
        <v>275</v>
      </c>
      <c r="E15" s="80">
        <v>9286</v>
      </c>
      <c r="F15" s="80">
        <v>10852</v>
      </c>
      <c r="G15" s="80">
        <v>10560</v>
      </c>
      <c r="H15" s="80">
        <v>10656</v>
      </c>
      <c r="I15" s="80">
        <v>10400</v>
      </c>
      <c r="J15" s="80">
        <v>10083</v>
      </c>
      <c r="K15" s="80">
        <v>9921</v>
      </c>
      <c r="L15" s="83">
        <v>9283</v>
      </c>
    </row>
    <row r="16" spans="1:15" x14ac:dyDescent="0.25">
      <c r="A16" s="1783"/>
      <c r="B16" s="1760"/>
      <c r="C16" s="1301"/>
      <c r="D16" s="164" t="s">
        <v>282</v>
      </c>
      <c r="E16" s="80">
        <v>43964</v>
      </c>
      <c r="F16" s="80">
        <v>47268</v>
      </c>
      <c r="G16" s="80">
        <v>44738</v>
      </c>
      <c r="H16" s="80">
        <v>50291</v>
      </c>
      <c r="I16" s="80">
        <v>50403</v>
      </c>
      <c r="J16" s="80">
        <v>49786</v>
      </c>
      <c r="K16" s="80">
        <v>50923</v>
      </c>
      <c r="L16" s="83">
        <v>54379</v>
      </c>
    </row>
    <row r="17" spans="1:13" x14ac:dyDescent="0.25">
      <c r="A17" s="1783"/>
      <c r="B17" s="1760"/>
      <c r="C17" s="1301"/>
      <c r="D17" s="164" t="s">
        <v>288</v>
      </c>
      <c r="E17" s="80">
        <v>15379</v>
      </c>
      <c r="F17" s="80">
        <v>15272</v>
      </c>
      <c r="G17" s="80">
        <v>14982</v>
      </c>
      <c r="H17" s="80">
        <v>14601</v>
      </c>
      <c r="I17" s="80">
        <v>14421</v>
      </c>
      <c r="J17" s="80">
        <v>14407</v>
      </c>
      <c r="K17" s="80">
        <v>14364</v>
      </c>
      <c r="L17" s="83">
        <v>14650</v>
      </c>
    </row>
    <row r="18" spans="1:13" x14ac:dyDescent="0.25">
      <c r="A18" s="1783"/>
      <c r="B18" s="1760"/>
      <c r="C18" s="1301"/>
      <c r="D18" s="164" t="s">
        <v>295</v>
      </c>
      <c r="E18" s="80">
        <v>4127</v>
      </c>
      <c r="F18" s="80">
        <v>5196</v>
      </c>
      <c r="G18" s="80">
        <v>6261</v>
      </c>
      <c r="H18" s="80">
        <v>6197</v>
      </c>
      <c r="I18" s="80">
        <v>6079</v>
      </c>
      <c r="J18" s="80">
        <v>5901</v>
      </c>
      <c r="K18" s="80">
        <v>5698</v>
      </c>
      <c r="L18" s="83">
        <v>5681</v>
      </c>
    </row>
    <row r="19" spans="1:13" x14ac:dyDescent="0.25">
      <c r="A19" s="1783"/>
      <c r="B19" s="1760"/>
      <c r="C19" s="1538"/>
      <c r="D19" s="456" t="s">
        <v>296</v>
      </c>
      <c r="E19" s="372">
        <v>0</v>
      </c>
      <c r="F19" s="372">
        <v>1</v>
      </c>
      <c r="G19" s="372">
        <v>0</v>
      </c>
      <c r="H19" s="372">
        <v>0</v>
      </c>
      <c r="I19" s="372">
        <v>0</v>
      </c>
      <c r="J19" s="372">
        <v>0</v>
      </c>
      <c r="K19" s="372">
        <v>0</v>
      </c>
      <c r="L19" s="373">
        <v>0</v>
      </c>
    </row>
    <row r="20" spans="1:13" x14ac:dyDescent="0.25">
      <c r="A20" s="1783"/>
      <c r="B20" s="1760"/>
      <c r="C20" s="1306" t="s">
        <v>269</v>
      </c>
      <c r="D20" s="535" t="s">
        <v>272</v>
      </c>
      <c r="E20" s="375">
        <f>E14-E8</f>
        <v>5164</v>
      </c>
      <c r="F20" s="375">
        <f t="shared" ref="F20:J20" si="2">F14-F8</f>
        <v>5031</v>
      </c>
      <c r="G20" s="375">
        <f t="shared" si="2"/>
        <v>7816</v>
      </c>
      <c r="H20" s="375">
        <f t="shared" si="2"/>
        <v>8202</v>
      </c>
      <c r="I20" s="375">
        <f t="shared" si="2"/>
        <v>7994</v>
      </c>
      <c r="J20" s="375">
        <f t="shared" si="2"/>
        <v>7744</v>
      </c>
      <c r="K20" s="375">
        <f>K14-K8</f>
        <v>7670</v>
      </c>
      <c r="L20" s="376">
        <f>L14-L8</f>
        <v>7511</v>
      </c>
    </row>
    <row r="21" spans="1:13" x14ac:dyDescent="0.25">
      <c r="A21" s="1783"/>
      <c r="B21" s="1760"/>
      <c r="C21" s="1307"/>
      <c r="D21" s="527" t="s">
        <v>275</v>
      </c>
      <c r="E21" s="157">
        <f t="shared" ref="E21:L24" si="3">E15-E9</f>
        <v>-508</v>
      </c>
      <c r="F21" s="157">
        <f t="shared" si="3"/>
        <v>-751</v>
      </c>
      <c r="G21" s="157">
        <f t="shared" si="3"/>
        <v>-605</v>
      </c>
      <c r="H21" s="157">
        <f t="shared" si="3"/>
        <v>-429</v>
      </c>
      <c r="I21" s="157">
        <f t="shared" si="3"/>
        <v>-388</v>
      </c>
      <c r="J21" s="157">
        <f t="shared" si="3"/>
        <v>-414</v>
      </c>
      <c r="K21" s="157">
        <f t="shared" si="3"/>
        <v>-441</v>
      </c>
      <c r="L21" s="160">
        <f t="shared" si="3"/>
        <v>-394</v>
      </c>
    </row>
    <row r="22" spans="1:13" x14ac:dyDescent="0.25">
      <c r="A22" s="1783"/>
      <c r="B22" s="1760"/>
      <c r="C22" s="1307"/>
      <c r="D22" s="527" t="s">
        <v>282</v>
      </c>
      <c r="E22" s="363">
        <f t="shared" si="3"/>
        <v>316</v>
      </c>
      <c r="F22" s="363">
        <f t="shared" si="3"/>
        <v>85</v>
      </c>
      <c r="G22" s="363">
        <f t="shared" si="3"/>
        <v>2721</v>
      </c>
      <c r="H22" s="363">
        <f t="shared" si="3"/>
        <v>3282</v>
      </c>
      <c r="I22" s="363">
        <f t="shared" si="3"/>
        <v>3004</v>
      </c>
      <c r="J22" s="363">
        <f t="shared" si="3"/>
        <v>2847</v>
      </c>
      <c r="K22" s="363">
        <f t="shared" si="3"/>
        <v>2999</v>
      </c>
      <c r="L22" s="365">
        <f t="shared" si="3"/>
        <v>2790</v>
      </c>
    </row>
    <row r="23" spans="1:13" x14ac:dyDescent="0.25">
      <c r="A23" s="1783"/>
      <c r="B23" s="1760"/>
      <c r="C23" s="1307"/>
      <c r="D23" s="527" t="s">
        <v>288</v>
      </c>
      <c r="E23" s="363">
        <f t="shared" si="3"/>
        <v>5356</v>
      </c>
      <c r="F23" s="363">
        <f t="shared" si="3"/>
        <v>5696</v>
      </c>
      <c r="G23" s="363">
        <f t="shared" si="3"/>
        <v>5700</v>
      </c>
      <c r="H23" s="363">
        <f t="shared" si="3"/>
        <v>5349</v>
      </c>
      <c r="I23" s="363">
        <f t="shared" si="3"/>
        <v>5378</v>
      </c>
      <c r="J23" s="363">
        <f t="shared" si="3"/>
        <v>5311</v>
      </c>
      <c r="K23" s="363">
        <f t="shared" si="3"/>
        <v>5112</v>
      </c>
      <c r="L23" s="365">
        <f t="shared" si="3"/>
        <v>5115</v>
      </c>
    </row>
    <row r="24" spans="1:13" x14ac:dyDescent="0.25">
      <c r="A24" s="1783"/>
      <c r="B24" s="1760"/>
      <c r="C24" s="1308"/>
      <c r="D24" s="538" t="s">
        <v>295</v>
      </c>
      <c r="E24" s="382">
        <f t="shared" si="3"/>
        <v>2086</v>
      </c>
      <c r="F24" s="382">
        <f t="shared" si="3"/>
        <v>2510</v>
      </c>
      <c r="G24" s="382">
        <f t="shared" si="3"/>
        <v>2991</v>
      </c>
      <c r="H24" s="382">
        <f t="shared" si="3"/>
        <v>3042</v>
      </c>
      <c r="I24" s="382">
        <f t="shared" si="3"/>
        <v>3068</v>
      </c>
      <c r="J24" s="382">
        <f t="shared" si="3"/>
        <v>3024</v>
      </c>
      <c r="K24" s="382">
        <f t="shared" si="3"/>
        <v>2909</v>
      </c>
      <c r="L24" s="383">
        <f t="shared" si="3"/>
        <v>2854</v>
      </c>
    </row>
    <row r="25" spans="1:13" ht="15" customHeight="1" x14ac:dyDescent="0.25">
      <c r="A25" s="1783"/>
      <c r="B25" s="1760"/>
      <c r="C25" s="1228" t="s">
        <v>270</v>
      </c>
      <c r="D25" s="757" t="s">
        <v>272</v>
      </c>
      <c r="E25" s="758">
        <f>E14/E3*100</f>
        <v>51.95466864505579</v>
      </c>
      <c r="F25" s="758">
        <f t="shared" ref="F25:L25" si="4">F14/F3*100</f>
        <v>51.774540580579163</v>
      </c>
      <c r="G25" s="758">
        <f t="shared" si="4"/>
        <v>52.944012535406493</v>
      </c>
      <c r="H25" s="758">
        <f t="shared" si="4"/>
        <v>52.869959550435986</v>
      </c>
      <c r="I25" s="758">
        <f t="shared" si="4"/>
        <v>52.805818018448058</v>
      </c>
      <c r="J25" s="758">
        <f t="shared" si="4"/>
        <v>52.749843758877333</v>
      </c>
      <c r="K25" s="758">
        <f t="shared" si="4"/>
        <v>52.686590167150037</v>
      </c>
      <c r="L25" s="841">
        <f t="shared" si="4"/>
        <v>52.51855974998827</v>
      </c>
    </row>
    <row r="26" spans="1:13" x14ac:dyDescent="0.25">
      <c r="A26" s="1783"/>
      <c r="B26" s="1760"/>
      <c r="C26" s="1309"/>
      <c r="D26" s="527" t="s">
        <v>275</v>
      </c>
      <c r="E26" s="158">
        <f>(E15/(E15+E9))*100</f>
        <v>48.668763102725364</v>
      </c>
      <c r="F26" s="158">
        <f t="shared" ref="F26:L27" si="5">(F15/(F15+F9))*100</f>
        <v>48.327766644399908</v>
      </c>
      <c r="G26" s="158">
        <f t="shared" si="5"/>
        <v>48.607594936708857</v>
      </c>
      <c r="H26" s="158">
        <f t="shared" si="5"/>
        <v>49.013384848902994</v>
      </c>
      <c r="I26" s="158">
        <f t="shared" si="5"/>
        <v>49.084387389088164</v>
      </c>
      <c r="J26" s="158">
        <f t="shared" si="5"/>
        <v>48.994169096209909</v>
      </c>
      <c r="K26" s="158">
        <f t="shared" si="5"/>
        <v>48.912882709658334</v>
      </c>
      <c r="L26" s="330">
        <f t="shared" si="5"/>
        <v>48.960970464135023</v>
      </c>
    </row>
    <row r="27" spans="1:13" x14ac:dyDescent="0.25">
      <c r="A27" s="1783"/>
      <c r="B27" s="1760"/>
      <c r="C27" s="1309"/>
      <c r="D27" s="527" t="s">
        <v>282</v>
      </c>
      <c r="E27" s="364">
        <f>(E16/(E16+E10))*100</f>
        <v>50.180340592612879</v>
      </c>
      <c r="F27" s="364">
        <f t="shared" si="5"/>
        <v>50.044996876687385</v>
      </c>
      <c r="G27" s="364">
        <f t="shared" si="5"/>
        <v>51.568209325110949</v>
      </c>
      <c r="H27" s="364">
        <f t="shared" si="5"/>
        <v>51.686536485097633</v>
      </c>
      <c r="I27" s="364">
        <f t="shared" si="5"/>
        <v>51.535755915011961</v>
      </c>
      <c r="J27" s="364">
        <f t="shared" si="5"/>
        <v>51.471698113207545</v>
      </c>
      <c r="K27" s="364">
        <f t="shared" si="5"/>
        <v>51.516990905136218</v>
      </c>
      <c r="L27" s="386">
        <f t="shared" si="5"/>
        <v>51.316435150234028</v>
      </c>
    </row>
    <row r="28" spans="1:13" x14ac:dyDescent="0.25">
      <c r="A28" s="1783"/>
      <c r="B28" s="1760"/>
      <c r="C28" s="1309"/>
      <c r="D28" s="527" t="s">
        <v>288</v>
      </c>
      <c r="E28" s="364">
        <f t="shared" ref="E28:L29" si="6">(E17/(E17+E11))*100</f>
        <v>60.542476970317296</v>
      </c>
      <c r="F28" s="364">
        <f t="shared" si="6"/>
        <v>61.461687057308431</v>
      </c>
      <c r="G28" s="364">
        <f t="shared" si="6"/>
        <v>61.745796241345211</v>
      </c>
      <c r="H28" s="364">
        <f t="shared" si="6"/>
        <v>61.212426109923278</v>
      </c>
      <c r="I28" s="364">
        <f t="shared" si="6"/>
        <v>61.46010910330719</v>
      </c>
      <c r="J28" s="364">
        <f t="shared" si="6"/>
        <v>61.298557630940728</v>
      </c>
      <c r="K28" s="364">
        <f t="shared" si="6"/>
        <v>60.823170731707322</v>
      </c>
      <c r="L28" s="386">
        <f t="shared" si="6"/>
        <v>60.574736406863764</v>
      </c>
    </row>
    <row r="29" spans="1:13" x14ac:dyDescent="0.25">
      <c r="A29" s="1783"/>
      <c r="B29" s="1764"/>
      <c r="C29" s="1310"/>
      <c r="D29" s="545" t="s">
        <v>295</v>
      </c>
      <c r="E29" s="378">
        <f t="shared" si="6"/>
        <v>66.909857328145264</v>
      </c>
      <c r="F29" s="378">
        <f t="shared" si="6"/>
        <v>65.922354732301443</v>
      </c>
      <c r="G29" s="378">
        <f t="shared" si="6"/>
        <v>65.690903367957191</v>
      </c>
      <c r="H29" s="378">
        <f t="shared" si="6"/>
        <v>66.263900769888792</v>
      </c>
      <c r="I29" s="378">
        <f t="shared" si="6"/>
        <v>66.875687568756888</v>
      </c>
      <c r="J29" s="378">
        <f t="shared" si="6"/>
        <v>67.224880382775126</v>
      </c>
      <c r="K29" s="378">
        <f t="shared" si="6"/>
        <v>67.137975727583367</v>
      </c>
      <c r="L29" s="379">
        <f t="shared" si="6"/>
        <v>66.772449459332393</v>
      </c>
    </row>
    <row r="30" spans="1:13" x14ac:dyDescent="0.25">
      <c r="A30" s="1783"/>
      <c r="B30" s="738" t="s">
        <v>249</v>
      </c>
      <c r="C30" s="1422"/>
      <c r="D30" s="1422"/>
      <c r="E30" s="616">
        <v>2005</v>
      </c>
      <c r="F30" s="616">
        <v>2010</v>
      </c>
      <c r="G30" s="616">
        <v>2015</v>
      </c>
      <c r="H30" s="616">
        <v>2020</v>
      </c>
      <c r="I30" s="616">
        <v>2021</v>
      </c>
      <c r="J30" s="616">
        <v>2022</v>
      </c>
      <c r="K30" s="616">
        <v>2023</v>
      </c>
      <c r="L30" s="616">
        <v>2024</v>
      </c>
      <c r="M30" s="482"/>
    </row>
    <row r="31" spans="1:13" ht="15.75" customHeight="1" x14ac:dyDescent="0.25">
      <c r="A31" s="1783"/>
      <c r="B31" s="1712" t="s">
        <v>570</v>
      </c>
      <c r="C31" s="1211" t="s">
        <v>272</v>
      </c>
      <c r="D31" s="1541"/>
      <c r="E31" s="81">
        <v>24148</v>
      </c>
      <c r="F31" s="81">
        <v>34769</v>
      </c>
      <c r="G31" s="81">
        <v>23643</v>
      </c>
      <c r="H31" s="81">
        <v>34104</v>
      </c>
      <c r="I31" s="81">
        <v>35010</v>
      </c>
      <c r="J31" s="81">
        <v>33693</v>
      </c>
      <c r="K31" s="81">
        <v>36278</v>
      </c>
      <c r="L31" s="82">
        <f>L32+L33</f>
        <v>41689</v>
      </c>
    </row>
    <row r="32" spans="1:13" x14ac:dyDescent="0.25">
      <c r="A32" s="1783"/>
      <c r="B32" s="1713"/>
      <c r="C32" s="1124" t="s">
        <v>257</v>
      </c>
      <c r="D32" s="1124"/>
      <c r="E32" s="80">
        <v>12357</v>
      </c>
      <c r="F32" s="80">
        <v>18062</v>
      </c>
      <c r="G32" s="80">
        <v>11602</v>
      </c>
      <c r="H32" s="80">
        <v>16621</v>
      </c>
      <c r="I32" s="80">
        <v>17156</v>
      </c>
      <c r="J32" s="80">
        <v>16653</v>
      </c>
      <c r="K32" s="80">
        <v>17869</v>
      </c>
      <c r="L32" s="83">
        <v>20614</v>
      </c>
    </row>
    <row r="33" spans="1:12" x14ac:dyDescent="0.25">
      <c r="A33" s="1783"/>
      <c r="B33" s="1713"/>
      <c r="C33" s="1124" t="s">
        <v>263</v>
      </c>
      <c r="D33" s="1124"/>
      <c r="E33" s="80">
        <v>11791</v>
      </c>
      <c r="F33" s="80">
        <v>16707</v>
      </c>
      <c r="G33" s="80">
        <v>12041</v>
      </c>
      <c r="H33" s="80">
        <v>17483</v>
      </c>
      <c r="I33" s="80">
        <v>17854</v>
      </c>
      <c r="J33" s="80">
        <v>17040</v>
      </c>
      <c r="K33" s="80">
        <v>18409</v>
      </c>
      <c r="L33" s="83">
        <v>21075</v>
      </c>
    </row>
    <row r="34" spans="1:12" x14ac:dyDescent="0.25">
      <c r="A34" s="1783"/>
      <c r="B34" s="1713"/>
      <c r="C34" s="1112" t="s">
        <v>269</v>
      </c>
      <c r="D34" s="1112"/>
      <c r="E34" s="157">
        <f>+E33-E32</f>
        <v>-566</v>
      </c>
      <c r="F34" s="157">
        <f t="shared" ref="F34:L34" si="7">+F33-F32</f>
        <v>-1355</v>
      </c>
      <c r="G34" s="363">
        <f t="shared" si="7"/>
        <v>439</v>
      </c>
      <c r="H34" s="363">
        <f t="shared" si="7"/>
        <v>862</v>
      </c>
      <c r="I34" s="363">
        <f t="shared" si="7"/>
        <v>698</v>
      </c>
      <c r="J34" s="363">
        <f t="shared" si="7"/>
        <v>387</v>
      </c>
      <c r="K34" s="363">
        <f t="shared" si="7"/>
        <v>540</v>
      </c>
      <c r="L34" s="365">
        <f t="shared" si="7"/>
        <v>461</v>
      </c>
    </row>
    <row r="35" spans="1:12" x14ac:dyDescent="0.25">
      <c r="A35" s="1783"/>
      <c r="B35" s="1715"/>
      <c r="C35" s="1178" t="s">
        <v>270</v>
      </c>
      <c r="D35" s="1178"/>
      <c r="E35" s="165">
        <f>E33/E31*100</f>
        <v>48.828060294848434</v>
      </c>
      <c r="F35" s="165">
        <f t="shared" ref="F35:L35" si="8">F33/F31*100</f>
        <v>48.051425120078228</v>
      </c>
      <c r="G35" s="378">
        <f t="shared" si="8"/>
        <v>50.928393181914309</v>
      </c>
      <c r="H35" s="378">
        <f t="shared" si="8"/>
        <v>51.263781374618809</v>
      </c>
      <c r="I35" s="378">
        <f t="shared" si="8"/>
        <v>50.996858040559843</v>
      </c>
      <c r="J35" s="378">
        <f t="shared" si="8"/>
        <v>50.574303267741072</v>
      </c>
      <c r="K35" s="378">
        <f t="shared" si="8"/>
        <v>50.744252715144164</v>
      </c>
      <c r="L35" s="379">
        <f t="shared" si="8"/>
        <v>50.552903643647007</v>
      </c>
    </row>
    <row r="36" spans="1:12" ht="15" customHeight="1" x14ac:dyDescent="0.25">
      <c r="A36" s="1817"/>
      <c r="B36" s="1672" t="s">
        <v>342</v>
      </c>
      <c r="C36" s="1147" t="s">
        <v>343</v>
      </c>
      <c r="D36" s="1147"/>
      <c r="E36" s="195">
        <f>E37+E38</f>
        <v>5324</v>
      </c>
      <c r="F36" s="195">
        <f t="shared" ref="F36:L36" si="9">F37+F38</f>
        <v>5903</v>
      </c>
      <c r="G36" s="195">
        <f t="shared" si="9"/>
        <v>6147</v>
      </c>
      <c r="H36" s="195">
        <f t="shared" si="9"/>
        <v>6017</v>
      </c>
      <c r="I36" s="195">
        <f t="shared" si="9"/>
        <v>6057</v>
      </c>
      <c r="J36" s="195">
        <f t="shared" si="9"/>
        <v>6086</v>
      </c>
      <c r="K36" s="195">
        <f t="shared" si="9"/>
        <v>6118</v>
      </c>
      <c r="L36" s="196">
        <f t="shared" si="9"/>
        <v>6294</v>
      </c>
    </row>
    <row r="37" spans="1:12" x14ac:dyDescent="0.25">
      <c r="A37" s="1817"/>
      <c r="B37" s="1673"/>
      <c r="C37" s="1124" t="s">
        <v>344</v>
      </c>
      <c r="D37" s="1124"/>
      <c r="E37" s="181">
        <v>965</v>
      </c>
      <c r="F37" s="80">
        <v>1096</v>
      </c>
      <c r="G37" s="80">
        <v>1218</v>
      </c>
      <c r="H37" s="80">
        <v>1331</v>
      </c>
      <c r="I37" s="80">
        <v>1336</v>
      </c>
      <c r="J37" s="80">
        <v>1377</v>
      </c>
      <c r="K37" s="80">
        <v>1417</v>
      </c>
      <c r="L37" s="83">
        <v>1492</v>
      </c>
    </row>
    <row r="38" spans="1:12" x14ac:dyDescent="0.25">
      <c r="A38" s="1817"/>
      <c r="B38" s="1673"/>
      <c r="C38" s="1124" t="s">
        <v>345</v>
      </c>
      <c r="D38" s="1124"/>
      <c r="E38" s="80">
        <v>4359</v>
      </c>
      <c r="F38" s="80">
        <v>4807</v>
      </c>
      <c r="G38" s="80">
        <v>4929</v>
      </c>
      <c r="H38" s="80">
        <v>4686</v>
      </c>
      <c r="I38" s="80">
        <v>4721</v>
      </c>
      <c r="J38" s="80">
        <v>4709</v>
      </c>
      <c r="K38" s="80">
        <v>4701</v>
      </c>
      <c r="L38" s="83">
        <v>4802</v>
      </c>
    </row>
    <row r="39" spans="1:12" x14ac:dyDescent="0.25">
      <c r="A39" s="1817"/>
      <c r="B39" s="1673"/>
      <c r="C39" s="1112" t="s">
        <v>269</v>
      </c>
      <c r="D39" s="1112"/>
      <c r="E39" s="157">
        <f>E38-E37</f>
        <v>3394</v>
      </c>
      <c r="F39" s="157">
        <f t="shared" ref="F39:L39" si="10">F38-F37</f>
        <v>3711</v>
      </c>
      <c r="G39" s="157">
        <f t="shared" si="10"/>
        <v>3711</v>
      </c>
      <c r="H39" s="157">
        <f t="shared" si="10"/>
        <v>3355</v>
      </c>
      <c r="I39" s="157">
        <f t="shared" si="10"/>
        <v>3385</v>
      </c>
      <c r="J39" s="157">
        <f t="shared" si="10"/>
        <v>3332</v>
      </c>
      <c r="K39" s="157">
        <f t="shared" si="10"/>
        <v>3284</v>
      </c>
      <c r="L39" s="160">
        <f t="shared" si="10"/>
        <v>3310</v>
      </c>
    </row>
    <row r="40" spans="1:12" x14ac:dyDescent="0.25">
      <c r="A40" s="1817"/>
      <c r="B40" s="1781"/>
      <c r="C40" s="1178" t="s">
        <v>346</v>
      </c>
      <c r="D40" s="1178"/>
      <c r="E40" s="165">
        <f t="shared" ref="E40:L40" si="11">E38/E36*100</f>
        <v>81.874530428249443</v>
      </c>
      <c r="F40" s="165">
        <f t="shared" si="11"/>
        <v>81.433169574792473</v>
      </c>
      <c r="G40" s="165">
        <f t="shared" si="11"/>
        <v>80.185456320156177</v>
      </c>
      <c r="H40" s="165">
        <f t="shared" si="11"/>
        <v>77.879341864716636</v>
      </c>
      <c r="I40" s="165">
        <f t="shared" si="11"/>
        <v>77.942876011226687</v>
      </c>
      <c r="J40" s="165">
        <f t="shared" si="11"/>
        <v>77.374301675977648</v>
      </c>
      <c r="K40" s="165">
        <f t="shared" si="11"/>
        <v>76.838836220987247</v>
      </c>
      <c r="L40" s="166">
        <f t="shared" si="11"/>
        <v>76.294884016523682</v>
      </c>
    </row>
    <row r="41" spans="1:12" ht="15" customHeight="1" x14ac:dyDescent="0.25">
      <c r="A41" s="1817"/>
      <c r="B41" s="1672" t="s">
        <v>134</v>
      </c>
      <c r="C41" s="1206" t="s">
        <v>348</v>
      </c>
      <c r="D41" s="1206"/>
      <c r="E41" s="195">
        <f>E42+E43</f>
        <v>854</v>
      </c>
      <c r="F41" s="195">
        <f t="shared" ref="F41:L41" si="12">F42+F43</f>
        <v>1103</v>
      </c>
      <c r="G41" s="195">
        <f t="shared" si="12"/>
        <v>1333</v>
      </c>
      <c r="H41" s="195">
        <f t="shared" si="12"/>
        <v>1263</v>
      </c>
      <c r="I41" s="195">
        <f t="shared" si="12"/>
        <v>1257</v>
      </c>
      <c r="J41" s="195">
        <f t="shared" si="12"/>
        <v>1282</v>
      </c>
      <c r="K41" s="195">
        <f t="shared" si="12"/>
        <v>1319</v>
      </c>
      <c r="L41" s="196">
        <f t="shared" si="12"/>
        <v>1300</v>
      </c>
    </row>
    <row r="42" spans="1:12" x14ac:dyDescent="0.25">
      <c r="A42" s="1817"/>
      <c r="B42" s="1673"/>
      <c r="C42" s="1124" t="s">
        <v>349</v>
      </c>
      <c r="D42" s="1124"/>
      <c r="E42" s="181">
        <v>125</v>
      </c>
      <c r="F42" s="181">
        <v>175</v>
      </c>
      <c r="G42" s="181">
        <v>180</v>
      </c>
      <c r="H42" s="181">
        <v>167</v>
      </c>
      <c r="I42" s="181">
        <v>148</v>
      </c>
      <c r="J42" s="181">
        <v>155</v>
      </c>
      <c r="K42" s="181">
        <v>155</v>
      </c>
      <c r="L42" s="199">
        <v>152</v>
      </c>
    </row>
    <row r="43" spans="1:12" x14ac:dyDescent="0.25">
      <c r="A43" s="1817"/>
      <c r="B43" s="1673"/>
      <c r="C43" s="1124" t="s">
        <v>350</v>
      </c>
      <c r="D43" s="1124"/>
      <c r="E43" s="181">
        <v>729</v>
      </c>
      <c r="F43" s="181">
        <v>928</v>
      </c>
      <c r="G43" s="80">
        <v>1153</v>
      </c>
      <c r="H43" s="80">
        <v>1096</v>
      </c>
      <c r="I43" s="80">
        <v>1109</v>
      </c>
      <c r="J43" s="80">
        <v>1127</v>
      </c>
      <c r="K43" s="80">
        <v>1164</v>
      </c>
      <c r="L43" s="199">
        <v>1148</v>
      </c>
    </row>
    <row r="44" spans="1:12" x14ac:dyDescent="0.25">
      <c r="A44" s="1817"/>
      <c r="B44" s="1673"/>
      <c r="C44" s="1112" t="s">
        <v>269</v>
      </c>
      <c r="D44" s="1112"/>
      <c r="E44" s="157">
        <f>E43-E42</f>
        <v>604</v>
      </c>
      <c r="F44" s="157">
        <f t="shared" ref="F44:L44" si="13">F43-F42</f>
        <v>753</v>
      </c>
      <c r="G44" s="157">
        <f t="shared" si="13"/>
        <v>973</v>
      </c>
      <c r="H44" s="157">
        <f t="shared" si="13"/>
        <v>929</v>
      </c>
      <c r="I44" s="157">
        <f t="shared" si="13"/>
        <v>961</v>
      </c>
      <c r="J44" s="157">
        <f t="shared" si="13"/>
        <v>972</v>
      </c>
      <c r="K44" s="157">
        <f t="shared" si="13"/>
        <v>1009</v>
      </c>
      <c r="L44" s="160">
        <f t="shared" si="13"/>
        <v>996</v>
      </c>
    </row>
    <row r="45" spans="1:12" x14ac:dyDescent="0.25">
      <c r="A45" s="1818"/>
      <c r="B45" s="1781"/>
      <c r="C45" s="1178" t="s">
        <v>351</v>
      </c>
      <c r="D45" s="1178"/>
      <c r="E45" s="165">
        <f t="shared" ref="E45:L45" si="14">E43/E41*100</f>
        <v>85.362997658079621</v>
      </c>
      <c r="F45" s="165">
        <f t="shared" si="14"/>
        <v>84.134179510426108</v>
      </c>
      <c r="G45" s="165">
        <f t="shared" si="14"/>
        <v>86.496624156039019</v>
      </c>
      <c r="H45" s="165">
        <f t="shared" si="14"/>
        <v>86.777513855898661</v>
      </c>
      <c r="I45" s="165">
        <f t="shared" si="14"/>
        <v>88.225934765314236</v>
      </c>
      <c r="J45" s="165">
        <f t="shared" si="14"/>
        <v>87.909516380655234</v>
      </c>
      <c r="K45" s="165">
        <f t="shared" si="14"/>
        <v>88.248673237300991</v>
      </c>
      <c r="L45" s="166">
        <f t="shared" si="14"/>
        <v>88.307692307692307</v>
      </c>
    </row>
    <row r="46" spans="1:12" x14ac:dyDescent="0.25">
      <c r="A46" s="338" t="s">
        <v>248</v>
      </c>
      <c r="B46" s="463" t="s">
        <v>249</v>
      </c>
      <c r="C46" s="1422"/>
      <c r="D46" s="1422"/>
      <c r="E46" s="616">
        <v>2005</v>
      </c>
      <c r="F46" s="616">
        <v>2010</v>
      </c>
      <c r="G46" s="616">
        <v>2015</v>
      </c>
      <c r="H46" s="616">
        <v>2020</v>
      </c>
      <c r="I46" s="616">
        <v>2021</v>
      </c>
      <c r="J46" s="616">
        <v>2022</v>
      </c>
      <c r="K46" s="616">
        <v>2023</v>
      </c>
      <c r="L46" s="616">
        <v>2024</v>
      </c>
    </row>
    <row r="47" spans="1:12" x14ac:dyDescent="0.25">
      <c r="A47" s="1814" t="s">
        <v>38</v>
      </c>
      <c r="B47" s="1683" t="s">
        <v>352</v>
      </c>
      <c r="C47" s="1147" t="s">
        <v>251</v>
      </c>
      <c r="D47" s="1147"/>
      <c r="E47" s="195">
        <v>5550</v>
      </c>
      <c r="F47" s="195">
        <v>11982</v>
      </c>
      <c r="G47" s="195">
        <v>11823</v>
      </c>
      <c r="H47" s="195">
        <v>11687</v>
      </c>
      <c r="I47" s="195">
        <v>11885</v>
      </c>
      <c r="J47" s="195">
        <v>8372</v>
      </c>
      <c r="K47" s="195">
        <v>8396</v>
      </c>
      <c r="L47" s="82">
        <v>7925</v>
      </c>
    </row>
    <row r="48" spans="1:12" x14ac:dyDescent="0.25">
      <c r="A48" s="1815"/>
      <c r="B48" s="1684"/>
      <c r="C48" s="1124" t="s">
        <v>257</v>
      </c>
      <c r="D48" s="1124"/>
      <c r="E48" s="96">
        <v>2207</v>
      </c>
      <c r="F48" s="96">
        <v>6255</v>
      </c>
      <c r="G48" s="96">
        <v>5672</v>
      </c>
      <c r="H48" s="96">
        <v>5201</v>
      </c>
      <c r="I48" s="96">
        <v>5155</v>
      </c>
      <c r="J48" s="96">
        <v>3589</v>
      </c>
      <c r="K48" s="96">
        <v>3579</v>
      </c>
      <c r="L48" s="83">
        <v>3313</v>
      </c>
    </row>
    <row r="49" spans="1:12" x14ac:dyDescent="0.25">
      <c r="A49" s="1815"/>
      <c r="B49" s="1684"/>
      <c r="C49" s="1124" t="s">
        <v>263</v>
      </c>
      <c r="D49" s="1124"/>
      <c r="E49" s="96">
        <v>3343</v>
      </c>
      <c r="F49" s="96">
        <v>5727</v>
      </c>
      <c r="G49" s="96">
        <v>6151</v>
      </c>
      <c r="H49" s="96">
        <v>6486</v>
      </c>
      <c r="I49" s="96">
        <v>6730</v>
      </c>
      <c r="J49" s="96">
        <v>4783</v>
      </c>
      <c r="K49" s="96">
        <v>4817</v>
      </c>
      <c r="L49" s="83">
        <v>4612</v>
      </c>
    </row>
    <row r="50" spans="1:12" x14ac:dyDescent="0.25">
      <c r="A50" s="1815"/>
      <c r="B50" s="1684"/>
      <c r="C50" s="1112" t="s">
        <v>353</v>
      </c>
      <c r="D50" s="1112"/>
      <c r="E50" s="157">
        <f t="shared" ref="E50:L50" si="15">+E49-E48</f>
        <v>1136</v>
      </c>
      <c r="F50" s="363">
        <f t="shared" si="15"/>
        <v>-528</v>
      </c>
      <c r="G50" s="157">
        <f t="shared" si="15"/>
        <v>479</v>
      </c>
      <c r="H50" s="157">
        <f t="shared" si="15"/>
        <v>1285</v>
      </c>
      <c r="I50" s="157">
        <f t="shared" si="15"/>
        <v>1575</v>
      </c>
      <c r="J50" s="157">
        <f t="shared" si="15"/>
        <v>1194</v>
      </c>
      <c r="K50" s="157">
        <f t="shared" si="15"/>
        <v>1238</v>
      </c>
      <c r="L50" s="160">
        <f t="shared" si="15"/>
        <v>1299</v>
      </c>
    </row>
    <row r="51" spans="1:12" x14ac:dyDescent="0.25">
      <c r="A51" s="1815"/>
      <c r="B51" s="1685"/>
      <c r="C51" s="1178" t="s">
        <v>270</v>
      </c>
      <c r="D51" s="1178"/>
      <c r="E51" s="165">
        <f>E49/E47*100</f>
        <v>60.234234234234229</v>
      </c>
      <c r="F51" s="378">
        <f t="shared" ref="F51:L51" si="16">F49/F47*100</f>
        <v>47.796695042563847</v>
      </c>
      <c r="G51" s="165">
        <f t="shared" si="16"/>
        <v>52.025712594096248</v>
      </c>
      <c r="H51" s="165">
        <f t="shared" si="16"/>
        <v>55.497561393000773</v>
      </c>
      <c r="I51" s="165">
        <f t="shared" si="16"/>
        <v>56.625999158603278</v>
      </c>
      <c r="J51" s="165">
        <f t="shared" si="16"/>
        <v>57.130912565695169</v>
      </c>
      <c r="K51" s="165">
        <f t="shared" si="16"/>
        <v>57.372558361124348</v>
      </c>
      <c r="L51" s="166">
        <f t="shared" si="16"/>
        <v>58.195583596214504</v>
      </c>
    </row>
    <row r="52" spans="1:12" x14ac:dyDescent="0.25">
      <c r="A52" s="1815"/>
      <c r="B52" s="1683" t="s">
        <v>146</v>
      </c>
      <c r="C52" s="1147" t="s">
        <v>251</v>
      </c>
      <c r="D52" s="1147"/>
      <c r="E52" s="40"/>
      <c r="F52" s="40"/>
      <c r="G52" s="40"/>
      <c r="H52" s="40">
        <v>12.53</v>
      </c>
      <c r="I52" s="40">
        <v>10.28</v>
      </c>
      <c r="J52" s="40">
        <v>8.19</v>
      </c>
      <c r="K52" s="40">
        <v>7.67</v>
      </c>
      <c r="L52" s="20">
        <v>7.28</v>
      </c>
    </row>
    <row r="53" spans="1:12" x14ac:dyDescent="0.25">
      <c r="A53" s="1815"/>
      <c r="B53" s="1684"/>
      <c r="C53" s="1124" t="s">
        <v>257</v>
      </c>
      <c r="D53" s="1124"/>
      <c r="E53" s="28"/>
      <c r="F53" s="28"/>
      <c r="G53" s="28"/>
      <c r="H53" s="28">
        <v>11.38</v>
      </c>
      <c r="I53" s="28">
        <v>9.26</v>
      </c>
      <c r="J53" s="28">
        <v>7.37</v>
      </c>
      <c r="K53" s="28">
        <v>6.75</v>
      </c>
      <c r="L53" s="21">
        <v>6.46</v>
      </c>
    </row>
    <row r="54" spans="1:12" x14ac:dyDescent="0.25">
      <c r="A54" s="1815"/>
      <c r="B54" s="1684"/>
      <c r="C54" s="1223" t="s">
        <v>263</v>
      </c>
      <c r="D54" s="1223"/>
      <c r="E54" s="28"/>
      <c r="F54" s="28"/>
      <c r="G54" s="28"/>
      <c r="H54" s="28">
        <v>13.61</v>
      </c>
      <c r="I54" s="28">
        <v>11.25</v>
      </c>
      <c r="J54" s="28">
        <v>8.9700000000000006</v>
      </c>
      <c r="K54" s="28">
        <v>8.5399999999999991</v>
      </c>
      <c r="L54" s="21">
        <v>8.06</v>
      </c>
    </row>
    <row r="55" spans="1:12" x14ac:dyDescent="0.25">
      <c r="A55" s="1815"/>
      <c r="B55" s="1685"/>
      <c r="C55" s="1142" t="s">
        <v>354</v>
      </c>
      <c r="D55" s="1142"/>
      <c r="E55" s="336"/>
      <c r="F55" s="336"/>
      <c r="G55" s="336"/>
      <c r="H55" s="423">
        <f>+H54-H53</f>
        <v>2.2299999999999986</v>
      </c>
      <c r="I55" s="423">
        <f>+I54-I53</f>
        <v>1.9900000000000002</v>
      </c>
      <c r="J55" s="423">
        <f>+J54-J53</f>
        <v>1.6000000000000005</v>
      </c>
      <c r="K55" s="423">
        <f>+K54-K53</f>
        <v>1.7899999999999991</v>
      </c>
      <c r="L55" s="212">
        <f>+L54-L53</f>
        <v>1.6000000000000005</v>
      </c>
    </row>
    <row r="56" spans="1:12" x14ac:dyDescent="0.25">
      <c r="A56" s="1815"/>
      <c r="B56" s="1683" t="s">
        <v>151</v>
      </c>
      <c r="C56" s="1317" t="s">
        <v>251</v>
      </c>
      <c r="D56" s="1317"/>
      <c r="E56" s="40"/>
      <c r="F56" s="40"/>
      <c r="G56" s="40"/>
      <c r="H56" s="195">
        <v>766</v>
      </c>
      <c r="I56" s="195">
        <v>817</v>
      </c>
      <c r="J56" s="195">
        <v>1464</v>
      </c>
      <c r="K56" s="195">
        <v>753</v>
      </c>
      <c r="L56" s="20"/>
    </row>
    <row r="57" spans="1:12" x14ac:dyDescent="0.25">
      <c r="A57" s="1815"/>
      <c r="B57" s="1684"/>
      <c r="C57" s="1230" t="s">
        <v>257</v>
      </c>
      <c r="D57" s="1230"/>
      <c r="E57" s="28"/>
      <c r="F57" s="28"/>
      <c r="G57" s="28"/>
      <c r="H57" s="96">
        <v>259</v>
      </c>
      <c r="I57" s="96">
        <v>291</v>
      </c>
      <c r="J57" s="96">
        <v>427</v>
      </c>
      <c r="K57" s="96">
        <v>283</v>
      </c>
      <c r="L57" s="21"/>
    </row>
    <row r="58" spans="1:12" x14ac:dyDescent="0.25">
      <c r="A58" s="1815"/>
      <c r="B58" s="1684"/>
      <c r="C58" s="1124" t="s">
        <v>263</v>
      </c>
      <c r="D58" s="1124"/>
      <c r="E58" s="28"/>
      <c r="F58" s="28"/>
      <c r="G58" s="28"/>
      <c r="H58" s="96">
        <v>507</v>
      </c>
      <c r="I58" s="96">
        <v>526</v>
      </c>
      <c r="J58" s="96">
        <v>1037</v>
      </c>
      <c r="K58" s="96">
        <v>470</v>
      </c>
      <c r="L58" s="21"/>
    </row>
    <row r="59" spans="1:12" x14ac:dyDescent="0.25">
      <c r="A59" s="1815"/>
      <c r="B59" s="1684"/>
      <c r="C59" s="1112" t="s">
        <v>353</v>
      </c>
      <c r="D59" s="1112"/>
      <c r="E59" s="44"/>
      <c r="F59" s="44"/>
      <c r="G59" s="44"/>
      <c r="H59" s="44">
        <f>+H58-H57</f>
        <v>248</v>
      </c>
      <c r="I59" s="44">
        <f>+I58-I57</f>
        <v>235</v>
      </c>
      <c r="J59" s="44">
        <f>+J58-J57</f>
        <v>610</v>
      </c>
      <c r="K59" s="44">
        <f>+K58-K57</f>
        <v>187</v>
      </c>
      <c r="L59" s="21"/>
    </row>
    <row r="60" spans="1:12" x14ac:dyDescent="0.25">
      <c r="A60" s="1815"/>
      <c r="B60" s="1754"/>
      <c r="C60" s="1126" t="s">
        <v>270</v>
      </c>
      <c r="D60" s="1126"/>
      <c r="E60" s="203"/>
      <c r="F60" s="203"/>
      <c r="G60" s="203"/>
      <c r="H60" s="161">
        <f>H58/H56*100</f>
        <v>66.187989556135776</v>
      </c>
      <c r="I60" s="161">
        <f>I58/I56*100</f>
        <v>64.381884944920444</v>
      </c>
      <c r="J60" s="161">
        <f>J58/J56*100</f>
        <v>70.833333333333343</v>
      </c>
      <c r="K60" s="161">
        <f>K58/K56*100</f>
        <v>62.416998671978753</v>
      </c>
      <c r="L60" s="22"/>
    </row>
    <row r="61" spans="1:12" x14ac:dyDescent="0.25">
      <c r="A61" s="1779"/>
      <c r="B61" s="823" t="s">
        <v>249</v>
      </c>
      <c r="C61" s="1675"/>
      <c r="D61" s="1675"/>
      <c r="E61" s="112"/>
      <c r="F61" s="112">
        <v>2011</v>
      </c>
      <c r="G61" s="112"/>
      <c r="H61" s="112"/>
      <c r="I61" s="112">
        <v>2021</v>
      </c>
      <c r="J61" s="112"/>
      <c r="K61" s="112"/>
      <c r="L61" s="616">
        <v>2024</v>
      </c>
    </row>
    <row r="62" spans="1:12" x14ac:dyDescent="0.25">
      <c r="A62" s="1815"/>
      <c r="B62" s="1683" t="s">
        <v>156</v>
      </c>
      <c r="C62" s="1689" t="s">
        <v>355</v>
      </c>
      <c r="D62" s="248" t="s">
        <v>251</v>
      </c>
      <c r="E62" s="612"/>
      <c r="F62" s="81">
        <v>53755</v>
      </c>
      <c r="G62" s="103"/>
      <c r="H62" s="103"/>
      <c r="I62" s="81">
        <v>55365</v>
      </c>
      <c r="J62" s="40"/>
      <c r="K62" s="40"/>
      <c r="L62" s="325"/>
    </row>
    <row r="63" spans="1:12" ht="15" customHeight="1" x14ac:dyDescent="0.25">
      <c r="A63" s="1815"/>
      <c r="B63" s="1684"/>
      <c r="C63" s="1676"/>
      <c r="D63" s="28" t="s">
        <v>257</v>
      </c>
      <c r="E63" s="94"/>
      <c r="F63" s="80">
        <v>27420</v>
      </c>
      <c r="G63" s="95"/>
      <c r="H63" s="95"/>
      <c r="I63" s="80">
        <v>27999</v>
      </c>
      <c r="J63" s="28"/>
      <c r="K63" s="28"/>
      <c r="L63" s="21"/>
    </row>
    <row r="64" spans="1:12" x14ac:dyDescent="0.25">
      <c r="A64" s="1815"/>
      <c r="B64" s="1684"/>
      <c r="C64" s="1676"/>
      <c r="D64" s="28" t="s">
        <v>263</v>
      </c>
      <c r="E64" s="94"/>
      <c r="F64" s="80">
        <v>26335</v>
      </c>
      <c r="G64" s="95"/>
      <c r="H64" s="95"/>
      <c r="I64" s="80">
        <v>27369</v>
      </c>
      <c r="J64" s="28"/>
      <c r="K64" s="28"/>
      <c r="L64" s="21"/>
    </row>
    <row r="65" spans="1:12" hidden="1" x14ac:dyDescent="0.25">
      <c r="A65" s="1815"/>
      <c r="B65" s="1684"/>
      <c r="C65" s="1403" t="s">
        <v>356</v>
      </c>
      <c r="D65" s="144" t="s">
        <v>251</v>
      </c>
      <c r="E65" s="94"/>
      <c r="F65" s="80">
        <v>350</v>
      </c>
      <c r="G65" s="95"/>
      <c r="H65" s="95"/>
      <c r="I65" s="96"/>
      <c r="J65" s="28"/>
      <c r="K65" s="28"/>
      <c r="L65" s="21"/>
    </row>
    <row r="66" spans="1:12" hidden="1" x14ac:dyDescent="0.25">
      <c r="A66" s="1815"/>
      <c r="B66" s="1684"/>
      <c r="C66" s="1403"/>
      <c r="D66" s="28" t="s">
        <v>257</v>
      </c>
      <c r="E66" s="94"/>
      <c r="F66" s="80">
        <v>260</v>
      </c>
      <c r="G66" s="95"/>
      <c r="H66" s="95"/>
      <c r="I66" s="96"/>
      <c r="J66" s="28"/>
      <c r="K66" s="28"/>
      <c r="L66" s="21"/>
    </row>
    <row r="67" spans="1:12" hidden="1" x14ac:dyDescent="0.25">
      <c r="A67" s="1815"/>
      <c r="B67" s="1684"/>
      <c r="C67" s="1403"/>
      <c r="D67" s="28" t="s">
        <v>263</v>
      </c>
      <c r="E67" s="94"/>
      <c r="F67" s="80">
        <v>95</v>
      </c>
      <c r="G67" s="95"/>
      <c r="H67" s="95"/>
      <c r="I67" s="96"/>
      <c r="J67" s="28"/>
      <c r="K67" s="28"/>
      <c r="L67" s="21"/>
    </row>
    <row r="68" spans="1:12" hidden="1" x14ac:dyDescent="0.25">
      <c r="A68" s="1815"/>
      <c r="B68" s="1684"/>
      <c r="C68" s="1403"/>
      <c r="D68" s="28" t="s">
        <v>357</v>
      </c>
      <c r="E68" s="94"/>
      <c r="F68" s="97">
        <f>F67/F65*100</f>
        <v>27.142857142857142</v>
      </c>
      <c r="G68" s="94"/>
      <c r="H68" s="94"/>
      <c r="I68" s="28"/>
      <c r="J68" s="28"/>
      <c r="K68" s="28"/>
      <c r="L68" s="21"/>
    </row>
    <row r="69" spans="1:12" ht="14.85" hidden="1" customHeight="1" x14ac:dyDescent="0.25">
      <c r="A69" s="1815"/>
      <c r="B69" s="1684"/>
      <c r="C69" s="1403" t="s">
        <v>358</v>
      </c>
      <c r="D69" s="144" t="s">
        <v>251</v>
      </c>
      <c r="E69" s="94"/>
      <c r="F69" s="80">
        <v>125</v>
      </c>
      <c r="G69" s="80"/>
      <c r="H69" s="80"/>
      <c r="I69" s="80">
        <v>60</v>
      </c>
      <c r="J69" s="28"/>
      <c r="K69" s="28"/>
      <c r="L69" s="21"/>
    </row>
    <row r="70" spans="1:12" hidden="1" x14ac:dyDescent="0.25">
      <c r="A70" s="1815"/>
      <c r="B70" s="1684"/>
      <c r="C70" s="1403"/>
      <c r="D70" s="28" t="s">
        <v>257</v>
      </c>
      <c r="E70" s="94"/>
      <c r="F70" s="80">
        <v>90</v>
      </c>
      <c r="G70" s="80"/>
      <c r="H70" s="80"/>
      <c r="I70" s="80">
        <v>42</v>
      </c>
      <c r="J70" s="28"/>
      <c r="K70" s="28"/>
      <c r="L70" s="21"/>
    </row>
    <row r="71" spans="1:12" hidden="1" x14ac:dyDescent="0.25">
      <c r="A71" s="1815"/>
      <c r="B71" s="1684"/>
      <c r="C71" s="1403"/>
      <c r="D71" s="28" t="s">
        <v>263</v>
      </c>
      <c r="E71" s="94"/>
      <c r="F71" s="80">
        <v>30</v>
      </c>
      <c r="G71" s="80"/>
      <c r="H71" s="80"/>
      <c r="I71" s="80">
        <v>18</v>
      </c>
      <c r="J71" s="28"/>
      <c r="K71" s="28"/>
      <c r="L71" s="21"/>
    </row>
    <row r="72" spans="1:12" hidden="1" x14ac:dyDescent="0.25">
      <c r="A72" s="1815"/>
      <c r="B72" s="1684"/>
      <c r="C72" s="1403"/>
      <c r="D72" s="28" t="s">
        <v>357</v>
      </c>
      <c r="E72" s="94"/>
      <c r="F72" s="97">
        <f>F71/F69*100</f>
        <v>24</v>
      </c>
      <c r="G72" s="94"/>
      <c r="H72" s="94"/>
      <c r="I72" s="97">
        <f>I71/I69*100</f>
        <v>30</v>
      </c>
      <c r="J72" s="28"/>
      <c r="K72" s="28"/>
      <c r="L72" s="21"/>
    </row>
    <row r="73" spans="1:12" hidden="1" x14ac:dyDescent="0.25">
      <c r="A73" s="1815"/>
      <c r="B73" s="1684"/>
      <c r="C73" s="1403" t="s">
        <v>359</v>
      </c>
      <c r="D73" s="144" t="s">
        <v>251</v>
      </c>
      <c r="E73" s="94"/>
      <c r="F73" s="80">
        <v>220</v>
      </c>
      <c r="G73" s="80"/>
      <c r="H73" s="80"/>
      <c r="I73" s="80">
        <v>444</v>
      </c>
      <c r="J73" s="28"/>
      <c r="K73" s="28"/>
      <c r="L73" s="21"/>
    </row>
    <row r="74" spans="1:12" hidden="1" x14ac:dyDescent="0.25">
      <c r="A74" s="1815"/>
      <c r="B74" s="1684"/>
      <c r="C74" s="1403"/>
      <c r="D74" s="28" t="s">
        <v>257</v>
      </c>
      <c r="E74" s="94"/>
      <c r="F74" s="80">
        <v>90</v>
      </c>
      <c r="G74" s="80"/>
      <c r="H74" s="80"/>
      <c r="I74" s="80">
        <v>294</v>
      </c>
      <c r="J74" s="28"/>
      <c r="K74" s="28"/>
      <c r="L74" s="21"/>
    </row>
    <row r="75" spans="1:12" hidden="1" x14ac:dyDescent="0.25">
      <c r="A75" s="1815"/>
      <c r="B75" s="1684"/>
      <c r="C75" s="1403"/>
      <c r="D75" s="28" t="s">
        <v>263</v>
      </c>
      <c r="E75" s="94"/>
      <c r="F75" s="80">
        <v>130</v>
      </c>
      <c r="G75" s="80"/>
      <c r="H75" s="80"/>
      <c r="I75" s="80">
        <v>150</v>
      </c>
      <c r="J75" s="28"/>
      <c r="K75" s="28"/>
      <c r="L75" s="21"/>
    </row>
    <row r="76" spans="1:12" hidden="1" x14ac:dyDescent="0.25">
      <c r="A76" s="1815"/>
      <c r="B76" s="1684"/>
      <c r="C76" s="1403"/>
      <c r="D76" s="28" t="s">
        <v>357</v>
      </c>
      <c r="E76" s="94"/>
      <c r="F76" s="98">
        <f>F75/F73*100</f>
        <v>59.090909090909093</v>
      </c>
      <c r="G76" s="94"/>
      <c r="H76" s="94"/>
      <c r="I76" s="97">
        <f>I75/I73*100</f>
        <v>33.783783783783782</v>
      </c>
      <c r="J76" s="28"/>
      <c r="K76" s="28"/>
      <c r="L76" s="21"/>
    </row>
    <row r="77" spans="1:12" hidden="1" x14ac:dyDescent="0.25">
      <c r="A77" s="1815"/>
      <c r="B77" s="1684"/>
      <c r="C77" s="1403" t="s">
        <v>360</v>
      </c>
      <c r="D77" s="144" t="s">
        <v>251</v>
      </c>
      <c r="E77" s="94"/>
      <c r="F77" s="80">
        <v>545</v>
      </c>
      <c r="G77" s="80"/>
      <c r="H77" s="80"/>
      <c r="I77" s="80">
        <v>192</v>
      </c>
      <c r="J77" s="28"/>
      <c r="K77" s="28"/>
      <c r="L77" s="21"/>
    </row>
    <row r="78" spans="1:12" hidden="1" x14ac:dyDescent="0.25">
      <c r="A78" s="1815"/>
      <c r="B78" s="1684"/>
      <c r="C78" s="1403"/>
      <c r="D78" s="28" t="s">
        <v>257</v>
      </c>
      <c r="E78" s="94"/>
      <c r="F78" s="80">
        <v>380</v>
      </c>
      <c r="G78" s="80"/>
      <c r="H78" s="80"/>
      <c r="I78" s="80">
        <v>138</v>
      </c>
      <c r="J78" s="28"/>
      <c r="K78" s="28"/>
      <c r="L78" s="21"/>
    </row>
    <row r="79" spans="1:12" hidden="1" x14ac:dyDescent="0.25">
      <c r="A79" s="1815"/>
      <c r="B79" s="1684"/>
      <c r="C79" s="1403"/>
      <c r="D79" s="28" t="s">
        <v>263</v>
      </c>
      <c r="E79" s="94"/>
      <c r="F79" s="80">
        <v>170</v>
      </c>
      <c r="G79" s="80"/>
      <c r="H79" s="80"/>
      <c r="I79" s="80">
        <v>51</v>
      </c>
      <c r="J79" s="28"/>
      <c r="K79" s="28"/>
      <c r="L79" s="21"/>
    </row>
    <row r="80" spans="1:12" hidden="1" x14ac:dyDescent="0.25">
      <c r="A80" s="1815"/>
      <c r="B80" s="1684"/>
      <c r="C80" s="1403"/>
      <c r="D80" s="28" t="s">
        <v>357</v>
      </c>
      <c r="E80" s="94"/>
      <c r="F80" s="97">
        <f>F79/F77*100</f>
        <v>31.192660550458719</v>
      </c>
      <c r="G80" s="94"/>
      <c r="H80" s="94"/>
      <c r="I80" s="97">
        <f>I79/I77*100</f>
        <v>26.5625</v>
      </c>
      <c r="J80" s="28"/>
      <c r="K80" s="28"/>
      <c r="L80" s="21"/>
    </row>
    <row r="81" spans="1:12" hidden="1" x14ac:dyDescent="0.25">
      <c r="A81" s="1815"/>
      <c r="B81" s="1684"/>
      <c r="C81" s="1403" t="s">
        <v>361</v>
      </c>
      <c r="D81" s="144" t="s">
        <v>251</v>
      </c>
      <c r="E81" s="94"/>
      <c r="F81" s="80">
        <v>255</v>
      </c>
      <c r="G81" s="80"/>
      <c r="H81" s="80"/>
      <c r="I81" s="80">
        <v>207</v>
      </c>
      <c r="J81" s="28"/>
      <c r="K81" s="28"/>
      <c r="L81" s="21"/>
    </row>
    <row r="82" spans="1:12" hidden="1" x14ac:dyDescent="0.25">
      <c r="A82" s="1815"/>
      <c r="B82" s="1684"/>
      <c r="C82" s="1403"/>
      <c r="D82" s="28" t="s">
        <v>257</v>
      </c>
      <c r="E82" s="94"/>
      <c r="F82" s="80">
        <v>165</v>
      </c>
      <c r="G82" s="80"/>
      <c r="H82" s="80"/>
      <c r="I82" s="80">
        <v>138</v>
      </c>
      <c r="J82" s="28"/>
      <c r="K82" s="28"/>
      <c r="L82" s="21"/>
    </row>
    <row r="83" spans="1:12" hidden="1" x14ac:dyDescent="0.25">
      <c r="A83" s="1815"/>
      <c r="B83" s="1684"/>
      <c r="C83" s="1403"/>
      <c r="D83" s="28" t="s">
        <v>263</v>
      </c>
      <c r="E83" s="94"/>
      <c r="F83" s="80">
        <v>90</v>
      </c>
      <c r="G83" s="80"/>
      <c r="H83" s="80"/>
      <c r="I83" s="80">
        <v>69</v>
      </c>
      <c r="J83" s="28"/>
      <c r="K83" s="28"/>
      <c r="L83" s="21"/>
    </row>
    <row r="84" spans="1:12" hidden="1" x14ac:dyDescent="0.25">
      <c r="A84" s="1815"/>
      <c r="B84" s="1684"/>
      <c r="C84" s="1403"/>
      <c r="D84" s="28" t="s">
        <v>357</v>
      </c>
      <c r="E84" s="94"/>
      <c r="F84" s="97">
        <f>(F83/F81)*100</f>
        <v>35.294117647058826</v>
      </c>
      <c r="G84" s="94"/>
      <c r="H84" s="94"/>
      <c r="I84" s="97">
        <f>I83/I81*100</f>
        <v>33.333333333333329</v>
      </c>
      <c r="J84" s="28"/>
      <c r="K84" s="28"/>
      <c r="L84" s="21"/>
    </row>
    <row r="85" spans="1:12" hidden="1" x14ac:dyDescent="0.25">
      <c r="A85" s="1815"/>
      <c r="B85" s="1684"/>
      <c r="C85" s="1403" t="s">
        <v>362</v>
      </c>
      <c r="D85" s="144" t="s">
        <v>251</v>
      </c>
      <c r="E85" s="94"/>
      <c r="F85" s="80">
        <v>95</v>
      </c>
      <c r="G85" s="80"/>
      <c r="H85" s="80"/>
      <c r="I85" s="80">
        <v>195</v>
      </c>
      <c r="J85" s="28"/>
      <c r="K85" s="28"/>
      <c r="L85" s="21"/>
    </row>
    <row r="86" spans="1:12" ht="15" hidden="1" customHeight="1" x14ac:dyDescent="0.25">
      <c r="A86" s="1815"/>
      <c r="B86" s="1684"/>
      <c r="C86" s="1403"/>
      <c r="D86" s="28" t="s">
        <v>257</v>
      </c>
      <c r="E86" s="94"/>
      <c r="F86" s="80">
        <v>95</v>
      </c>
      <c r="G86" s="80"/>
      <c r="H86" s="80"/>
      <c r="I86" s="80">
        <v>135</v>
      </c>
      <c r="J86" s="28"/>
      <c r="K86" s="28"/>
      <c r="L86" s="21"/>
    </row>
    <row r="87" spans="1:12" hidden="1" x14ac:dyDescent="0.25">
      <c r="A87" s="1815"/>
      <c r="B87" s="1684"/>
      <c r="C87" s="1403"/>
      <c r="D87" s="28" t="s">
        <v>263</v>
      </c>
      <c r="E87" s="94"/>
      <c r="F87" s="80">
        <v>0</v>
      </c>
      <c r="G87" s="80"/>
      <c r="H87" s="80"/>
      <c r="I87" s="80">
        <v>60</v>
      </c>
      <c r="J87" s="28"/>
      <c r="K87" s="28"/>
      <c r="L87" s="21"/>
    </row>
    <row r="88" spans="1:12" hidden="1" x14ac:dyDescent="0.25">
      <c r="A88" s="1815"/>
      <c r="B88" s="1684"/>
      <c r="C88" s="1403"/>
      <c r="D88" s="28" t="s">
        <v>357</v>
      </c>
      <c r="E88" s="94"/>
      <c r="F88" s="97">
        <f>(F87/F85)*100</f>
        <v>0</v>
      </c>
      <c r="G88" s="94"/>
      <c r="H88" s="94"/>
      <c r="I88" s="97">
        <f>I87/I85*100</f>
        <v>30.76923076923077</v>
      </c>
      <c r="J88" s="28"/>
      <c r="K88" s="28"/>
      <c r="L88" s="21"/>
    </row>
    <row r="89" spans="1:12" hidden="1" x14ac:dyDescent="0.25">
      <c r="A89" s="1815"/>
      <c r="B89" s="1684"/>
      <c r="C89" s="1403" t="s">
        <v>363</v>
      </c>
      <c r="D89" s="144" t="s">
        <v>251</v>
      </c>
      <c r="E89" s="94"/>
      <c r="F89" s="80">
        <v>1150</v>
      </c>
      <c r="G89" s="80"/>
      <c r="H89" s="80"/>
      <c r="I89" s="80">
        <v>1290</v>
      </c>
      <c r="J89" s="28"/>
      <c r="K89" s="28"/>
      <c r="L89" s="21"/>
    </row>
    <row r="90" spans="1:12" hidden="1" x14ac:dyDescent="0.25">
      <c r="A90" s="1815"/>
      <c r="B90" s="1684"/>
      <c r="C90" s="1403"/>
      <c r="D90" s="28" t="s">
        <v>257</v>
      </c>
      <c r="E90" s="94"/>
      <c r="F90" s="80">
        <v>335</v>
      </c>
      <c r="G90" s="80"/>
      <c r="H90" s="80"/>
      <c r="I90" s="80">
        <v>273</v>
      </c>
      <c r="J90" s="28"/>
      <c r="K90" s="28"/>
      <c r="L90" s="21"/>
    </row>
    <row r="91" spans="1:12" hidden="1" x14ac:dyDescent="0.25">
      <c r="A91" s="1815"/>
      <c r="B91" s="1684"/>
      <c r="C91" s="1403"/>
      <c r="D91" s="28" t="s">
        <v>263</v>
      </c>
      <c r="E91" s="94"/>
      <c r="F91" s="80">
        <v>810</v>
      </c>
      <c r="G91" s="80"/>
      <c r="H91" s="80"/>
      <c r="I91" s="80">
        <v>1017</v>
      </c>
      <c r="J91" s="28"/>
      <c r="K91" s="28"/>
      <c r="L91" s="21"/>
    </row>
    <row r="92" spans="1:12" hidden="1" x14ac:dyDescent="0.25">
      <c r="A92" s="1815"/>
      <c r="B92" s="1684"/>
      <c r="C92" s="1403"/>
      <c r="D92" s="28" t="s">
        <v>357</v>
      </c>
      <c r="E92" s="94"/>
      <c r="F92" s="99">
        <f>(F91/F89)*100</f>
        <v>70.434782608695656</v>
      </c>
      <c r="G92" s="94"/>
      <c r="H92" s="94"/>
      <c r="I92" s="99">
        <f>I91/I89*100</f>
        <v>78.83720930232559</v>
      </c>
      <c r="J92" s="28"/>
      <c r="K92" s="28"/>
      <c r="L92" s="21"/>
    </row>
    <row r="93" spans="1:12" hidden="1" x14ac:dyDescent="0.25">
      <c r="A93" s="1815"/>
      <c r="B93" s="1684"/>
      <c r="C93" s="1403" t="s">
        <v>364</v>
      </c>
      <c r="D93" s="144" t="s">
        <v>251</v>
      </c>
      <c r="E93" s="94"/>
      <c r="F93" s="80">
        <v>1805</v>
      </c>
      <c r="G93" s="80"/>
      <c r="H93" s="80"/>
      <c r="I93" s="80">
        <v>1578</v>
      </c>
      <c r="J93" s="28"/>
      <c r="K93" s="28"/>
      <c r="L93" s="21"/>
    </row>
    <row r="94" spans="1:12" ht="14.85" hidden="1" customHeight="1" x14ac:dyDescent="0.25">
      <c r="A94" s="1815"/>
      <c r="B94" s="1684"/>
      <c r="C94" s="1403"/>
      <c r="D94" s="28" t="s">
        <v>257</v>
      </c>
      <c r="E94" s="94"/>
      <c r="F94" s="80">
        <v>530</v>
      </c>
      <c r="G94" s="80"/>
      <c r="H94" s="80"/>
      <c r="I94" s="80">
        <v>480</v>
      </c>
      <c r="J94" s="28"/>
      <c r="K94" s="28"/>
      <c r="L94" s="21"/>
    </row>
    <row r="95" spans="1:12" hidden="1" x14ac:dyDescent="0.25">
      <c r="A95" s="1815"/>
      <c r="B95" s="1684"/>
      <c r="C95" s="1403"/>
      <c r="D95" s="28" t="s">
        <v>263</v>
      </c>
      <c r="E95" s="94"/>
      <c r="F95" s="80">
        <v>1275</v>
      </c>
      <c r="G95" s="80"/>
      <c r="H95" s="80"/>
      <c r="I95" s="80">
        <v>1095</v>
      </c>
      <c r="J95" s="28"/>
      <c r="K95" s="28"/>
      <c r="L95" s="21"/>
    </row>
    <row r="96" spans="1:12" hidden="1" x14ac:dyDescent="0.25">
      <c r="A96" s="1815"/>
      <c r="B96" s="1684"/>
      <c r="C96" s="1403"/>
      <c r="D96" s="28" t="s">
        <v>357</v>
      </c>
      <c r="E96" s="94"/>
      <c r="F96" s="99">
        <f>(F95/F93)*100</f>
        <v>70.637119113573405</v>
      </c>
      <c r="G96" s="94"/>
      <c r="H96" s="94"/>
      <c r="I96" s="99">
        <f>I95/I93*100</f>
        <v>69.391634980988599</v>
      </c>
      <c r="J96" s="28"/>
      <c r="K96" s="28"/>
      <c r="L96" s="21"/>
    </row>
    <row r="97" spans="1:12" hidden="1" x14ac:dyDescent="0.25">
      <c r="A97" s="1815"/>
      <c r="B97" s="1684"/>
      <c r="C97" s="1403" t="s">
        <v>365</v>
      </c>
      <c r="D97" s="144" t="s">
        <v>251</v>
      </c>
      <c r="E97" s="94"/>
      <c r="F97" s="80">
        <v>345</v>
      </c>
      <c r="G97" s="80"/>
      <c r="H97" s="80"/>
      <c r="I97" s="80">
        <v>495</v>
      </c>
      <c r="J97" s="28"/>
      <c r="K97" s="28"/>
      <c r="L97" s="21"/>
    </row>
    <row r="98" spans="1:12" hidden="1" x14ac:dyDescent="0.25">
      <c r="A98" s="1815"/>
      <c r="B98" s="1684"/>
      <c r="C98" s="1403"/>
      <c r="D98" s="28" t="s">
        <v>257</v>
      </c>
      <c r="E98" s="94"/>
      <c r="F98" s="80">
        <v>120</v>
      </c>
      <c r="G98" s="80"/>
      <c r="H98" s="80"/>
      <c r="I98" s="80">
        <v>177</v>
      </c>
      <c r="J98" s="28"/>
      <c r="K98" s="28"/>
      <c r="L98" s="21"/>
    </row>
    <row r="99" spans="1:12" hidden="1" x14ac:dyDescent="0.25">
      <c r="A99" s="1815"/>
      <c r="B99" s="1684"/>
      <c r="C99" s="1403"/>
      <c r="D99" s="28" t="s">
        <v>263</v>
      </c>
      <c r="E99" s="94"/>
      <c r="F99" s="80">
        <v>225</v>
      </c>
      <c r="G99" s="80"/>
      <c r="H99" s="80"/>
      <c r="I99" s="80">
        <v>318</v>
      </c>
      <c r="J99" s="28"/>
      <c r="K99" s="28"/>
      <c r="L99" s="21"/>
    </row>
    <row r="100" spans="1:12" hidden="1" x14ac:dyDescent="0.25">
      <c r="A100" s="1815"/>
      <c r="B100" s="1684"/>
      <c r="C100" s="1403"/>
      <c r="D100" s="28" t="s">
        <v>357</v>
      </c>
      <c r="E100" s="94"/>
      <c r="F100" s="99">
        <f>F99/F97*100</f>
        <v>65.217391304347828</v>
      </c>
      <c r="G100" s="94"/>
      <c r="H100" s="94"/>
      <c r="I100" s="99">
        <f>I99/I97*100</f>
        <v>64.242424242424249</v>
      </c>
      <c r="J100" s="28"/>
      <c r="K100" s="28"/>
      <c r="L100" s="21"/>
    </row>
    <row r="101" spans="1:12" hidden="1" x14ac:dyDescent="0.25">
      <c r="A101" s="1815"/>
      <c r="B101" s="1684"/>
      <c r="C101" s="1403" t="s">
        <v>366</v>
      </c>
      <c r="D101" s="144" t="s">
        <v>251</v>
      </c>
      <c r="E101" s="94"/>
      <c r="F101" s="80">
        <v>1485</v>
      </c>
      <c r="G101" s="80"/>
      <c r="H101" s="80"/>
      <c r="I101" s="80">
        <v>909</v>
      </c>
      <c r="J101" s="28"/>
      <c r="K101" s="28"/>
      <c r="L101" s="21"/>
    </row>
    <row r="102" spans="1:12" hidden="1" x14ac:dyDescent="0.25">
      <c r="A102" s="1815"/>
      <c r="B102" s="1684"/>
      <c r="C102" s="1403"/>
      <c r="D102" s="28" t="s">
        <v>257</v>
      </c>
      <c r="E102" s="94"/>
      <c r="F102" s="80">
        <v>870</v>
      </c>
      <c r="G102" s="80"/>
      <c r="H102" s="80"/>
      <c r="I102" s="80">
        <v>615</v>
      </c>
      <c r="J102" s="28"/>
      <c r="K102" s="28"/>
      <c r="L102" s="21"/>
    </row>
    <row r="103" spans="1:12" hidden="1" x14ac:dyDescent="0.25">
      <c r="A103" s="1815"/>
      <c r="B103" s="1684"/>
      <c r="C103" s="1403"/>
      <c r="D103" s="28" t="s">
        <v>263</v>
      </c>
      <c r="E103" s="94"/>
      <c r="F103" s="80">
        <v>615</v>
      </c>
      <c r="G103" s="80"/>
      <c r="H103" s="80"/>
      <c r="I103" s="80">
        <v>291</v>
      </c>
      <c r="J103" s="28"/>
      <c r="K103" s="28"/>
      <c r="L103" s="21"/>
    </row>
    <row r="104" spans="1:12" hidden="1" x14ac:dyDescent="0.25">
      <c r="A104" s="1815"/>
      <c r="B104" s="1684"/>
      <c r="C104" s="1403"/>
      <c r="D104" s="28" t="s">
        <v>357</v>
      </c>
      <c r="E104" s="94"/>
      <c r="F104" s="98">
        <f>(F103/F101)*100</f>
        <v>41.414141414141412</v>
      </c>
      <c r="G104" s="94"/>
      <c r="H104" s="94"/>
      <c r="I104" s="97">
        <f>I103/I101*100</f>
        <v>32.013201320132012</v>
      </c>
      <c r="J104" s="28"/>
      <c r="K104" s="28"/>
      <c r="L104" s="21"/>
    </row>
    <row r="105" spans="1:12" hidden="1" x14ac:dyDescent="0.25">
      <c r="A105" s="1815"/>
      <c r="B105" s="1684"/>
      <c r="C105" s="1403" t="s">
        <v>367</v>
      </c>
      <c r="D105" s="144" t="s">
        <v>251</v>
      </c>
      <c r="E105" s="94"/>
      <c r="F105" s="80">
        <v>350</v>
      </c>
      <c r="G105" s="80"/>
      <c r="H105" s="80"/>
      <c r="I105" s="80">
        <v>255</v>
      </c>
      <c r="J105" s="96"/>
      <c r="K105" s="28"/>
      <c r="L105" s="21"/>
    </row>
    <row r="106" spans="1:12" hidden="1" x14ac:dyDescent="0.25">
      <c r="A106" s="1815"/>
      <c r="B106" s="1684"/>
      <c r="C106" s="1403"/>
      <c r="D106" s="28" t="s">
        <v>257</v>
      </c>
      <c r="E106" s="94"/>
      <c r="F106" s="80">
        <v>150</v>
      </c>
      <c r="G106" s="80"/>
      <c r="H106" s="80"/>
      <c r="I106" s="80">
        <v>108</v>
      </c>
      <c r="J106" s="96"/>
      <c r="K106" s="28"/>
      <c r="L106" s="21"/>
    </row>
    <row r="107" spans="1:12" hidden="1" x14ac:dyDescent="0.25">
      <c r="A107" s="1815"/>
      <c r="B107" s="1684"/>
      <c r="C107" s="1403"/>
      <c r="D107" s="28" t="s">
        <v>263</v>
      </c>
      <c r="E107" s="94"/>
      <c r="F107" s="80">
        <v>205</v>
      </c>
      <c r="G107" s="80"/>
      <c r="H107" s="80"/>
      <c r="I107" s="80">
        <v>147</v>
      </c>
      <c r="J107" s="96"/>
      <c r="K107" s="28"/>
      <c r="L107" s="21"/>
    </row>
    <row r="108" spans="1:12" hidden="1" x14ac:dyDescent="0.25">
      <c r="A108" s="1815"/>
      <c r="B108" s="1684"/>
      <c r="C108" s="1403"/>
      <c r="D108" s="28" t="s">
        <v>357</v>
      </c>
      <c r="E108" s="94"/>
      <c r="F108" s="98">
        <f>(F107/F105)*100</f>
        <v>58.571428571428577</v>
      </c>
      <c r="G108" s="94"/>
      <c r="H108" s="94"/>
      <c r="I108" s="206">
        <f>I107/I105*100</f>
        <v>57.647058823529406</v>
      </c>
      <c r="J108" s="96"/>
      <c r="K108" s="28"/>
      <c r="L108" s="21"/>
    </row>
    <row r="109" spans="1:12" hidden="1" x14ac:dyDescent="0.25">
      <c r="A109" s="1815"/>
      <c r="B109" s="1684"/>
      <c r="C109" s="1403" t="s">
        <v>368</v>
      </c>
      <c r="D109" s="144" t="s">
        <v>251</v>
      </c>
      <c r="E109" s="94"/>
      <c r="F109" s="80">
        <v>790</v>
      </c>
      <c r="G109" s="80"/>
      <c r="H109" s="80"/>
      <c r="I109" s="80">
        <v>1065</v>
      </c>
      <c r="J109" s="96"/>
      <c r="K109" s="28"/>
      <c r="L109" s="21"/>
    </row>
    <row r="110" spans="1:12" hidden="1" x14ac:dyDescent="0.25">
      <c r="A110" s="1815"/>
      <c r="B110" s="1684"/>
      <c r="C110" s="1403"/>
      <c r="D110" s="28" t="s">
        <v>257</v>
      </c>
      <c r="E110" s="94"/>
      <c r="F110" s="80">
        <v>485</v>
      </c>
      <c r="G110" s="80"/>
      <c r="H110" s="80"/>
      <c r="I110" s="80">
        <v>510</v>
      </c>
      <c r="J110" s="96"/>
      <c r="K110" s="28"/>
      <c r="L110" s="21"/>
    </row>
    <row r="111" spans="1:12" hidden="1" x14ac:dyDescent="0.25">
      <c r="A111" s="1815"/>
      <c r="B111" s="1684"/>
      <c r="C111" s="1403"/>
      <c r="D111" s="28" t="s">
        <v>263</v>
      </c>
      <c r="E111" s="94"/>
      <c r="F111" s="80">
        <v>305</v>
      </c>
      <c r="G111" s="80"/>
      <c r="H111" s="80"/>
      <c r="I111" s="80">
        <v>555</v>
      </c>
      <c r="J111" s="96"/>
      <c r="K111" s="28"/>
      <c r="L111" s="21"/>
    </row>
    <row r="112" spans="1:12" hidden="1" x14ac:dyDescent="0.25">
      <c r="A112" s="1815"/>
      <c r="B112" s="1684"/>
      <c r="C112" s="1403"/>
      <c r="D112" s="28" t="s">
        <v>357</v>
      </c>
      <c r="E112" s="94"/>
      <c r="F112" s="97">
        <f>(F111/F109)*100</f>
        <v>38.607594936708864</v>
      </c>
      <c r="G112" s="94"/>
      <c r="H112" s="94"/>
      <c r="I112" s="98">
        <f>I111/I109*100</f>
        <v>52.112676056338024</v>
      </c>
      <c r="J112" s="96"/>
      <c r="K112" s="28"/>
      <c r="L112" s="21"/>
    </row>
    <row r="113" spans="1:12" hidden="1" x14ac:dyDescent="0.25">
      <c r="A113" s="1815"/>
      <c r="B113" s="1684"/>
      <c r="C113" s="1403" t="s">
        <v>369</v>
      </c>
      <c r="D113" s="144" t="s">
        <v>251</v>
      </c>
      <c r="E113" s="94"/>
      <c r="F113" s="80">
        <v>660</v>
      </c>
      <c r="G113" s="80"/>
      <c r="H113" s="80"/>
      <c r="I113" s="80">
        <v>807</v>
      </c>
      <c r="J113" s="96"/>
      <c r="K113" s="28"/>
      <c r="L113" s="21"/>
    </row>
    <row r="114" spans="1:12" hidden="1" x14ac:dyDescent="0.25">
      <c r="A114" s="1815"/>
      <c r="B114" s="1684"/>
      <c r="C114" s="1403"/>
      <c r="D114" s="28" t="s">
        <v>257</v>
      </c>
      <c r="E114" s="94"/>
      <c r="F114" s="80">
        <v>475</v>
      </c>
      <c r="G114" s="80"/>
      <c r="H114" s="80"/>
      <c r="I114" s="80">
        <v>582</v>
      </c>
      <c r="J114" s="96"/>
      <c r="K114" s="28"/>
      <c r="L114" s="21"/>
    </row>
    <row r="115" spans="1:12" hidden="1" x14ac:dyDescent="0.25">
      <c r="A115" s="1815"/>
      <c r="B115" s="1684"/>
      <c r="C115" s="1403"/>
      <c r="D115" s="28" t="s">
        <v>263</v>
      </c>
      <c r="E115" s="94"/>
      <c r="F115" s="80">
        <v>185</v>
      </c>
      <c r="G115" s="80"/>
      <c r="H115" s="80"/>
      <c r="I115" s="80">
        <v>225</v>
      </c>
      <c r="J115" s="96"/>
      <c r="K115" s="28"/>
      <c r="L115" s="21"/>
    </row>
    <row r="116" spans="1:12" hidden="1" x14ac:dyDescent="0.25">
      <c r="A116" s="1815"/>
      <c r="B116" s="1684"/>
      <c r="C116" s="1403"/>
      <c r="D116" s="28" t="s">
        <v>357</v>
      </c>
      <c r="E116" s="94"/>
      <c r="F116" s="97">
        <f>(F115/F113)*100</f>
        <v>28.030303030303028</v>
      </c>
      <c r="G116" s="94"/>
      <c r="H116" s="94"/>
      <c r="I116" s="97">
        <f>I115/I113*100</f>
        <v>27.881040892193308</v>
      </c>
      <c r="J116" s="96"/>
      <c r="K116" s="28"/>
      <c r="L116" s="21"/>
    </row>
    <row r="117" spans="1:12" hidden="1" x14ac:dyDescent="0.25">
      <c r="A117" s="1815"/>
      <c r="B117" s="1684"/>
      <c r="C117" s="1403" t="s">
        <v>370</v>
      </c>
      <c r="D117" s="144" t="s">
        <v>251</v>
      </c>
      <c r="E117" s="94"/>
      <c r="F117" s="80">
        <v>415</v>
      </c>
      <c r="G117" s="80"/>
      <c r="H117" s="80"/>
      <c r="I117" s="80">
        <v>429</v>
      </c>
      <c r="J117" s="96"/>
      <c r="K117" s="28"/>
      <c r="L117" s="21"/>
    </row>
    <row r="118" spans="1:12" hidden="1" x14ac:dyDescent="0.25">
      <c r="A118" s="1815"/>
      <c r="B118" s="1684"/>
      <c r="C118" s="1403"/>
      <c r="D118" s="28" t="s">
        <v>257</v>
      </c>
      <c r="E118" s="94"/>
      <c r="F118" s="80">
        <v>185</v>
      </c>
      <c r="G118" s="80"/>
      <c r="H118" s="80"/>
      <c r="I118" s="80">
        <v>123</v>
      </c>
      <c r="J118" s="96"/>
      <c r="K118" s="28"/>
      <c r="L118" s="21"/>
    </row>
    <row r="119" spans="1:12" hidden="1" x14ac:dyDescent="0.25">
      <c r="A119" s="1815"/>
      <c r="B119" s="1684"/>
      <c r="C119" s="1403"/>
      <c r="D119" s="28" t="s">
        <v>263</v>
      </c>
      <c r="E119" s="94"/>
      <c r="F119" s="80">
        <v>230</v>
      </c>
      <c r="G119" s="80"/>
      <c r="H119" s="80"/>
      <c r="I119" s="80">
        <v>309</v>
      </c>
      <c r="J119" s="96"/>
      <c r="K119" s="28"/>
      <c r="L119" s="21"/>
    </row>
    <row r="120" spans="1:12" hidden="1" x14ac:dyDescent="0.25">
      <c r="A120" s="1815"/>
      <c r="B120" s="1684"/>
      <c r="C120" s="1403"/>
      <c r="D120" s="28" t="s">
        <v>357</v>
      </c>
      <c r="E120" s="94"/>
      <c r="F120" s="98">
        <f>(F119/F117)*100</f>
        <v>55.421686746987952</v>
      </c>
      <c r="G120" s="94"/>
      <c r="H120" s="94"/>
      <c r="I120" s="99">
        <f>I119/I117*100</f>
        <v>72.027972027972027</v>
      </c>
      <c r="J120" s="96"/>
      <c r="K120" s="28"/>
      <c r="L120" s="21"/>
    </row>
    <row r="121" spans="1:12" hidden="1" x14ac:dyDescent="0.25">
      <c r="A121" s="1815"/>
      <c r="B121" s="1684"/>
      <c r="C121" s="1403" t="s">
        <v>371</v>
      </c>
      <c r="D121" s="144" t="s">
        <v>251</v>
      </c>
      <c r="E121" s="94"/>
      <c r="F121" s="80">
        <v>40</v>
      </c>
      <c r="G121" s="80"/>
      <c r="H121" s="80"/>
      <c r="I121" s="80">
        <v>546</v>
      </c>
      <c r="J121" s="96"/>
      <c r="K121" s="28"/>
      <c r="L121" s="21"/>
    </row>
    <row r="122" spans="1:12" hidden="1" x14ac:dyDescent="0.25">
      <c r="A122" s="1815"/>
      <c r="B122" s="1684"/>
      <c r="C122" s="1403"/>
      <c r="D122" s="28" t="s">
        <v>257</v>
      </c>
      <c r="E122" s="94"/>
      <c r="F122" s="80">
        <v>40</v>
      </c>
      <c r="G122" s="80"/>
      <c r="H122" s="80"/>
      <c r="I122" s="80">
        <v>267</v>
      </c>
      <c r="J122" s="96"/>
      <c r="K122" s="28"/>
      <c r="L122" s="21"/>
    </row>
    <row r="123" spans="1:12" hidden="1" x14ac:dyDescent="0.25">
      <c r="A123" s="1815"/>
      <c r="B123" s="1684"/>
      <c r="C123" s="1403"/>
      <c r="D123" s="28" t="s">
        <v>263</v>
      </c>
      <c r="E123" s="94"/>
      <c r="F123" s="80">
        <v>0</v>
      </c>
      <c r="G123" s="80"/>
      <c r="H123" s="80"/>
      <c r="I123" s="80">
        <v>279</v>
      </c>
      <c r="J123" s="96"/>
      <c r="K123" s="28"/>
      <c r="L123" s="21"/>
    </row>
    <row r="124" spans="1:12" hidden="1" x14ac:dyDescent="0.25">
      <c r="A124" s="1815"/>
      <c r="B124" s="1684"/>
      <c r="C124" s="1403"/>
      <c r="D124" s="28" t="s">
        <v>357</v>
      </c>
      <c r="E124" s="94"/>
      <c r="F124" s="97">
        <f>(F123/F121)*100</f>
        <v>0</v>
      </c>
      <c r="G124" s="94"/>
      <c r="H124" s="94"/>
      <c r="I124" s="98">
        <f>I123/I121*100</f>
        <v>51.098901098901095</v>
      </c>
      <c r="J124" s="96"/>
      <c r="K124" s="28"/>
      <c r="L124" s="21"/>
    </row>
    <row r="125" spans="1:12" hidden="1" x14ac:dyDescent="0.25">
      <c r="A125" s="1815"/>
      <c r="B125" s="1684"/>
      <c r="C125" s="1403" t="s">
        <v>372</v>
      </c>
      <c r="D125" s="144" t="s">
        <v>251</v>
      </c>
      <c r="E125" s="94"/>
      <c r="F125" s="80">
        <v>1295</v>
      </c>
      <c r="G125" s="80"/>
      <c r="H125" s="80"/>
      <c r="I125" s="80">
        <v>678</v>
      </c>
      <c r="J125" s="96"/>
      <c r="K125" s="28"/>
      <c r="L125" s="21"/>
    </row>
    <row r="126" spans="1:12" ht="14.85" hidden="1" customHeight="1" x14ac:dyDescent="0.25">
      <c r="A126" s="1815"/>
      <c r="B126" s="1684"/>
      <c r="C126" s="1403"/>
      <c r="D126" s="28" t="s">
        <v>257</v>
      </c>
      <c r="E126" s="94"/>
      <c r="F126" s="80">
        <v>1025</v>
      </c>
      <c r="G126" s="80"/>
      <c r="H126" s="80"/>
      <c r="I126" s="80">
        <v>516</v>
      </c>
      <c r="J126" s="96"/>
      <c r="K126" s="28"/>
      <c r="L126" s="21"/>
    </row>
    <row r="127" spans="1:12" hidden="1" x14ac:dyDescent="0.25">
      <c r="A127" s="1815"/>
      <c r="B127" s="1684"/>
      <c r="C127" s="1403"/>
      <c r="D127" s="28" t="s">
        <v>263</v>
      </c>
      <c r="E127" s="94"/>
      <c r="F127" s="80">
        <v>270</v>
      </c>
      <c r="G127" s="80"/>
      <c r="H127" s="80"/>
      <c r="I127" s="80">
        <v>162</v>
      </c>
      <c r="J127" s="96"/>
      <c r="K127" s="28"/>
      <c r="L127" s="21"/>
    </row>
    <row r="128" spans="1:12" hidden="1" x14ac:dyDescent="0.25">
      <c r="A128" s="1815"/>
      <c r="B128" s="1684"/>
      <c r="C128" s="1403"/>
      <c r="D128" s="28" t="s">
        <v>357</v>
      </c>
      <c r="E128" s="94"/>
      <c r="F128" s="97">
        <f>(F127/F125)*100</f>
        <v>20.849420849420849</v>
      </c>
      <c r="G128" s="94"/>
      <c r="H128" s="94"/>
      <c r="I128" s="97">
        <f>I127/I125*100</f>
        <v>23.893805309734514</v>
      </c>
      <c r="J128" s="96"/>
      <c r="K128" s="28"/>
      <c r="L128" s="21"/>
    </row>
    <row r="129" spans="1:12" hidden="1" x14ac:dyDescent="0.25">
      <c r="A129" s="1815"/>
      <c r="B129" s="1684"/>
      <c r="C129" s="1403" t="s">
        <v>373</v>
      </c>
      <c r="D129" s="144" t="s">
        <v>251</v>
      </c>
      <c r="E129" s="94"/>
      <c r="F129" s="80">
        <v>440</v>
      </c>
      <c r="G129" s="80"/>
      <c r="H129" s="80"/>
      <c r="I129" s="80">
        <v>207</v>
      </c>
      <c r="J129" s="96"/>
      <c r="K129" s="28"/>
      <c r="L129" s="21"/>
    </row>
    <row r="130" spans="1:12" hidden="1" x14ac:dyDescent="0.25">
      <c r="A130" s="1815"/>
      <c r="B130" s="1684"/>
      <c r="C130" s="1403"/>
      <c r="D130" s="28" t="s">
        <v>257</v>
      </c>
      <c r="E130" s="94"/>
      <c r="F130" s="80">
        <v>390</v>
      </c>
      <c r="G130" s="80"/>
      <c r="H130" s="80"/>
      <c r="I130" s="80">
        <v>192</v>
      </c>
      <c r="J130" s="96"/>
      <c r="K130" s="28"/>
      <c r="L130" s="21"/>
    </row>
    <row r="131" spans="1:12" hidden="1" x14ac:dyDescent="0.25">
      <c r="A131" s="1815"/>
      <c r="B131" s="1684"/>
      <c r="C131" s="1403"/>
      <c r="D131" s="28" t="s">
        <v>263</v>
      </c>
      <c r="E131" s="94"/>
      <c r="F131" s="80">
        <v>50</v>
      </c>
      <c r="G131" s="80"/>
      <c r="H131" s="80"/>
      <c r="I131" s="80">
        <v>15</v>
      </c>
      <c r="J131" s="96"/>
      <c r="K131" s="28"/>
      <c r="L131" s="21"/>
    </row>
    <row r="132" spans="1:12" hidden="1" x14ac:dyDescent="0.25">
      <c r="A132" s="1815"/>
      <c r="B132" s="1684"/>
      <c r="C132" s="1403"/>
      <c r="D132" s="28" t="s">
        <v>357</v>
      </c>
      <c r="E132" s="94"/>
      <c r="F132" s="97">
        <f>(F131/F129)*100</f>
        <v>11.363636363636363</v>
      </c>
      <c r="G132" s="94"/>
      <c r="H132" s="94"/>
      <c r="I132" s="97">
        <f>I131/I129*100</f>
        <v>7.2463768115942031</v>
      </c>
      <c r="J132" s="96"/>
      <c r="K132" s="28"/>
      <c r="L132" s="21"/>
    </row>
    <row r="133" spans="1:12" hidden="1" x14ac:dyDescent="0.25">
      <c r="A133" s="1815"/>
      <c r="B133" s="1684"/>
      <c r="C133" s="1403" t="s">
        <v>374</v>
      </c>
      <c r="D133" s="144" t="s">
        <v>251</v>
      </c>
      <c r="E133" s="94"/>
      <c r="F133" s="80">
        <v>255</v>
      </c>
      <c r="G133" s="80"/>
      <c r="H133" s="80"/>
      <c r="I133" s="80">
        <v>327</v>
      </c>
      <c r="J133" s="96"/>
      <c r="K133" s="28"/>
      <c r="L133" s="21"/>
    </row>
    <row r="134" spans="1:12" hidden="1" x14ac:dyDescent="0.25">
      <c r="A134" s="1815"/>
      <c r="B134" s="1684"/>
      <c r="C134" s="1403"/>
      <c r="D134" s="28" t="s">
        <v>257</v>
      </c>
      <c r="E134" s="94"/>
      <c r="F134" s="80">
        <v>125</v>
      </c>
      <c r="G134" s="80"/>
      <c r="H134" s="80"/>
      <c r="I134" s="80">
        <v>108</v>
      </c>
      <c r="J134" s="96"/>
      <c r="K134" s="28"/>
      <c r="L134" s="21"/>
    </row>
    <row r="135" spans="1:12" hidden="1" x14ac:dyDescent="0.25">
      <c r="A135" s="1815"/>
      <c r="B135" s="1684"/>
      <c r="C135" s="1403"/>
      <c r="D135" s="28" t="s">
        <v>263</v>
      </c>
      <c r="E135" s="94"/>
      <c r="F135" s="80">
        <v>125</v>
      </c>
      <c r="G135" s="80"/>
      <c r="H135" s="80"/>
      <c r="I135" s="80">
        <v>222</v>
      </c>
      <c r="J135" s="96"/>
      <c r="K135" s="28"/>
      <c r="L135" s="21"/>
    </row>
    <row r="136" spans="1:12" hidden="1" x14ac:dyDescent="0.25">
      <c r="A136" s="1815"/>
      <c r="B136" s="1684"/>
      <c r="C136" s="1403"/>
      <c r="D136" s="28" t="s">
        <v>357</v>
      </c>
      <c r="E136" s="94"/>
      <c r="F136" s="98">
        <f>(F135/F133)*100</f>
        <v>49.019607843137251</v>
      </c>
      <c r="G136" s="94"/>
      <c r="H136" s="94"/>
      <c r="I136" s="99">
        <f>I135/I133*100</f>
        <v>67.889908256880744</v>
      </c>
      <c r="J136" s="96"/>
      <c r="K136" s="28"/>
      <c r="L136" s="21"/>
    </row>
    <row r="137" spans="1:12" hidden="1" x14ac:dyDescent="0.25">
      <c r="A137" s="1815"/>
      <c r="B137" s="1684"/>
      <c r="C137" s="1403" t="s">
        <v>375</v>
      </c>
      <c r="D137" s="144" t="s">
        <v>251</v>
      </c>
      <c r="E137" s="94"/>
      <c r="F137" s="80">
        <v>40</v>
      </c>
      <c r="G137" s="80"/>
      <c r="H137" s="80"/>
      <c r="I137" s="80">
        <v>93</v>
      </c>
      <c r="J137" s="96"/>
      <c r="K137" s="28"/>
      <c r="L137" s="21"/>
    </row>
    <row r="138" spans="1:12" ht="14.85" hidden="1" customHeight="1" x14ac:dyDescent="0.25">
      <c r="A138" s="1815"/>
      <c r="B138" s="1684"/>
      <c r="C138" s="1403"/>
      <c r="D138" s="28" t="s">
        <v>257</v>
      </c>
      <c r="E138" s="94"/>
      <c r="F138" s="80">
        <v>15</v>
      </c>
      <c r="G138" s="80"/>
      <c r="H138" s="80"/>
      <c r="I138" s="80">
        <v>39</v>
      </c>
      <c r="J138" s="96"/>
      <c r="K138" s="28"/>
      <c r="L138" s="21"/>
    </row>
    <row r="139" spans="1:12" hidden="1" x14ac:dyDescent="0.25">
      <c r="A139" s="1815"/>
      <c r="B139" s="1684"/>
      <c r="C139" s="1403"/>
      <c r="D139" s="28" t="s">
        <v>263</v>
      </c>
      <c r="E139" s="94"/>
      <c r="F139" s="80">
        <v>25</v>
      </c>
      <c r="G139" s="80"/>
      <c r="H139" s="80"/>
      <c r="I139" s="80">
        <v>54</v>
      </c>
      <c r="J139" s="96"/>
      <c r="K139" s="28"/>
      <c r="L139" s="21"/>
    </row>
    <row r="140" spans="1:12" hidden="1" x14ac:dyDescent="0.25">
      <c r="A140" s="1815"/>
      <c r="B140" s="1684"/>
      <c r="C140" s="1403"/>
      <c r="D140" s="28" t="s">
        <v>357</v>
      </c>
      <c r="E140" s="94"/>
      <c r="F140" s="99">
        <f>(F139/F137)*100</f>
        <v>62.5</v>
      </c>
      <c r="G140" s="94"/>
      <c r="H140" s="94"/>
      <c r="I140" s="98">
        <f>I139/I137*100</f>
        <v>58.064516129032263</v>
      </c>
      <c r="J140" s="96"/>
      <c r="K140" s="28"/>
      <c r="L140" s="21"/>
    </row>
    <row r="141" spans="1:12" hidden="1" x14ac:dyDescent="0.25">
      <c r="A141" s="1815"/>
      <c r="B141" s="1684"/>
      <c r="C141" s="1403" t="s">
        <v>376</v>
      </c>
      <c r="D141" s="144" t="s">
        <v>251</v>
      </c>
      <c r="E141" s="94"/>
      <c r="F141" s="80">
        <v>1120</v>
      </c>
      <c r="G141" s="80"/>
      <c r="H141" s="80"/>
      <c r="I141" s="80">
        <v>1392</v>
      </c>
      <c r="J141" s="96"/>
      <c r="K141" s="28"/>
      <c r="L141" s="21"/>
    </row>
    <row r="142" spans="1:12" ht="14.85" hidden="1" customHeight="1" x14ac:dyDescent="0.25">
      <c r="A142" s="1815"/>
      <c r="B142" s="1684"/>
      <c r="C142" s="1403"/>
      <c r="D142" s="28" t="s">
        <v>257</v>
      </c>
      <c r="E142" s="94"/>
      <c r="F142" s="80">
        <v>700</v>
      </c>
      <c r="G142" s="80"/>
      <c r="H142" s="80"/>
      <c r="I142" s="80">
        <v>825</v>
      </c>
      <c r="J142" s="96"/>
      <c r="K142" s="28"/>
      <c r="L142" s="21"/>
    </row>
    <row r="143" spans="1:12" hidden="1" x14ac:dyDescent="0.25">
      <c r="A143" s="1815"/>
      <c r="B143" s="1684"/>
      <c r="C143" s="1403"/>
      <c r="D143" s="28" t="s">
        <v>263</v>
      </c>
      <c r="E143" s="94"/>
      <c r="F143" s="80">
        <v>420</v>
      </c>
      <c r="G143" s="80"/>
      <c r="H143" s="80"/>
      <c r="I143" s="80">
        <v>570</v>
      </c>
      <c r="J143" s="96"/>
      <c r="K143" s="28"/>
      <c r="L143" s="21"/>
    </row>
    <row r="144" spans="1:12" hidden="1" x14ac:dyDescent="0.25">
      <c r="A144" s="1815"/>
      <c r="B144" s="1684"/>
      <c r="C144" s="1403"/>
      <c r="D144" s="28" t="s">
        <v>357</v>
      </c>
      <c r="E144" s="94"/>
      <c r="F144" s="97">
        <f>(F143/F141)*100</f>
        <v>37.5</v>
      </c>
      <c r="G144" s="94"/>
      <c r="H144" s="94"/>
      <c r="I144" s="98">
        <f>I143/I141*100</f>
        <v>40.948275862068968</v>
      </c>
      <c r="J144" s="96"/>
      <c r="K144" s="28"/>
      <c r="L144" s="21"/>
    </row>
    <row r="145" spans="1:12" hidden="1" x14ac:dyDescent="0.25">
      <c r="A145" s="1815"/>
      <c r="B145" s="1684"/>
      <c r="C145" s="1403" t="s">
        <v>377</v>
      </c>
      <c r="D145" s="144" t="s">
        <v>251</v>
      </c>
      <c r="E145" s="94"/>
      <c r="F145" s="80">
        <v>1265</v>
      </c>
      <c r="G145" s="80"/>
      <c r="H145" s="80"/>
      <c r="I145" s="80">
        <v>981</v>
      </c>
      <c r="J145" s="96"/>
      <c r="K145" s="28"/>
      <c r="L145" s="21"/>
    </row>
    <row r="146" spans="1:12" hidden="1" x14ac:dyDescent="0.25">
      <c r="A146" s="1815"/>
      <c r="B146" s="1684"/>
      <c r="C146" s="1403"/>
      <c r="D146" s="28" t="s">
        <v>257</v>
      </c>
      <c r="E146" s="94"/>
      <c r="F146" s="80">
        <v>290</v>
      </c>
      <c r="G146" s="80"/>
      <c r="H146" s="80"/>
      <c r="I146" s="80">
        <v>333</v>
      </c>
      <c r="J146" s="96"/>
      <c r="K146" s="28"/>
      <c r="L146" s="21"/>
    </row>
    <row r="147" spans="1:12" hidden="1" x14ac:dyDescent="0.25">
      <c r="A147" s="1815"/>
      <c r="B147" s="1684"/>
      <c r="C147" s="1403"/>
      <c r="D147" s="28" t="s">
        <v>263</v>
      </c>
      <c r="E147" s="94"/>
      <c r="F147" s="80">
        <v>975</v>
      </c>
      <c r="G147" s="80"/>
      <c r="H147" s="80"/>
      <c r="I147" s="80">
        <v>651</v>
      </c>
      <c r="J147" s="96"/>
      <c r="K147" s="28"/>
      <c r="L147" s="21"/>
    </row>
    <row r="148" spans="1:12" hidden="1" x14ac:dyDescent="0.25">
      <c r="A148" s="1815"/>
      <c r="B148" s="1684"/>
      <c r="C148" s="1403"/>
      <c r="D148" s="28" t="s">
        <v>357</v>
      </c>
      <c r="E148" s="94"/>
      <c r="F148" s="99">
        <f>(F147/F145)*100</f>
        <v>77.07509881422925</v>
      </c>
      <c r="G148" s="94"/>
      <c r="H148" s="94"/>
      <c r="I148" s="99">
        <f>I147/I145*100</f>
        <v>66.360856269113157</v>
      </c>
      <c r="J148" s="96"/>
      <c r="K148" s="28"/>
      <c r="L148" s="21"/>
    </row>
    <row r="149" spans="1:12" hidden="1" x14ac:dyDescent="0.25">
      <c r="A149" s="1815"/>
      <c r="B149" s="1684"/>
      <c r="C149" s="1403" t="s">
        <v>378</v>
      </c>
      <c r="D149" s="144" t="s">
        <v>251</v>
      </c>
      <c r="E149" s="94"/>
      <c r="F149" s="80">
        <v>650</v>
      </c>
      <c r="G149" s="80"/>
      <c r="H149" s="80"/>
      <c r="I149" s="80">
        <v>720</v>
      </c>
      <c r="J149" s="96"/>
      <c r="K149" s="28"/>
      <c r="L149" s="21"/>
    </row>
    <row r="150" spans="1:12" hidden="1" x14ac:dyDescent="0.25">
      <c r="A150" s="1815"/>
      <c r="B150" s="1684"/>
      <c r="C150" s="1403"/>
      <c r="D150" s="28" t="s">
        <v>257</v>
      </c>
      <c r="E150" s="94"/>
      <c r="F150" s="80">
        <v>315</v>
      </c>
      <c r="G150" s="80"/>
      <c r="H150" s="80"/>
      <c r="I150" s="80">
        <v>387</v>
      </c>
      <c r="J150" s="96"/>
      <c r="K150" s="28"/>
      <c r="L150" s="21"/>
    </row>
    <row r="151" spans="1:12" hidden="1" x14ac:dyDescent="0.25">
      <c r="A151" s="1815"/>
      <c r="B151" s="1684"/>
      <c r="C151" s="1403"/>
      <c r="D151" s="28" t="s">
        <v>263</v>
      </c>
      <c r="E151" s="94"/>
      <c r="F151" s="80">
        <v>330</v>
      </c>
      <c r="G151" s="80"/>
      <c r="H151" s="80"/>
      <c r="I151" s="80">
        <v>330</v>
      </c>
      <c r="J151" s="96"/>
      <c r="K151" s="28"/>
      <c r="L151" s="21"/>
    </row>
    <row r="152" spans="1:12" hidden="1" x14ac:dyDescent="0.25">
      <c r="A152" s="1815"/>
      <c r="B152" s="1684"/>
      <c r="C152" s="1403"/>
      <c r="D152" s="28" t="s">
        <v>357</v>
      </c>
      <c r="E152" s="94"/>
      <c r="F152" s="98">
        <f>(F151/F149)*100</f>
        <v>50.769230769230766</v>
      </c>
      <c r="G152" s="94"/>
      <c r="H152" s="94"/>
      <c r="I152" s="98">
        <f>I151/I149*100</f>
        <v>45.833333333333329</v>
      </c>
      <c r="J152" s="96"/>
      <c r="K152" s="28"/>
      <c r="L152" s="21"/>
    </row>
    <row r="153" spans="1:12" hidden="1" x14ac:dyDescent="0.25">
      <c r="A153" s="1815"/>
      <c r="B153" s="1684"/>
      <c r="C153" s="1403" t="s">
        <v>379</v>
      </c>
      <c r="D153" s="144" t="s">
        <v>251</v>
      </c>
      <c r="E153" s="94"/>
      <c r="F153" s="80">
        <v>1395</v>
      </c>
      <c r="G153" s="80"/>
      <c r="H153" s="80"/>
      <c r="I153" s="80">
        <v>981</v>
      </c>
      <c r="J153" s="96"/>
      <c r="K153" s="28"/>
      <c r="L153" s="21"/>
    </row>
    <row r="154" spans="1:12" hidden="1" x14ac:dyDescent="0.25">
      <c r="A154" s="1815"/>
      <c r="B154" s="1684"/>
      <c r="C154" s="1403"/>
      <c r="D154" s="28" t="s">
        <v>257</v>
      </c>
      <c r="E154" s="94"/>
      <c r="F154" s="80">
        <v>1070</v>
      </c>
      <c r="G154" s="80"/>
      <c r="H154" s="80"/>
      <c r="I154" s="80">
        <v>732</v>
      </c>
      <c r="J154" s="96"/>
      <c r="K154" s="28"/>
      <c r="L154" s="21"/>
    </row>
    <row r="155" spans="1:12" hidden="1" x14ac:dyDescent="0.25">
      <c r="A155" s="1815"/>
      <c r="B155" s="1684"/>
      <c r="C155" s="1403"/>
      <c r="D155" s="28" t="s">
        <v>263</v>
      </c>
      <c r="E155" s="94"/>
      <c r="F155" s="80">
        <v>325</v>
      </c>
      <c r="G155" s="80"/>
      <c r="H155" s="80"/>
      <c r="I155" s="80">
        <v>252</v>
      </c>
      <c r="J155" s="96"/>
      <c r="K155" s="28"/>
      <c r="L155" s="21"/>
    </row>
    <row r="156" spans="1:12" hidden="1" x14ac:dyDescent="0.25">
      <c r="A156" s="1815"/>
      <c r="B156" s="1684"/>
      <c r="C156" s="1403"/>
      <c r="D156" s="28" t="s">
        <v>357</v>
      </c>
      <c r="E156" s="94"/>
      <c r="F156" s="97">
        <f>(F155/F153)*100</f>
        <v>23.297491039426525</v>
      </c>
      <c r="G156" s="94"/>
      <c r="H156" s="94"/>
      <c r="I156" s="97">
        <f>I155/I153*100</f>
        <v>25.688073394495415</v>
      </c>
      <c r="J156" s="96"/>
      <c r="K156" s="28"/>
      <c r="L156" s="21"/>
    </row>
    <row r="157" spans="1:12" ht="14.85" hidden="1" customHeight="1" x14ac:dyDescent="0.25">
      <c r="A157" s="1815"/>
      <c r="B157" s="1684"/>
      <c r="C157" s="1403" t="s">
        <v>380</v>
      </c>
      <c r="D157" s="144" t="s">
        <v>251</v>
      </c>
      <c r="E157" s="94"/>
      <c r="F157" s="80">
        <v>2275</v>
      </c>
      <c r="G157" s="80"/>
      <c r="H157" s="80"/>
      <c r="I157" s="80">
        <v>969</v>
      </c>
      <c r="J157" s="96"/>
      <c r="K157" s="28"/>
      <c r="L157" s="21"/>
    </row>
    <row r="158" spans="1:12" hidden="1" x14ac:dyDescent="0.25">
      <c r="A158" s="1815"/>
      <c r="B158" s="1684"/>
      <c r="C158" s="1403"/>
      <c r="D158" s="28" t="s">
        <v>257</v>
      </c>
      <c r="E158" s="94"/>
      <c r="F158" s="80">
        <v>885</v>
      </c>
      <c r="G158" s="80"/>
      <c r="H158" s="80"/>
      <c r="I158" s="80">
        <v>483</v>
      </c>
      <c r="J158" s="96"/>
      <c r="K158" s="28"/>
      <c r="L158" s="21"/>
    </row>
    <row r="159" spans="1:12" hidden="1" x14ac:dyDescent="0.25">
      <c r="A159" s="1815"/>
      <c r="B159" s="1684"/>
      <c r="C159" s="1403"/>
      <c r="D159" s="28" t="s">
        <v>263</v>
      </c>
      <c r="E159" s="94"/>
      <c r="F159" s="80">
        <v>1390</v>
      </c>
      <c r="G159" s="80"/>
      <c r="H159" s="80"/>
      <c r="I159" s="80">
        <v>486</v>
      </c>
      <c r="J159" s="96"/>
      <c r="K159" s="28"/>
      <c r="L159" s="21"/>
    </row>
    <row r="160" spans="1:12" hidden="1" x14ac:dyDescent="0.25">
      <c r="A160" s="1815"/>
      <c r="B160" s="1684"/>
      <c r="C160" s="1403"/>
      <c r="D160" s="28" t="s">
        <v>357</v>
      </c>
      <c r="E160" s="94"/>
      <c r="F160" s="99">
        <f>(F159/F157)*100</f>
        <v>61.098901098901102</v>
      </c>
      <c r="G160" s="94"/>
      <c r="H160" s="94"/>
      <c r="I160" s="98">
        <f>I159/I157*100</f>
        <v>50.154798761609911</v>
      </c>
      <c r="J160" s="96"/>
      <c r="K160" s="28"/>
      <c r="L160" s="21"/>
    </row>
    <row r="161" spans="1:12" hidden="1" x14ac:dyDescent="0.25">
      <c r="A161" s="1815"/>
      <c r="B161" s="1684"/>
      <c r="C161" s="1403" t="s">
        <v>381</v>
      </c>
      <c r="D161" s="144" t="s">
        <v>251</v>
      </c>
      <c r="E161" s="94"/>
      <c r="F161" s="80">
        <v>230</v>
      </c>
      <c r="G161" s="80"/>
      <c r="H161" s="80"/>
      <c r="I161" s="80">
        <v>411</v>
      </c>
      <c r="J161" s="28"/>
      <c r="K161" s="28"/>
      <c r="L161" s="21"/>
    </row>
    <row r="162" spans="1:12" ht="14.85" hidden="1" customHeight="1" x14ac:dyDescent="0.25">
      <c r="A162" s="1815"/>
      <c r="B162" s="1684"/>
      <c r="C162" s="1403"/>
      <c r="D162" s="28" t="s">
        <v>257</v>
      </c>
      <c r="E162" s="94"/>
      <c r="F162" s="80">
        <v>170</v>
      </c>
      <c r="G162" s="80"/>
      <c r="H162" s="80"/>
      <c r="I162" s="80">
        <v>225</v>
      </c>
      <c r="J162" s="28"/>
      <c r="K162" s="28"/>
      <c r="L162" s="21"/>
    </row>
    <row r="163" spans="1:12" hidden="1" x14ac:dyDescent="0.25">
      <c r="A163" s="1815"/>
      <c r="B163" s="1684"/>
      <c r="C163" s="1403"/>
      <c r="D163" s="28" t="s">
        <v>263</v>
      </c>
      <c r="E163" s="94"/>
      <c r="F163" s="80">
        <v>60</v>
      </c>
      <c r="G163" s="80"/>
      <c r="H163" s="80"/>
      <c r="I163" s="80">
        <v>186</v>
      </c>
      <c r="J163" s="28"/>
      <c r="K163" s="28"/>
      <c r="L163" s="21"/>
    </row>
    <row r="164" spans="1:12" hidden="1" x14ac:dyDescent="0.25">
      <c r="A164" s="1815"/>
      <c r="B164" s="1684"/>
      <c r="C164" s="1403"/>
      <c r="D164" s="28" t="s">
        <v>357</v>
      </c>
      <c r="E164" s="94"/>
      <c r="F164" s="97">
        <f>(F163/F161)*100</f>
        <v>26.086956521739129</v>
      </c>
      <c r="G164" s="94"/>
      <c r="H164" s="94"/>
      <c r="I164" s="98">
        <f>I163/I161*100</f>
        <v>45.255474452554743</v>
      </c>
      <c r="J164" s="28"/>
      <c r="K164" s="28"/>
      <c r="L164" s="21"/>
    </row>
    <row r="165" spans="1:12" hidden="1" x14ac:dyDescent="0.25">
      <c r="A165" s="1815"/>
      <c r="B165" s="1684"/>
      <c r="C165" s="1437" t="s">
        <v>382</v>
      </c>
      <c r="D165" s="145" t="s">
        <v>251</v>
      </c>
      <c r="E165" s="95"/>
      <c r="F165" s="80">
        <v>2290</v>
      </c>
      <c r="G165" s="80"/>
      <c r="H165" s="80"/>
      <c r="I165" s="80">
        <v>1824</v>
      </c>
      <c r="J165" s="96"/>
      <c r="K165" s="96"/>
      <c r="L165" s="200"/>
    </row>
    <row r="166" spans="1:12" hidden="1" x14ac:dyDescent="0.25">
      <c r="A166" s="1815"/>
      <c r="B166" s="1684"/>
      <c r="C166" s="1437"/>
      <c r="D166" s="96" t="s">
        <v>257</v>
      </c>
      <c r="E166" s="95"/>
      <c r="F166" s="80">
        <v>890</v>
      </c>
      <c r="G166" s="80"/>
      <c r="H166" s="80"/>
      <c r="I166" s="80">
        <v>555</v>
      </c>
      <c r="J166" s="96"/>
      <c r="K166" s="96"/>
      <c r="L166" s="200"/>
    </row>
    <row r="167" spans="1:12" hidden="1" x14ac:dyDescent="0.25">
      <c r="A167" s="1815"/>
      <c r="B167" s="1684"/>
      <c r="C167" s="1437"/>
      <c r="D167" s="96" t="s">
        <v>263</v>
      </c>
      <c r="E167" s="95"/>
      <c r="F167" s="80">
        <v>1400</v>
      </c>
      <c r="G167" s="80"/>
      <c r="H167" s="80"/>
      <c r="I167" s="80">
        <v>1272</v>
      </c>
      <c r="J167" s="96"/>
      <c r="K167" s="96"/>
      <c r="L167" s="200"/>
    </row>
    <row r="168" spans="1:12" hidden="1" x14ac:dyDescent="0.25">
      <c r="A168" s="1815"/>
      <c r="B168" s="1684"/>
      <c r="C168" s="1437"/>
      <c r="D168" s="96" t="s">
        <v>357</v>
      </c>
      <c r="E168" s="95"/>
      <c r="F168" s="99">
        <f>(F167/F165)*100</f>
        <v>61.135371179039296</v>
      </c>
      <c r="G168" s="94"/>
      <c r="H168" s="94"/>
      <c r="I168" s="99">
        <f>I167/I165*100</f>
        <v>69.73684210526315</v>
      </c>
      <c r="J168" s="96"/>
      <c r="K168" s="96"/>
      <c r="L168" s="200"/>
    </row>
    <row r="169" spans="1:12" ht="14.85" hidden="1" customHeight="1" x14ac:dyDescent="0.25">
      <c r="A169" s="1815"/>
      <c r="B169" s="1684"/>
      <c r="C169" s="1437" t="s">
        <v>383</v>
      </c>
      <c r="D169" s="145" t="s">
        <v>251</v>
      </c>
      <c r="E169" s="95"/>
      <c r="F169" s="80">
        <v>2140</v>
      </c>
      <c r="G169" s="80"/>
      <c r="H169" s="80"/>
      <c r="I169" s="80">
        <v>1419</v>
      </c>
      <c r="J169" s="96"/>
      <c r="K169" s="96"/>
      <c r="L169" s="200"/>
    </row>
    <row r="170" spans="1:12" hidden="1" x14ac:dyDescent="0.25">
      <c r="A170" s="1815"/>
      <c r="B170" s="1684"/>
      <c r="C170" s="1437"/>
      <c r="D170" s="96" t="s">
        <v>257</v>
      </c>
      <c r="E170" s="95"/>
      <c r="F170" s="80">
        <v>920</v>
      </c>
      <c r="G170" s="80"/>
      <c r="H170" s="80"/>
      <c r="I170" s="80">
        <v>411</v>
      </c>
      <c r="J170" s="96"/>
      <c r="K170" s="96"/>
      <c r="L170" s="200"/>
    </row>
    <row r="171" spans="1:12" hidden="1" x14ac:dyDescent="0.25">
      <c r="A171" s="1815"/>
      <c r="B171" s="1684"/>
      <c r="C171" s="1437"/>
      <c r="D171" s="96" t="s">
        <v>263</v>
      </c>
      <c r="E171" s="95"/>
      <c r="F171" s="80">
        <v>1220</v>
      </c>
      <c r="G171" s="80"/>
      <c r="H171" s="80"/>
      <c r="I171" s="80">
        <v>1011</v>
      </c>
      <c r="J171" s="96"/>
      <c r="K171" s="96"/>
      <c r="L171" s="200"/>
    </row>
    <row r="172" spans="1:12" hidden="1" x14ac:dyDescent="0.25">
      <c r="A172" s="1815"/>
      <c r="B172" s="1684"/>
      <c r="C172" s="1437"/>
      <c r="D172" s="96" t="s">
        <v>357</v>
      </c>
      <c r="E172" s="95"/>
      <c r="F172" s="98">
        <f>(F171/F169)*100</f>
        <v>57.009345794392516</v>
      </c>
      <c r="G172" s="94"/>
      <c r="H172" s="94"/>
      <c r="I172" s="99">
        <f>I171/I169*100</f>
        <v>71.247357293868916</v>
      </c>
      <c r="J172" s="96"/>
      <c r="K172" s="96"/>
      <c r="L172" s="200"/>
    </row>
    <row r="173" spans="1:12" hidden="1" x14ac:dyDescent="0.25">
      <c r="A173" s="1815"/>
      <c r="B173" s="1684"/>
      <c r="C173" s="1437" t="s">
        <v>384</v>
      </c>
      <c r="D173" s="145" t="s">
        <v>251</v>
      </c>
      <c r="E173" s="95"/>
      <c r="F173" s="80">
        <v>2385</v>
      </c>
      <c r="G173" s="80"/>
      <c r="H173" s="80"/>
      <c r="I173" s="80">
        <v>1206</v>
      </c>
      <c r="J173" s="96"/>
      <c r="K173" s="96"/>
      <c r="L173" s="200"/>
    </row>
    <row r="174" spans="1:12" hidden="1" x14ac:dyDescent="0.25">
      <c r="A174" s="1815"/>
      <c r="B174" s="1684"/>
      <c r="C174" s="1437"/>
      <c r="D174" s="96" t="s">
        <v>257</v>
      </c>
      <c r="E174" s="95"/>
      <c r="F174" s="80">
        <v>710</v>
      </c>
      <c r="G174" s="80"/>
      <c r="H174" s="80"/>
      <c r="I174" s="80">
        <v>360</v>
      </c>
      <c r="J174" s="96"/>
      <c r="K174" s="96"/>
      <c r="L174" s="200"/>
    </row>
    <row r="175" spans="1:12" hidden="1" x14ac:dyDescent="0.25">
      <c r="A175" s="1815"/>
      <c r="B175" s="1684"/>
      <c r="C175" s="1437"/>
      <c r="D175" s="96" t="s">
        <v>263</v>
      </c>
      <c r="E175" s="95"/>
      <c r="F175" s="80">
        <v>1670</v>
      </c>
      <c r="G175" s="80"/>
      <c r="H175" s="80"/>
      <c r="I175" s="80">
        <v>846</v>
      </c>
      <c r="J175" s="96"/>
      <c r="K175" s="96"/>
      <c r="L175" s="200"/>
    </row>
    <row r="176" spans="1:12" hidden="1" x14ac:dyDescent="0.25">
      <c r="A176" s="1815"/>
      <c r="B176" s="1684"/>
      <c r="C176" s="1437"/>
      <c r="D176" s="96" t="s">
        <v>357</v>
      </c>
      <c r="E176" s="95"/>
      <c r="F176" s="99">
        <f>(F175/F173)*100</f>
        <v>70.020964360587001</v>
      </c>
      <c r="G176" s="94"/>
      <c r="H176" s="94"/>
      <c r="I176" s="99">
        <f>I175/I173*100</f>
        <v>70.149253731343293</v>
      </c>
      <c r="J176" s="96"/>
      <c r="K176" s="96"/>
      <c r="L176" s="200"/>
    </row>
    <row r="177" spans="1:12" hidden="1" x14ac:dyDescent="0.25">
      <c r="A177" s="1815"/>
      <c r="B177" s="1684"/>
      <c r="C177" s="1437" t="s">
        <v>385</v>
      </c>
      <c r="D177" s="145" t="s">
        <v>251</v>
      </c>
      <c r="E177" s="95"/>
      <c r="F177" s="80">
        <v>235</v>
      </c>
      <c r="G177" s="80"/>
      <c r="H177" s="80"/>
      <c r="I177" s="80">
        <v>699</v>
      </c>
      <c r="J177" s="96"/>
      <c r="K177" s="96"/>
      <c r="L177" s="200"/>
    </row>
    <row r="178" spans="1:12" ht="14.85" hidden="1" customHeight="1" x14ac:dyDescent="0.25">
      <c r="A178" s="1815"/>
      <c r="B178" s="1684"/>
      <c r="C178" s="1437"/>
      <c r="D178" s="96" t="s">
        <v>257</v>
      </c>
      <c r="E178" s="95"/>
      <c r="F178" s="80">
        <v>90</v>
      </c>
      <c r="G178" s="80"/>
      <c r="H178" s="80"/>
      <c r="I178" s="80">
        <v>414</v>
      </c>
      <c r="J178" s="96"/>
      <c r="K178" s="96"/>
      <c r="L178" s="200"/>
    </row>
    <row r="179" spans="1:12" hidden="1" x14ac:dyDescent="0.25">
      <c r="A179" s="1815"/>
      <c r="B179" s="1684"/>
      <c r="C179" s="1437"/>
      <c r="D179" s="96" t="s">
        <v>263</v>
      </c>
      <c r="E179" s="95"/>
      <c r="F179" s="80">
        <v>145</v>
      </c>
      <c r="G179" s="80"/>
      <c r="H179" s="80"/>
      <c r="I179" s="80">
        <v>282</v>
      </c>
      <c r="J179" s="96"/>
      <c r="K179" s="96"/>
      <c r="L179" s="200"/>
    </row>
    <row r="180" spans="1:12" hidden="1" x14ac:dyDescent="0.25">
      <c r="A180" s="1815"/>
      <c r="B180" s="1684"/>
      <c r="C180" s="1437"/>
      <c r="D180" s="96" t="s">
        <v>357</v>
      </c>
      <c r="E180" s="95"/>
      <c r="F180" s="99">
        <f>(F179/F177)*100</f>
        <v>61.702127659574465</v>
      </c>
      <c r="G180" s="94"/>
      <c r="H180" s="94"/>
      <c r="I180" s="98">
        <f>I179/I177*100</f>
        <v>40.343347639484975</v>
      </c>
      <c r="J180" s="96"/>
      <c r="K180" s="96"/>
      <c r="L180" s="200"/>
    </row>
    <row r="181" spans="1:12" hidden="1" x14ac:dyDescent="0.25">
      <c r="A181" s="1815"/>
      <c r="B181" s="1684"/>
      <c r="C181" s="1437" t="s">
        <v>386</v>
      </c>
      <c r="D181" s="145" t="s">
        <v>251</v>
      </c>
      <c r="E181" s="95"/>
      <c r="F181" s="80">
        <v>2175</v>
      </c>
      <c r="G181" s="80"/>
      <c r="H181" s="80"/>
      <c r="I181" s="80">
        <v>3225</v>
      </c>
      <c r="J181" s="96"/>
      <c r="K181" s="96"/>
      <c r="L181" s="200"/>
    </row>
    <row r="182" spans="1:12" hidden="1" x14ac:dyDescent="0.25">
      <c r="A182" s="1815"/>
      <c r="B182" s="1684"/>
      <c r="C182" s="1437"/>
      <c r="D182" s="96" t="s">
        <v>257</v>
      </c>
      <c r="E182" s="95"/>
      <c r="F182" s="80">
        <v>1300</v>
      </c>
      <c r="G182" s="80"/>
      <c r="H182" s="80"/>
      <c r="I182" s="80">
        <v>1698</v>
      </c>
      <c r="J182" s="96"/>
      <c r="K182" s="96"/>
      <c r="L182" s="200"/>
    </row>
    <row r="183" spans="1:12" hidden="1" x14ac:dyDescent="0.25">
      <c r="A183" s="1815"/>
      <c r="B183" s="1684"/>
      <c r="C183" s="1437"/>
      <c r="D183" s="96" t="s">
        <v>263</v>
      </c>
      <c r="E183" s="95"/>
      <c r="F183" s="80">
        <v>875</v>
      </c>
      <c r="G183" s="80"/>
      <c r="H183" s="80"/>
      <c r="I183" s="80">
        <v>1527</v>
      </c>
      <c r="J183" s="96"/>
      <c r="K183" s="96"/>
      <c r="L183" s="200"/>
    </row>
    <row r="184" spans="1:12" hidden="1" x14ac:dyDescent="0.25">
      <c r="A184" s="1815"/>
      <c r="B184" s="1684"/>
      <c r="C184" s="1437"/>
      <c r="D184" s="96" t="s">
        <v>357</v>
      </c>
      <c r="E184" s="95"/>
      <c r="F184" s="98">
        <f>(F183/F181)*100</f>
        <v>40.229885057471265</v>
      </c>
      <c r="G184" s="94"/>
      <c r="H184" s="94"/>
      <c r="I184" s="98">
        <f>I183/I181*100</f>
        <v>47.348837209302324</v>
      </c>
      <c r="J184" s="96"/>
      <c r="K184" s="96"/>
      <c r="L184" s="200"/>
    </row>
    <row r="185" spans="1:12" hidden="1" x14ac:dyDescent="0.25">
      <c r="A185" s="1815"/>
      <c r="B185" s="1684"/>
      <c r="C185" s="1437" t="s">
        <v>387</v>
      </c>
      <c r="D185" s="145" t="s">
        <v>251</v>
      </c>
      <c r="E185" s="95"/>
      <c r="F185" s="80">
        <v>3600</v>
      </c>
      <c r="G185" s="80"/>
      <c r="H185" s="80"/>
      <c r="I185" s="80">
        <v>3372</v>
      </c>
      <c r="J185" s="96"/>
      <c r="K185" s="96"/>
      <c r="L185" s="200"/>
    </row>
    <row r="186" spans="1:12" hidden="1" x14ac:dyDescent="0.25">
      <c r="A186" s="1815"/>
      <c r="B186" s="1684"/>
      <c r="C186" s="1437"/>
      <c r="D186" s="96" t="s">
        <v>257</v>
      </c>
      <c r="E186" s="95"/>
      <c r="F186" s="80">
        <v>1415</v>
      </c>
      <c r="G186" s="80"/>
      <c r="H186" s="80"/>
      <c r="I186" s="80">
        <v>1494</v>
      </c>
      <c r="J186" s="96"/>
      <c r="K186" s="96"/>
      <c r="L186" s="200"/>
    </row>
    <row r="187" spans="1:12" hidden="1" x14ac:dyDescent="0.25">
      <c r="A187" s="1815"/>
      <c r="B187" s="1684"/>
      <c r="C187" s="1437"/>
      <c r="D187" s="96" t="s">
        <v>263</v>
      </c>
      <c r="E187" s="95"/>
      <c r="F187" s="80">
        <v>2185</v>
      </c>
      <c r="G187" s="80"/>
      <c r="H187" s="80"/>
      <c r="I187" s="80">
        <v>1878</v>
      </c>
      <c r="J187" s="96"/>
      <c r="K187" s="96"/>
      <c r="L187" s="200"/>
    </row>
    <row r="188" spans="1:12" hidden="1" x14ac:dyDescent="0.25">
      <c r="A188" s="1815"/>
      <c r="B188" s="1684"/>
      <c r="C188" s="1437"/>
      <c r="D188" s="96" t="s">
        <v>357</v>
      </c>
      <c r="E188" s="95"/>
      <c r="F188" s="99">
        <f>(F187/F185)*100</f>
        <v>60.694444444444443</v>
      </c>
      <c r="G188" s="94"/>
      <c r="H188" s="94"/>
      <c r="I188" s="98">
        <f>I187/I185*100</f>
        <v>55.693950177935946</v>
      </c>
      <c r="J188" s="96"/>
      <c r="K188" s="96"/>
      <c r="L188" s="200"/>
    </row>
    <row r="189" spans="1:12" hidden="1" x14ac:dyDescent="0.25">
      <c r="A189" s="1815"/>
      <c r="B189" s="1684"/>
      <c r="C189" s="1437" t="s">
        <v>388</v>
      </c>
      <c r="D189" s="145" t="s">
        <v>251</v>
      </c>
      <c r="E189" s="95"/>
      <c r="F189" s="80">
        <v>20</v>
      </c>
      <c r="G189" s="80"/>
      <c r="H189" s="80"/>
      <c r="I189" s="80">
        <v>1134</v>
      </c>
      <c r="J189" s="96"/>
      <c r="K189" s="96"/>
      <c r="L189" s="200"/>
    </row>
    <row r="190" spans="1:12" hidden="1" x14ac:dyDescent="0.25">
      <c r="A190" s="1815"/>
      <c r="B190" s="1684"/>
      <c r="C190" s="1437"/>
      <c r="D190" s="96" t="s">
        <v>257</v>
      </c>
      <c r="E190" s="95"/>
      <c r="F190" s="80">
        <v>15</v>
      </c>
      <c r="G190" s="80"/>
      <c r="H190" s="80"/>
      <c r="I190" s="80">
        <v>591</v>
      </c>
      <c r="J190" s="96"/>
      <c r="K190" s="96"/>
      <c r="L190" s="200"/>
    </row>
    <row r="191" spans="1:12" hidden="1" x14ac:dyDescent="0.25">
      <c r="A191" s="1815"/>
      <c r="B191" s="1684"/>
      <c r="C191" s="1437"/>
      <c r="D191" s="96" t="s">
        <v>263</v>
      </c>
      <c r="E191" s="95"/>
      <c r="F191" s="80">
        <v>10</v>
      </c>
      <c r="G191" s="80"/>
      <c r="H191" s="80"/>
      <c r="I191" s="80">
        <v>543</v>
      </c>
      <c r="J191" s="96"/>
      <c r="K191" s="96"/>
      <c r="L191" s="200"/>
    </row>
    <row r="192" spans="1:12" hidden="1" x14ac:dyDescent="0.25">
      <c r="A192" s="1815"/>
      <c r="B192" s="1684"/>
      <c r="C192" s="1437"/>
      <c r="D192" s="96" t="s">
        <v>357</v>
      </c>
      <c r="E192" s="95"/>
      <c r="F192" s="98">
        <f>F191/F189*100</f>
        <v>50</v>
      </c>
      <c r="G192" s="94"/>
      <c r="H192" s="94"/>
      <c r="I192" s="98">
        <f>I191/I189*100</f>
        <v>47.883597883597886</v>
      </c>
      <c r="J192" s="96"/>
      <c r="K192" s="96"/>
      <c r="L192" s="200"/>
    </row>
    <row r="193" spans="1:12" hidden="1" x14ac:dyDescent="0.25">
      <c r="A193" s="1815"/>
      <c r="B193" s="1684"/>
      <c r="C193" s="1403" t="s">
        <v>389</v>
      </c>
      <c r="D193" s="144" t="s">
        <v>251</v>
      </c>
      <c r="E193" s="94"/>
      <c r="F193" s="80">
        <v>410</v>
      </c>
      <c r="G193" s="80"/>
      <c r="H193" s="80"/>
      <c r="I193" s="80">
        <v>552</v>
      </c>
      <c r="J193" s="28"/>
      <c r="K193" s="28"/>
      <c r="L193" s="21"/>
    </row>
    <row r="194" spans="1:12" hidden="1" x14ac:dyDescent="0.25">
      <c r="A194" s="1815"/>
      <c r="B194" s="1684"/>
      <c r="C194" s="1403"/>
      <c r="D194" s="28" t="s">
        <v>257</v>
      </c>
      <c r="E194" s="94"/>
      <c r="F194" s="80">
        <v>175</v>
      </c>
      <c r="G194" s="80"/>
      <c r="H194" s="80"/>
      <c r="I194" s="80">
        <v>273</v>
      </c>
      <c r="J194" s="28"/>
      <c r="K194" s="28"/>
      <c r="L194" s="21"/>
    </row>
    <row r="195" spans="1:12" hidden="1" x14ac:dyDescent="0.25">
      <c r="A195" s="1815"/>
      <c r="B195" s="1684"/>
      <c r="C195" s="1403"/>
      <c r="D195" s="28" t="s">
        <v>263</v>
      </c>
      <c r="E195" s="94"/>
      <c r="F195" s="80">
        <v>235</v>
      </c>
      <c r="G195" s="80"/>
      <c r="H195" s="80"/>
      <c r="I195" s="80">
        <v>279</v>
      </c>
      <c r="J195" s="28"/>
      <c r="K195" s="28"/>
      <c r="L195" s="21"/>
    </row>
    <row r="196" spans="1:12" hidden="1" x14ac:dyDescent="0.25">
      <c r="A196" s="1815"/>
      <c r="B196" s="1684"/>
      <c r="C196" s="1403"/>
      <c r="D196" s="28" t="s">
        <v>357</v>
      </c>
      <c r="E196" s="94"/>
      <c r="F196" s="98">
        <f>(F195/F193)*100</f>
        <v>57.317073170731703</v>
      </c>
      <c r="G196" s="94"/>
      <c r="H196" s="94"/>
      <c r="I196" s="98">
        <f>I195/I193*100</f>
        <v>50.54347826086957</v>
      </c>
      <c r="J196" s="28"/>
      <c r="K196" s="28"/>
      <c r="L196" s="21"/>
    </row>
    <row r="197" spans="1:12" hidden="1" x14ac:dyDescent="0.25">
      <c r="A197" s="1815"/>
      <c r="B197" s="1684"/>
      <c r="C197" s="1403" t="s">
        <v>390</v>
      </c>
      <c r="D197" s="144" t="s">
        <v>251</v>
      </c>
      <c r="E197" s="94"/>
      <c r="F197" s="80">
        <v>465</v>
      </c>
      <c r="G197" s="80"/>
      <c r="H197" s="80"/>
      <c r="I197" s="80">
        <v>573</v>
      </c>
      <c r="J197" s="28"/>
      <c r="K197" s="28"/>
      <c r="L197" s="21"/>
    </row>
    <row r="198" spans="1:12" ht="14.85" hidden="1" customHeight="1" x14ac:dyDescent="0.25">
      <c r="A198" s="1815"/>
      <c r="B198" s="1684"/>
      <c r="C198" s="1403"/>
      <c r="D198" s="28" t="s">
        <v>257</v>
      </c>
      <c r="E198" s="94"/>
      <c r="F198" s="80">
        <v>60</v>
      </c>
      <c r="G198" s="80"/>
      <c r="H198" s="80"/>
      <c r="I198" s="80">
        <v>174</v>
      </c>
      <c r="J198" s="28"/>
      <c r="K198" s="28"/>
      <c r="L198" s="21"/>
    </row>
    <row r="199" spans="1:12" hidden="1" x14ac:dyDescent="0.25">
      <c r="A199" s="1815"/>
      <c r="B199" s="1684"/>
      <c r="C199" s="1403"/>
      <c r="D199" s="28" t="s">
        <v>263</v>
      </c>
      <c r="E199" s="94"/>
      <c r="F199" s="80">
        <v>405</v>
      </c>
      <c r="G199" s="80"/>
      <c r="H199" s="80"/>
      <c r="I199" s="80">
        <v>399</v>
      </c>
      <c r="J199" s="28"/>
      <c r="K199" s="28"/>
      <c r="L199" s="21"/>
    </row>
    <row r="200" spans="1:12" hidden="1" x14ac:dyDescent="0.25">
      <c r="A200" s="1815"/>
      <c r="B200" s="1684"/>
      <c r="C200" s="1403"/>
      <c r="D200" s="28" t="s">
        <v>357</v>
      </c>
      <c r="E200" s="94"/>
      <c r="F200" s="99">
        <f>(F199/F197)*100</f>
        <v>87.096774193548384</v>
      </c>
      <c r="G200" s="94"/>
      <c r="H200" s="94"/>
      <c r="I200" s="99">
        <f>I199/I197*100</f>
        <v>69.633507853403145</v>
      </c>
      <c r="J200" s="28"/>
      <c r="K200" s="28"/>
      <c r="L200" s="21"/>
    </row>
    <row r="201" spans="1:12" hidden="1" x14ac:dyDescent="0.25">
      <c r="A201" s="1815"/>
      <c r="B201" s="1684"/>
      <c r="C201" s="1403" t="s">
        <v>391</v>
      </c>
      <c r="D201" s="144" t="s">
        <v>251</v>
      </c>
      <c r="E201" s="94"/>
      <c r="F201" s="80">
        <v>1245</v>
      </c>
      <c r="G201" s="80"/>
      <c r="H201" s="80"/>
      <c r="I201" s="80">
        <v>1212</v>
      </c>
      <c r="J201" s="28"/>
      <c r="K201" s="28"/>
      <c r="L201" s="21"/>
    </row>
    <row r="202" spans="1:12" hidden="1" x14ac:dyDescent="0.25">
      <c r="A202" s="1815"/>
      <c r="B202" s="1684"/>
      <c r="C202" s="1403"/>
      <c r="D202" s="28" t="s">
        <v>257</v>
      </c>
      <c r="E202" s="94"/>
      <c r="F202" s="80">
        <v>165</v>
      </c>
      <c r="G202" s="80"/>
      <c r="H202" s="80"/>
      <c r="I202" s="80">
        <v>189</v>
      </c>
      <c r="J202" s="28"/>
      <c r="K202" s="28"/>
      <c r="L202" s="21"/>
    </row>
    <row r="203" spans="1:12" hidden="1" x14ac:dyDescent="0.25">
      <c r="A203" s="1815"/>
      <c r="B203" s="1684"/>
      <c r="C203" s="1403"/>
      <c r="D203" s="28" t="s">
        <v>263</v>
      </c>
      <c r="E203" s="94"/>
      <c r="F203" s="80">
        <v>1080</v>
      </c>
      <c r="G203" s="80"/>
      <c r="H203" s="80"/>
      <c r="I203" s="80">
        <v>1026</v>
      </c>
      <c r="J203" s="28"/>
      <c r="K203" s="28"/>
      <c r="L203" s="21"/>
    </row>
    <row r="204" spans="1:12" hidden="1" x14ac:dyDescent="0.25">
      <c r="A204" s="1815"/>
      <c r="B204" s="1684"/>
      <c r="C204" s="1403"/>
      <c r="D204" s="28" t="s">
        <v>357</v>
      </c>
      <c r="E204" s="94"/>
      <c r="F204" s="99">
        <f>(F203/F201)*100</f>
        <v>86.746987951807228</v>
      </c>
      <c r="G204" s="94"/>
      <c r="H204" s="94"/>
      <c r="I204" s="99">
        <f>I203/I201*100</f>
        <v>84.653465346534645</v>
      </c>
      <c r="J204" s="28"/>
      <c r="K204" s="28"/>
      <c r="L204" s="21"/>
    </row>
    <row r="205" spans="1:12" hidden="1" x14ac:dyDescent="0.25">
      <c r="A205" s="1815"/>
      <c r="B205" s="1684"/>
      <c r="C205" s="1403" t="s">
        <v>392</v>
      </c>
      <c r="D205" s="144" t="s">
        <v>251</v>
      </c>
      <c r="E205" s="94"/>
      <c r="F205" s="80">
        <v>950</v>
      </c>
      <c r="G205" s="80"/>
      <c r="H205" s="80"/>
      <c r="I205" s="80">
        <v>885</v>
      </c>
      <c r="J205" s="28"/>
      <c r="K205" s="28"/>
      <c r="L205" s="21"/>
    </row>
    <row r="206" spans="1:12" hidden="1" x14ac:dyDescent="0.25">
      <c r="A206" s="1815"/>
      <c r="B206" s="1684"/>
      <c r="C206" s="1403"/>
      <c r="D206" s="28" t="s">
        <v>257</v>
      </c>
      <c r="E206" s="94"/>
      <c r="F206" s="80">
        <v>55</v>
      </c>
      <c r="G206" s="80"/>
      <c r="H206" s="80"/>
      <c r="I206" s="80">
        <v>60</v>
      </c>
      <c r="J206" s="28"/>
      <c r="K206" s="28"/>
      <c r="L206" s="21"/>
    </row>
    <row r="207" spans="1:12" hidden="1" x14ac:dyDescent="0.25">
      <c r="A207" s="1815"/>
      <c r="B207" s="1684"/>
      <c r="C207" s="1403"/>
      <c r="D207" s="28" t="s">
        <v>263</v>
      </c>
      <c r="E207" s="94"/>
      <c r="F207" s="80">
        <v>895</v>
      </c>
      <c r="G207" s="80"/>
      <c r="H207" s="80"/>
      <c r="I207" s="80">
        <v>825</v>
      </c>
      <c r="J207" s="28"/>
      <c r="K207" s="28"/>
      <c r="L207" s="21"/>
    </row>
    <row r="208" spans="1:12" hidden="1" x14ac:dyDescent="0.25">
      <c r="A208" s="1815"/>
      <c r="B208" s="1684"/>
      <c r="C208" s="1403"/>
      <c r="D208" s="28" t="s">
        <v>357</v>
      </c>
      <c r="E208" s="94"/>
      <c r="F208" s="99">
        <f>(F207/F205)*100</f>
        <v>94.21052631578948</v>
      </c>
      <c r="G208" s="94"/>
      <c r="H208" s="94"/>
      <c r="I208" s="99">
        <f>I207/I205*100</f>
        <v>93.220338983050837</v>
      </c>
      <c r="J208" s="28"/>
      <c r="K208" s="28"/>
      <c r="L208" s="21"/>
    </row>
    <row r="209" spans="1:12" hidden="1" x14ac:dyDescent="0.25">
      <c r="A209" s="1815"/>
      <c r="B209" s="1684"/>
      <c r="C209" s="1403" t="s">
        <v>393</v>
      </c>
      <c r="D209" s="144" t="s">
        <v>251</v>
      </c>
      <c r="E209" s="94"/>
      <c r="F209" s="80">
        <v>1550</v>
      </c>
      <c r="G209" s="80"/>
      <c r="H209" s="80"/>
      <c r="I209" s="80">
        <v>1929</v>
      </c>
      <c r="J209" s="28"/>
      <c r="K209" s="28"/>
      <c r="L209" s="21"/>
    </row>
    <row r="210" spans="1:12" hidden="1" x14ac:dyDescent="0.25">
      <c r="A210" s="1815"/>
      <c r="B210" s="1684"/>
      <c r="C210" s="1403"/>
      <c r="D210" s="28" t="s">
        <v>257</v>
      </c>
      <c r="E210" s="94"/>
      <c r="F210" s="80">
        <v>1010</v>
      </c>
      <c r="G210" s="80"/>
      <c r="H210" s="80"/>
      <c r="I210" s="80">
        <v>933</v>
      </c>
      <c r="J210" s="28"/>
      <c r="K210" s="28"/>
      <c r="L210" s="21"/>
    </row>
    <row r="211" spans="1:12" hidden="1" x14ac:dyDescent="0.25">
      <c r="A211" s="1815"/>
      <c r="B211" s="1684"/>
      <c r="C211" s="1403"/>
      <c r="D211" s="28" t="s">
        <v>263</v>
      </c>
      <c r="E211" s="94"/>
      <c r="F211" s="80">
        <v>540</v>
      </c>
      <c r="G211" s="80"/>
      <c r="H211" s="80"/>
      <c r="I211" s="80">
        <v>993</v>
      </c>
      <c r="J211" s="28"/>
      <c r="K211" s="28"/>
      <c r="L211" s="21"/>
    </row>
    <row r="212" spans="1:12" hidden="1" x14ac:dyDescent="0.25">
      <c r="A212" s="1815"/>
      <c r="B212" s="1684"/>
      <c r="C212" s="1403"/>
      <c r="D212" s="28" t="s">
        <v>357</v>
      </c>
      <c r="E212" s="94"/>
      <c r="F212" s="97">
        <f>(F211/F209)*100</f>
        <v>34.838709677419352</v>
      </c>
      <c r="G212" s="94"/>
      <c r="H212" s="94"/>
      <c r="I212" s="98">
        <f>I211/I209*100</f>
        <v>51.477449455676513</v>
      </c>
      <c r="J212" s="28"/>
      <c r="K212" s="28"/>
      <c r="L212" s="21"/>
    </row>
    <row r="213" spans="1:12" hidden="1" x14ac:dyDescent="0.25">
      <c r="A213" s="1815"/>
      <c r="B213" s="1684"/>
      <c r="C213" s="1403" t="s">
        <v>394</v>
      </c>
      <c r="D213" s="144" t="s">
        <v>251</v>
      </c>
      <c r="E213" s="94"/>
      <c r="F213" s="80">
        <v>1760</v>
      </c>
      <c r="G213" s="80"/>
      <c r="H213" s="80"/>
      <c r="I213" s="80">
        <v>1266</v>
      </c>
      <c r="J213" s="28"/>
      <c r="K213" s="28"/>
      <c r="L213" s="21"/>
    </row>
    <row r="214" spans="1:12" hidden="1" x14ac:dyDescent="0.25">
      <c r="A214" s="1815"/>
      <c r="B214" s="1684"/>
      <c r="C214" s="1403"/>
      <c r="D214" s="28" t="s">
        <v>257</v>
      </c>
      <c r="E214" s="94"/>
      <c r="F214" s="80">
        <v>1485</v>
      </c>
      <c r="G214" s="80"/>
      <c r="H214" s="80"/>
      <c r="I214" s="80">
        <v>1020</v>
      </c>
      <c r="J214" s="28"/>
      <c r="K214" s="28"/>
      <c r="L214" s="21"/>
    </row>
    <row r="215" spans="1:12" hidden="1" x14ac:dyDescent="0.25">
      <c r="A215" s="1815"/>
      <c r="B215" s="1684"/>
      <c r="C215" s="1403"/>
      <c r="D215" s="28" t="s">
        <v>263</v>
      </c>
      <c r="E215" s="94"/>
      <c r="F215" s="80">
        <v>275</v>
      </c>
      <c r="G215" s="80"/>
      <c r="H215" s="80"/>
      <c r="I215" s="80">
        <v>246</v>
      </c>
      <c r="J215" s="28"/>
      <c r="K215" s="28"/>
      <c r="L215" s="21"/>
    </row>
    <row r="216" spans="1:12" hidden="1" x14ac:dyDescent="0.25">
      <c r="A216" s="1815"/>
      <c r="B216" s="1684"/>
      <c r="C216" s="1403"/>
      <c r="D216" s="28" t="s">
        <v>357</v>
      </c>
      <c r="E216" s="94"/>
      <c r="F216" s="97">
        <f>(F215/F213)*100</f>
        <v>15.625</v>
      </c>
      <c r="G216" s="94"/>
      <c r="H216" s="94"/>
      <c r="I216" s="97">
        <f>I215/I213*100</f>
        <v>19.431279620853083</v>
      </c>
      <c r="J216" s="28"/>
      <c r="K216" s="28"/>
      <c r="L216" s="21"/>
    </row>
    <row r="217" spans="1:12" hidden="1" x14ac:dyDescent="0.25">
      <c r="A217" s="1815"/>
      <c r="B217" s="1684"/>
      <c r="C217" s="1403" t="s">
        <v>395</v>
      </c>
      <c r="D217" s="144" t="s">
        <v>251</v>
      </c>
      <c r="E217" s="94"/>
      <c r="F217" s="80">
        <v>310</v>
      </c>
      <c r="G217" s="80"/>
      <c r="H217" s="80"/>
      <c r="I217" s="80">
        <v>192</v>
      </c>
      <c r="J217" s="94"/>
      <c r="K217" s="28"/>
      <c r="L217" s="21"/>
    </row>
    <row r="218" spans="1:12" ht="14.85" hidden="1" customHeight="1" x14ac:dyDescent="0.25">
      <c r="A218" s="1815"/>
      <c r="B218" s="1684"/>
      <c r="C218" s="1403"/>
      <c r="D218" s="28" t="s">
        <v>257</v>
      </c>
      <c r="E218" s="94"/>
      <c r="F218" s="80">
        <v>250</v>
      </c>
      <c r="G218" s="80"/>
      <c r="H218" s="80"/>
      <c r="I218" s="80">
        <v>156</v>
      </c>
      <c r="J218" s="94"/>
      <c r="K218" s="28"/>
      <c r="L218" s="21"/>
    </row>
    <row r="219" spans="1:12" hidden="1" x14ac:dyDescent="0.25">
      <c r="A219" s="1815"/>
      <c r="B219" s="1684"/>
      <c r="C219" s="1403"/>
      <c r="D219" s="28" t="s">
        <v>263</v>
      </c>
      <c r="E219" s="94"/>
      <c r="F219" s="80">
        <v>60</v>
      </c>
      <c r="G219" s="80"/>
      <c r="H219" s="80"/>
      <c r="I219" s="80">
        <v>36</v>
      </c>
      <c r="J219" s="94"/>
      <c r="K219" s="28"/>
      <c r="L219" s="21"/>
    </row>
    <row r="220" spans="1:12" hidden="1" x14ac:dyDescent="0.25">
      <c r="A220" s="1815"/>
      <c r="B220" s="1684"/>
      <c r="C220" s="1403"/>
      <c r="D220" s="28" t="s">
        <v>357</v>
      </c>
      <c r="E220" s="94"/>
      <c r="F220" s="97">
        <f>(F219/F217)*100</f>
        <v>19.35483870967742</v>
      </c>
      <c r="G220" s="94"/>
      <c r="H220" s="94"/>
      <c r="I220" s="97">
        <f>I219/I217*100</f>
        <v>18.75</v>
      </c>
      <c r="J220" s="94"/>
      <c r="K220" s="28"/>
      <c r="L220" s="21"/>
    </row>
    <row r="221" spans="1:12" hidden="1" x14ac:dyDescent="0.25">
      <c r="A221" s="1815"/>
      <c r="B221" s="1684"/>
      <c r="C221" s="1403" t="s">
        <v>396</v>
      </c>
      <c r="D221" s="144" t="s">
        <v>251</v>
      </c>
      <c r="E221" s="94"/>
      <c r="F221" s="80">
        <v>50</v>
      </c>
      <c r="G221" s="80"/>
      <c r="H221" s="80"/>
      <c r="I221" s="80">
        <v>12</v>
      </c>
      <c r="J221" s="94"/>
      <c r="K221" s="28"/>
      <c r="L221" s="21"/>
    </row>
    <row r="222" spans="1:12" hidden="1" x14ac:dyDescent="0.25">
      <c r="A222" s="1815"/>
      <c r="B222" s="1684"/>
      <c r="C222" s="1403"/>
      <c r="D222" s="28" t="s">
        <v>257</v>
      </c>
      <c r="E222" s="94"/>
      <c r="F222" s="80">
        <v>35</v>
      </c>
      <c r="G222" s="80"/>
      <c r="H222" s="80"/>
      <c r="I222" s="80">
        <v>6</v>
      </c>
      <c r="J222" s="94"/>
      <c r="K222" s="28"/>
      <c r="L222" s="21"/>
    </row>
    <row r="223" spans="1:12" hidden="1" x14ac:dyDescent="0.25">
      <c r="A223" s="1815"/>
      <c r="B223" s="1684"/>
      <c r="C223" s="1403"/>
      <c r="D223" s="28" t="s">
        <v>263</v>
      </c>
      <c r="E223" s="94"/>
      <c r="F223" s="80">
        <v>10</v>
      </c>
      <c r="G223" s="80"/>
      <c r="H223" s="80"/>
      <c r="I223" s="80">
        <v>0</v>
      </c>
      <c r="J223" s="94"/>
      <c r="K223" s="28"/>
      <c r="L223" s="21"/>
    </row>
    <row r="224" spans="1:12" hidden="1" x14ac:dyDescent="0.25">
      <c r="A224" s="1815"/>
      <c r="B224" s="1684"/>
      <c r="C224" s="1403"/>
      <c r="D224" s="28" t="s">
        <v>357</v>
      </c>
      <c r="E224" s="94"/>
      <c r="F224" s="97">
        <f>(F223/F221)*100</f>
        <v>20</v>
      </c>
      <c r="G224" s="94"/>
      <c r="H224" s="94"/>
      <c r="I224" s="97">
        <f>I223/I221*100</f>
        <v>0</v>
      </c>
      <c r="J224" s="94"/>
      <c r="K224" s="28"/>
      <c r="L224" s="21"/>
    </row>
    <row r="225" spans="1:12" hidden="1" x14ac:dyDescent="0.25">
      <c r="A225" s="1815"/>
      <c r="B225" s="1684"/>
      <c r="C225" s="1403" t="s">
        <v>397</v>
      </c>
      <c r="D225" s="144" t="s">
        <v>251</v>
      </c>
      <c r="E225" s="94"/>
      <c r="F225" s="80"/>
      <c r="G225" s="80"/>
      <c r="H225" s="80"/>
      <c r="I225" s="80">
        <v>3</v>
      </c>
      <c r="J225" s="94"/>
      <c r="K225" s="28"/>
      <c r="L225" s="21"/>
    </row>
    <row r="226" spans="1:12" hidden="1" x14ac:dyDescent="0.25">
      <c r="A226" s="1815"/>
      <c r="B226" s="1684"/>
      <c r="C226" s="1403"/>
      <c r="D226" s="28" t="s">
        <v>257</v>
      </c>
      <c r="E226" s="94"/>
      <c r="F226" s="80"/>
      <c r="G226" s="80"/>
      <c r="H226" s="80"/>
      <c r="I226" s="80">
        <v>3</v>
      </c>
      <c r="J226" s="94"/>
      <c r="K226" s="28"/>
      <c r="L226" s="21"/>
    </row>
    <row r="227" spans="1:12" hidden="1" x14ac:dyDescent="0.25">
      <c r="A227" s="1815"/>
      <c r="B227" s="1684"/>
      <c r="C227" s="1403"/>
      <c r="D227" s="28" t="s">
        <v>263</v>
      </c>
      <c r="E227" s="94"/>
      <c r="F227" s="80"/>
      <c r="G227" s="80"/>
      <c r="H227" s="80"/>
      <c r="I227" s="80">
        <v>0</v>
      </c>
      <c r="J227" s="94"/>
      <c r="K227" s="28"/>
      <c r="L227" s="21"/>
    </row>
    <row r="228" spans="1:12" hidden="1" x14ac:dyDescent="0.25">
      <c r="A228" s="1815"/>
      <c r="B228" s="1684"/>
      <c r="C228" s="1403"/>
      <c r="D228" s="28" t="s">
        <v>357</v>
      </c>
      <c r="E228" s="94"/>
      <c r="F228" s="94"/>
      <c r="G228" s="94"/>
      <c r="H228" s="94"/>
      <c r="I228" s="97">
        <f>I227/I225*100</f>
        <v>0</v>
      </c>
      <c r="J228" s="94"/>
      <c r="K228" s="28"/>
      <c r="L228" s="21"/>
    </row>
    <row r="229" spans="1:12" hidden="1" x14ac:dyDescent="0.25">
      <c r="A229" s="1815"/>
      <c r="B229" s="1684"/>
      <c r="C229" s="1403" t="s">
        <v>398</v>
      </c>
      <c r="D229" s="144" t="s">
        <v>251</v>
      </c>
      <c r="E229" s="94"/>
      <c r="F229" s="80">
        <v>10</v>
      </c>
      <c r="G229" s="80"/>
      <c r="H229" s="80"/>
      <c r="I229" s="80">
        <v>3</v>
      </c>
      <c r="J229" s="94"/>
      <c r="K229" s="28"/>
      <c r="L229" s="21"/>
    </row>
    <row r="230" spans="1:12" ht="14.85" hidden="1" customHeight="1" x14ac:dyDescent="0.25">
      <c r="A230" s="1815"/>
      <c r="B230" s="1684"/>
      <c r="C230" s="1403"/>
      <c r="D230" s="28" t="s">
        <v>257</v>
      </c>
      <c r="E230" s="94"/>
      <c r="F230" s="80">
        <v>10</v>
      </c>
      <c r="G230" s="80"/>
      <c r="H230" s="80"/>
      <c r="I230" s="80">
        <v>0</v>
      </c>
      <c r="J230" s="94"/>
      <c r="K230" s="28"/>
      <c r="L230" s="21"/>
    </row>
    <row r="231" spans="1:12" hidden="1" x14ac:dyDescent="0.25">
      <c r="A231" s="1815"/>
      <c r="B231" s="1684"/>
      <c r="C231" s="1403"/>
      <c r="D231" s="28" t="s">
        <v>263</v>
      </c>
      <c r="E231" s="94"/>
      <c r="F231" s="80">
        <v>0</v>
      </c>
      <c r="G231" s="80"/>
      <c r="H231" s="80"/>
      <c r="I231" s="80">
        <v>0</v>
      </c>
      <c r="J231" s="94"/>
      <c r="K231" s="28"/>
      <c r="L231" s="21"/>
    </row>
    <row r="232" spans="1:12" hidden="1" x14ac:dyDescent="0.25">
      <c r="A232" s="1815"/>
      <c r="B232" s="1684"/>
      <c r="C232" s="1403"/>
      <c r="D232" s="28" t="s">
        <v>357</v>
      </c>
      <c r="E232" s="94"/>
      <c r="F232" s="97">
        <f>F231/F229*100</f>
        <v>0</v>
      </c>
      <c r="G232" s="94"/>
      <c r="H232" s="94"/>
      <c r="I232" s="97">
        <f>I231/I229*100</f>
        <v>0</v>
      </c>
      <c r="J232" s="94"/>
      <c r="K232" s="28"/>
      <c r="L232" s="21"/>
    </row>
    <row r="233" spans="1:12" hidden="1" x14ac:dyDescent="0.25">
      <c r="A233" s="1815"/>
      <c r="B233" s="1684"/>
      <c r="C233" s="1403" t="s">
        <v>399</v>
      </c>
      <c r="D233" s="144" t="s">
        <v>251</v>
      </c>
      <c r="E233" s="94"/>
      <c r="F233" s="80">
        <v>1255</v>
      </c>
      <c r="G233" s="80"/>
      <c r="H233" s="80"/>
      <c r="I233" s="80">
        <v>1941</v>
      </c>
      <c r="J233" s="94"/>
      <c r="K233" s="28"/>
      <c r="L233" s="21"/>
    </row>
    <row r="234" spans="1:12" ht="14.85" hidden="1" customHeight="1" x14ac:dyDescent="0.25">
      <c r="A234" s="1815"/>
      <c r="B234" s="1684"/>
      <c r="C234" s="1403"/>
      <c r="D234" s="28" t="s">
        <v>257</v>
      </c>
      <c r="E234" s="94"/>
      <c r="F234" s="80">
        <v>1085</v>
      </c>
      <c r="G234" s="80"/>
      <c r="H234" s="80"/>
      <c r="I234" s="80">
        <v>1875</v>
      </c>
      <c r="J234" s="94"/>
      <c r="K234" s="28"/>
      <c r="L234" s="21"/>
    </row>
    <row r="235" spans="1:12" hidden="1" x14ac:dyDescent="0.25">
      <c r="A235" s="1815"/>
      <c r="B235" s="1684"/>
      <c r="C235" s="1403"/>
      <c r="D235" s="28" t="s">
        <v>263</v>
      </c>
      <c r="E235" s="94"/>
      <c r="F235" s="80">
        <v>170</v>
      </c>
      <c r="G235" s="80"/>
      <c r="H235" s="80"/>
      <c r="I235" s="80">
        <v>66</v>
      </c>
      <c r="J235" s="94"/>
      <c r="K235" s="28"/>
      <c r="L235" s="21"/>
    </row>
    <row r="236" spans="1:12" hidden="1" x14ac:dyDescent="0.25">
      <c r="A236" s="1815"/>
      <c r="B236" s="1684"/>
      <c r="C236" s="1403"/>
      <c r="D236" s="28" t="s">
        <v>357</v>
      </c>
      <c r="E236" s="94"/>
      <c r="F236" s="97">
        <f>(F235/F233)*100</f>
        <v>13.545816733067728</v>
      </c>
      <c r="G236" s="94"/>
      <c r="H236" s="94"/>
      <c r="I236" s="97">
        <f>I235/I233*100</f>
        <v>3.400309119010819</v>
      </c>
      <c r="J236" s="94"/>
      <c r="K236" s="28"/>
      <c r="L236" s="21"/>
    </row>
    <row r="237" spans="1:12" hidden="1" x14ac:dyDescent="0.25">
      <c r="A237" s="1815"/>
      <c r="B237" s="1684"/>
      <c r="C237" s="1403" t="s">
        <v>400</v>
      </c>
      <c r="D237" s="144" t="s">
        <v>251</v>
      </c>
      <c r="E237" s="94"/>
      <c r="F237" s="80">
        <v>995</v>
      </c>
      <c r="G237" s="80"/>
      <c r="H237" s="80"/>
      <c r="I237" s="80">
        <v>714</v>
      </c>
      <c r="J237" s="94"/>
      <c r="K237" s="28"/>
      <c r="L237" s="21"/>
    </row>
    <row r="238" spans="1:12" hidden="1" x14ac:dyDescent="0.25">
      <c r="A238" s="1815"/>
      <c r="B238" s="1684"/>
      <c r="C238" s="1403"/>
      <c r="D238" s="28" t="s">
        <v>257</v>
      </c>
      <c r="E238" s="94"/>
      <c r="F238" s="80">
        <v>915</v>
      </c>
      <c r="G238" s="80"/>
      <c r="H238" s="80"/>
      <c r="I238" s="80">
        <v>663</v>
      </c>
      <c r="J238" s="94"/>
      <c r="K238" s="28"/>
      <c r="L238" s="21"/>
    </row>
    <row r="239" spans="1:12" hidden="1" x14ac:dyDescent="0.25">
      <c r="A239" s="1815"/>
      <c r="B239" s="1684"/>
      <c r="C239" s="1403"/>
      <c r="D239" s="28" t="s">
        <v>263</v>
      </c>
      <c r="E239" s="94"/>
      <c r="F239" s="80">
        <v>85</v>
      </c>
      <c r="G239" s="80"/>
      <c r="H239" s="80"/>
      <c r="I239" s="80">
        <v>51</v>
      </c>
      <c r="J239" s="94"/>
      <c r="K239" s="28"/>
      <c r="L239" s="21"/>
    </row>
    <row r="240" spans="1:12" hidden="1" x14ac:dyDescent="0.25">
      <c r="A240" s="1815"/>
      <c r="B240" s="1684"/>
      <c r="C240" s="1403"/>
      <c r="D240" s="28" t="s">
        <v>357</v>
      </c>
      <c r="E240" s="94"/>
      <c r="F240" s="97">
        <f>(F239/F237)*100</f>
        <v>8.5427135678391952</v>
      </c>
      <c r="G240" s="94"/>
      <c r="H240" s="94"/>
      <c r="I240" s="97">
        <f>I239/I237*100</f>
        <v>7.1428571428571423</v>
      </c>
      <c r="J240" s="94"/>
      <c r="K240" s="28"/>
      <c r="L240" s="21"/>
    </row>
    <row r="241" spans="1:12" ht="14.85" hidden="1" customHeight="1" x14ac:dyDescent="0.25">
      <c r="A241" s="1815"/>
      <c r="B241" s="1684"/>
      <c r="C241" s="1403" t="s">
        <v>401</v>
      </c>
      <c r="D241" s="144" t="s">
        <v>251</v>
      </c>
      <c r="E241" s="94"/>
      <c r="F241" s="80">
        <v>495</v>
      </c>
      <c r="G241" s="80"/>
      <c r="H241" s="80"/>
      <c r="I241" s="80">
        <v>279</v>
      </c>
      <c r="J241" s="94"/>
      <c r="K241" s="28"/>
      <c r="L241" s="21"/>
    </row>
    <row r="242" spans="1:12" hidden="1" x14ac:dyDescent="0.25">
      <c r="A242" s="1815"/>
      <c r="B242" s="1684"/>
      <c r="C242" s="1403"/>
      <c r="D242" s="28" t="s">
        <v>257</v>
      </c>
      <c r="E242" s="94"/>
      <c r="F242" s="80">
        <v>385</v>
      </c>
      <c r="G242" s="80"/>
      <c r="H242" s="80"/>
      <c r="I242" s="80">
        <v>267</v>
      </c>
      <c r="J242" s="94"/>
      <c r="K242" s="28"/>
      <c r="L242" s="21"/>
    </row>
    <row r="243" spans="1:12" hidden="1" x14ac:dyDescent="0.25">
      <c r="A243" s="1815"/>
      <c r="B243" s="1684"/>
      <c r="C243" s="1403"/>
      <c r="D243" s="28" t="s">
        <v>263</v>
      </c>
      <c r="E243" s="94"/>
      <c r="F243" s="80">
        <v>105</v>
      </c>
      <c r="G243" s="80"/>
      <c r="H243" s="80"/>
      <c r="I243" s="80">
        <v>9</v>
      </c>
      <c r="J243" s="94"/>
      <c r="K243" s="28"/>
      <c r="L243" s="21"/>
    </row>
    <row r="244" spans="1:12" hidden="1" x14ac:dyDescent="0.25">
      <c r="A244" s="1815"/>
      <c r="B244" s="1684"/>
      <c r="C244" s="1403"/>
      <c r="D244" s="28" t="s">
        <v>357</v>
      </c>
      <c r="E244" s="94"/>
      <c r="F244" s="97">
        <f>(F243/F241)*100</f>
        <v>21.212121212121211</v>
      </c>
      <c r="G244" s="94"/>
      <c r="H244" s="94"/>
      <c r="I244" s="97">
        <f>I243/I241*100</f>
        <v>3.225806451612903</v>
      </c>
      <c r="J244" s="94"/>
      <c r="K244" s="28"/>
      <c r="L244" s="21"/>
    </row>
    <row r="245" spans="1:12" hidden="1" x14ac:dyDescent="0.25">
      <c r="A245" s="1815"/>
      <c r="B245" s="1684"/>
      <c r="C245" s="1403" t="s">
        <v>402</v>
      </c>
      <c r="D245" s="144" t="s">
        <v>251</v>
      </c>
      <c r="E245" s="94"/>
      <c r="F245" s="80">
        <v>655</v>
      </c>
      <c r="G245" s="80"/>
      <c r="H245" s="80"/>
      <c r="I245" s="80">
        <v>507</v>
      </c>
      <c r="J245" s="94"/>
      <c r="K245" s="28"/>
      <c r="L245" s="21"/>
    </row>
    <row r="246" spans="1:12" hidden="1" x14ac:dyDescent="0.25">
      <c r="A246" s="1815"/>
      <c r="B246" s="1684"/>
      <c r="C246" s="1403"/>
      <c r="D246" s="28" t="s">
        <v>257</v>
      </c>
      <c r="E246" s="94"/>
      <c r="F246" s="80">
        <v>635</v>
      </c>
      <c r="G246" s="80"/>
      <c r="H246" s="80"/>
      <c r="I246" s="80">
        <v>483</v>
      </c>
      <c r="J246" s="94"/>
      <c r="K246" s="28"/>
      <c r="L246" s="21"/>
    </row>
    <row r="247" spans="1:12" hidden="1" x14ac:dyDescent="0.25">
      <c r="A247" s="1815"/>
      <c r="B247" s="1684"/>
      <c r="C247" s="1403"/>
      <c r="D247" s="28" t="s">
        <v>263</v>
      </c>
      <c r="E247" s="94"/>
      <c r="F247" s="80">
        <v>20</v>
      </c>
      <c r="G247" s="80"/>
      <c r="H247" s="80"/>
      <c r="I247" s="80">
        <v>24</v>
      </c>
      <c r="J247" s="94"/>
      <c r="K247" s="28"/>
      <c r="L247" s="21"/>
    </row>
    <row r="248" spans="1:12" hidden="1" x14ac:dyDescent="0.25">
      <c r="A248" s="1815"/>
      <c r="B248" s="1684"/>
      <c r="C248" s="1403"/>
      <c r="D248" s="28" t="s">
        <v>357</v>
      </c>
      <c r="E248" s="94"/>
      <c r="F248" s="97">
        <f>(F247/F245)*100</f>
        <v>3.0534351145038165</v>
      </c>
      <c r="G248" s="94"/>
      <c r="H248" s="94"/>
      <c r="I248" s="97">
        <f>I247/I245*100</f>
        <v>4.7337278106508878</v>
      </c>
      <c r="J248" s="94"/>
      <c r="K248" s="28"/>
      <c r="L248" s="21"/>
    </row>
    <row r="249" spans="1:12" hidden="1" x14ac:dyDescent="0.25">
      <c r="A249" s="1815"/>
      <c r="B249" s="1684"/>
      <c r="C249" s="1403" t="s">
        <v>403</v>
      </c>
      <c r="D249" s="144" t="s">
        <v>251</v>
      </c>
      <c r="E249" s="94"/>
      <c r="F249" s="80">
        <v>795</v>
      </c>
      <c r="G249" s="80"/>
      <c r="H249" s="80"/>
      <c r="I249" s="80">
        <v>777</v>
      </c>
      <c r="J249" s="94"/>
      <c r="K249" s="28"/>
      <c r="L249" s="21"/>
    </row>
    <row r="250" spans="1:12" hidden="1" x14ac:dyDescent="0.25">
      <c r="A250" s="1815"/>
      <c r="B250" s="1684"/>
      <c r="C250" s="1403"/>
      <c r="D250" s="28" t="s">
        <v>257</v>
      </c>
      <c r="E250" s="94"/>
      <c r="F250" s="80">
        <v>730</v>
      </c>
      <c r="G250" s="80"/>
      <c r="H250" s="80"/>
      <c r="I250" s="80">
        <v>735</v>
      </c>
      <c r="J250" s="94"/>
      <c r="K250" s="28"/>
      <c r="L250" s="21"/>
    </row>
    <row r="251" spans="1:12" hidden="1" x14ac:dyDescent="0.25">
      <c r="A251" s="1815"/>
      <c r="B251" s="1684"/>
      <c r="C251" s="1403"/>
      <c r="D251" s="28" t="s">
        <v>263</v>
      </c>
      <c r="E251" s="94"/>
      <c r="F251" s="80">
        <v>70</v>
      </c>
      <c r="G251" s="80"/>
      <c r="H251" s="80"/>
      <c r="I251" s="80">
        <v>39</v>
      </c>
      <c r="J251" s="94"/>
      <c r="K251" s="28"/>
      <c r="L251" s="21"/>
    </row>
    <row r="252" spans="1:12" hidden="1" x14ac:dyDescent="0.25">
      <c r="A252" s="1815"/>
      <c r="B252" s="1684"/>
      <c r="C252" s="1403"/>
      <c r="D252" s="28" t="s">
        <v>357</v>
      </c>
      <c r="E252" s="94"/>
      <c r="F252" s="97">
        <f>(F251/F249)*100</f>
        <v>8.8050314465408803</v>
      </c>
      <c r="G252" s="94"/>
      <c r="H252" s="94"/>
      <c r="I252" s="97">
        <f>I251/I249*100</f>
        <v>5.019305019305019</v>
      </c>
      <c r="J252" s="94"/>
      <c r="K252" s="28"/>
      <c r="L252" s="21"/>
    </row>
    <row r="253" spans="1:12" hidden="1" x14ac:dyDescent="0.25">
      <c r="A253" s="1815"/>
      <c r="B253" s="1684"/>
      <c r="C253" s="1403" t="s">
        <v>404</v>
      </c>
      <c r="D253" s="144" t="s">
        <v>251</v>
      </c>
      <c r="E253" s="94"/>
      <c r="F253" s="80">
        <v>620</v>
      </c>
      <c r="G253" s="80"/>
      <c r="H253" s="80"/>
      <c r="I253" s="80">
        <v>210</v>
      </c>
      <c r="J253" s="94"/>
      <c r="K253" s="28"/>
      <c r="L253" s="21"/>
    </row>
    <row r="254" spans="1:12" ht="14.85" hidden="1" customHeight="1" x14ac:dyDescent="0.25">
      <c r="A254" s="1815"/>
      <c r="B254" s="1684"/>
      <c r="C254" s="1403"/>
      <c r="D254" s="28" t="s">
        <v>257</v>
      </c>
      <c r="E254" s="94"/>
      <c r="F254" s="80">
        <v>400</v>
      </c>
      <c r="G254" s="80"/>
      <c r="H254" s="80"/>
      <c r="I254" s="80">
        <v>153</v>
      </c>
      <c r="J254" s="94"/>
      <c r="K254" s="28"/>
      <c r="L254" s="21"/>
    </row>
    <row r="255" spans="1:12" hidden="1" x14ac:dyDescent="0.25">
      <c r="A255" s="1815"/>
      <c r="B255" s="1684"/>
      <c r="C255" s="1403"/>
      <c r="D255" s="28" t="s">
        <v>263</v>
      </c>
      <c r="E255" s="94"/>
      <c r="F255" s="80">
        <v>220</v>
      </c>
      <c r="G255" s="80"/>
      <c r="H255" s="80"/>
      <c r="I255" s="80">
        <v>60</v>
      </c>
      <c r="J255" s="94"/>
      <c r="K255" s="28"/>
      <c r="L255" s="21"/>
    </row>
    <row r="256" spans="1:12" hidden="1" x14ac:dyDescent="0.25">
      <c r="A256" s="1815"/>
      <c r="B256" s="1684"/>
      <c r="C256" s="1403"/>
      <c r="D256" s="28" t="s">
        <v>357</v>
      </c>
      <c r="E256" s="94"/>
      <c r="F256" s="97">
        <f>(F255/F253)*100</f>
        <v>35.483870967741936</v>
      </c>
      <c r="G256" s="94"/>
      <c r="H256" s="94"/>
      <c r="I256" s="97">
        <f>I255/I253*100</f>
        <v>28.571428571428569</v>
      </c>
      <c r="J256" s="94"/>
      <c r="K256" s="28"/>
      <c r="L256" s="21"/>
    </row>
    <row r="257" spans="1:12" hidden="1" x14ac:dyDescent="0.25">
      <c r="A257" s="1815"/>
      <c r="B257" s="1684"/>
      <c r="C257" s="1403" t="s">
        <v>405</v>
      </c>
      <c r="D257" s="144" t="s">
        <v>251</v>
      </c>
      <c r="E257" s="94"/>
      <c r="F257" s="80">
        <v>175</v>
      </c>
      <c r="G257" s="80"/>
      <c r="H257" s="80"/>
      <c r="I257" s="80">
        <v>171</v>
      </c>
      <c r="J257" s="94"/>
      <c r="K257" s="28"/>
      <c r="L257" s="21"/>
    </row>
    <row r="258" spans="1:12" hidden="1" x14ac:dyDescent="0.25">
      <c r="A258" s="1815"/>
      <c r="B258" s="1684"/>
      <c r="C258" s="1403"/>
      <c r="D258" s="28" t="s">
        <v>257</v>
      </c>
      <c r="E258" s="94"/>
      <c r="F258" s="80">
        <v>140</v>
      </c>
      <c r="G258" s="80"/>
      <c r="H258" s="80"/>
      <c r="I258" s="80">
        <v>120</v>
      </c>
      <c r="J258" s="94"/>
      <c r="K258" s="28"/>
      <c r="L258" s="21"/>
    </row>
    <row r="259" spans="1:12" hidden="1" x14ac:dyDescent="0.25">
      <c r="A259" s="1815"/>
      <c r="B259" s="1684"/>
      <c r="C259" s="1403"/>
      <c r="D259" s="28" t="s">
        <v>263</v>
      </c>
      <c r="E259" s="94"/>
      <c r="F259" s="80">
        <v>35</v>
      </c>
      <c r="G259" s="80"/>
      <c r="H259" s="80"/>
      <c r="I259" s="80">
        <v>48</v>
      </c>
      <c r="J259" s="94"/>
      <c r="K259" s="28"/>
      <c r="L259" s="21"/>
    </row>
    <row r="260" spans="1:12" hidden="1" x14ac:dyDescent="0.25">
      <c r="A260" s="1815"/>
      <c r="B260" s="1684"/>
      <c r="C260" s="1403"/>
      <c r="D260" s="28" t="s">
        <v>357</v>
      </c>
      <c r="E260" s="94"/>
      <c r="F260" s="97">
        <f>(F259/F257)*100</f>
        <v>20</v>
      </c>
      <c r="G260" s="94"/>
      <c r="H260" s="94"/>
      <c r="I260" s="99">
        <f>I259/I257*100</f>
        <v>28.07017543859649</v>
      </c>
      <c r="J260" s="94"/>
      <c r="K260" s="28"/>
      <c r="L260" s="21"/>
    </row>
    <row r="261" spans="1:12" hidden="1" x14ac:dyDescent="0.25">
      <c r="A261" s="1815"/>
      <c r="B261" s="1684"/>
      <c r="C261" s="1403" t="s">
        <v>406</v>
      </c>
      <c r="D261" s="144" t="s">
        <v>251</v>
      </c>
      <c r="E261" s="94"/>
      <c r="F261" s="80">
        <v>330</v>
      </c>
      <c r="G261" s="80"/>
      <c r="H261" s="80"/>
      <c r="I261" s="80">
        <v>441</v>
      </c>
      <c r="J261" s="94"/>
      <c r="K261" s="28"/>
      <c r="L261" s="21"/>
    </row>
    <row r="262" spans="1:12" hidden="1" x14ac:dyDescent="0.25">
      <c r="A262" s="1815"/>
      <c r="B262" s="1684"/>
      <c r="C262" s="1403"/>
      <c r="D262" s="28" t="s">
        <v>257</v>
      </c>
      <c r="E262" s="94"/>
      <c r="F262" s="80">
        <v>180</v>
      </c>
      <c r="G262" s="80"/>
      <c r="H262" s="80"/>
      <c r="I262" s="80">
        <v>315</v>
      </c>
      <c r="J262" s="94"/>
      <c r="K262" s="28"/>
      <c r="L262" s="21"/>
    </row>
    <row r="263" spans="1:12" hidden="1" x14ac:dyDescent="0.25">
      <c r="A263" s="1815"/>
      <c r="B263" s="1684"/>
      <c r="C263" s="1403"/>
      <c r="D263" s="28" t="s">
        <v>263</v>
      </c>
      <c r="E263" s="94"/>
      <c r="F263" s="80">
        <v>150</v>
      </c>
      <c r="G263" s="80"/>
      <c r="H263" s="80"/>
      <c r="I263" s="80">
        <v>126</v>
      </c>
      <c r="J263" s="94"/>
      <c r="K263" s="28"/>
      <c r="L263" s="21"/>
    </row>
    <row r="264" spans="1:12" hidden="1" x14ac:dyDescent="0.25">
      <c r="A264" s="1815"/>
      <c r="B264" s="1684"/>
      <c r="C264" s="1403"/>
      <c r="D264" s="28" t="s">
        <v>357</v>
      </c>
      <c r="E264" s="94"/>
      <c r="F264" s="98">
        <f>(F263/F261)*100</f>
        <v>45.454545454545453</v>
      </c>
      <c r="G264" s="94"/>
      <c r="H264" s="94"/>
      <c r="I264" s="97">
        <f>I263/I261*100</f>
        <v>28.571428571428569</v>
      </c>
      <c r="J264" s="94"/>
      <c r="K264" s="28"/>
      <c r="L264" s="21"/>
    </row>
    <row r="265" spans="1:12" hidden="1" x14ac:dyDescent="0.25">
      <c r="A265" s="1815"/>
      <c r="B265" s="1684"/>
      <c r="C265" s="1403" t="s">
        <v>407</v>
      </c>
      <c r="D265" s="144" t="s">
        <v>251</v>
      </c>
      <c r="E265" s="94"/>
      <c r="F265" s="80">
        <v>530</v>
      </c>
      <c r="G265" s="80"/>
      <c r="H265" s="80"/>
      <c r="I265" s="80">
        <v>324</v>
      </c>
      <c r="J265" s="94"/>
      <c r="K265" s="28"/>
      <c r="L265" s="21"/>
    </row>
    <row r="266" spans="1:12" hidden="1" x14ac:dyDescent="0.25">
      <c r="A266" s="1815"/>
      <c r="B266" s="1684"/>
      <c r="C266" s="1403"/>
      <c r="D266" s="28" t="s">
        <v>257</v>
      </c>
      <c r="E266" s="94"/>
      <c r="F266" s="80">
        <v>340</v>
      </c>
      <c r="G266" s="80"/>
      <c r="H266" s="80"/>
      <c r="I266" s="80">
        <v>213</v>
      </c>
      <c r="J266" s="94"/>
      <c r="K266" s="28"/>
      <c r="L266" s="21"/>
    </row>
    <row r="267" spans="1:12" hidden="1" x14ac:dyDescent="0.25">
      <c r="A267" s="1815"/>
      <c r="B267" s="1684"/>
      <c r="C267" s="1403"/>
      <c r="D267" s="28" t="s">
        <v>263</v>
      </c>
      <c r="E267" s="94"/>
      <c r="F267" s="80">
        <v>190</v>
      </c>
      <c r="G267" s="80"/>
      <c r="H267" s="80"/>
      <c r="I267" s="80">
        <v>111</v>
      </c>
      <c r="J267" s="94"/>
      <c r="K267" s="28"/>
      <c r="L267" s="21"/>
    </row>
    <row r="268" spans="1:12" hidden="1" x14ac:dyDescent="0.25">
      <c r="A268" s="1815"/>
      <c r="B268" s="1684"/>
      <c r="C268" s="1403"/>
      <c r="D268" s="28" t="s">
        <v>357</v>
      </c>
      <c r="E268" s="94"/>
      <c r="F268" s="97">
        <f>(F267/F265)*100</f>
        <v>35.849056603773583</v>
      </c>
      <c r="G268" s="94"/>
      <c r="H268" s="94"/>
      <c r="I268" s="97">
        <f>I267/I265*100</f>
        <v>34.25925925925926</v>
      </c>
      <c r="J268" s="94"/>
      <c r="K268" s="28"/>
      <c r="L268" s="21"/>
    </row>
    <row r="269" spans="1:12" hidden="1" x14ac:dyDescent="0.25">
      <c r="A269" s="1815"/>
      <c r="B269" s="1684"/>
      <c r="C269" s="1403" t="s">
        <v>408</v>
      </c>
      <c r="D269" s="144" t="s">
        <v>251</v>
      </c>
      <c r="E269" s="94"/>
      <c r="F269" s="80">
        <v>105</v>
      </c>
      <c r="G269" s="80"/>
      <c r="H269" s="80"/>
      <c r="I269" s="80">
        <v>150</v>
      </c>
      <c r="J269" s="94"/>
      <c r="K269" s="28"/>
      <c r="L269" s="21"/>
    </row>
    <row r="270" spans="1:12" hidden="1" x14ac:dyDescent="0.25">
      <c r="A270" s="1815"/>
      <c r="B270" s="1684"/>
      <c r="C270" s="1403"/>
      <c r="D270" s="28" t="s">
        <v>257</v>
      </c>
      <c r="E270" s="94"/>
      <c r="F270" s="80">
        <v>105</v>
      </c>
      <c r="G270" s="80"/>
      <c r="H270" s="80"/>
      <c r="I270" s="80">
        <v>123</v>
      </c>
      <c r="J270" s="94"/>
      <c r="K270" s="28"/>
      <c r="L270" s="21"/>
    </row>
    <row r="271" spans="1:12" hidden="1" x14ac:dyDescent="0.25">
      <c r="A271" s="1815"/>
      <c r="B271" s="1684"/>
      <c r="C271" s="1403"/>
      <c r="D271" s="28" t="s">
        <v>263</v>
      </c>
      <c r="E271" s="94"/>
      <c r="F271" s="80">
        <v>0</v>
      </c>
      <c r="G271" s="80"/>
      <c r="H271" s="80"/>
      <c r="I271" s="80">
        <v>27</v>
      </c>
      <c r="J271" s="94"/>
      <c r="K271" s="28"/>
      <c r="L271" s="21"/>
    </row>
    <row r="272" spans="1:12" hidden="1" x14ac:dyDescent="0.25">
      <c r="A272" s="1815"/>
      <c r="B272" s="1684"/>
      <c r="C272" s="1403"/>
      <c r="D272" s="28" t="s">
        <v>357</v>
      </c>
      <c r="E272" s="94"/>
      <c r="F272" s="97">
        <f>(F271/F269)*100</f>
        <v>0</v>
      </c>
      <c r="G272" s="94"/>
      <c r="H272" s="94"/>
      <c r="I272" s="97">
        <f>I271/I269*100</f>
        <v>18</v>
      </c>
      <c r="J272" s="94"/>
      <c r="K272" s="28"/>
      <c r="L272" s="21"/>
    </row>
    <row r="273" spans="1:12" ht="14.85" hidden="1" customHeight="1" x14ac:dyDescent="0.25">
      <c r="A273" s="1815"/>
      <c r="B273" s="1684"/>
      <c r="C273" s="1403" t="s">
        <v>409</v>
      </c>
      <c r="D273" s="144" t="s">
        <v>251</v>
      </c>
      <c r="E273" s="94"/>
      <c r="F273" s="80">
        <v>195</v>
      </c>
      <c r="G273" s="80"/>
      <c r="H273" s="80"/>
      <c r="I273" s="80">
        <v>201</v>
      </c>
      <c r="J273" s="94"/>
      <c r="K273" s="28"/>
      <c r="L273" s="21"/>
    </row>
    <row r="274" spans="1:12" ht="14.85" hidden="1" customHeight="1" x14ac:dyDescent="0.25">
      <c r="A274" s="1815"/>
      <c r="B274" s="1684"/>
      <c r="C274" s="1403"/>
      <c r="D274" s="28" t="s">
        <v>257</v>
      </c>
      <c r="E274" s="94"/>
      <c r="F274" s="80">
        <v>195</v>
      </c>
      <c r="G274" s="80"/>
      <c r="H274" s="80"/>
      <c r="I274" s="80">
        <v>186</v>
      </c>
      <c r="J274" s="94"/>
      <c r="K274" s="28"/>
      <c r="L274" s="21"/>
    </row>
    <row r="275" spans="1:12" hidden="1" x14ac:dyDescent="0.25">
      <c r="A275" s="1815"/>
      <c r="B275" s="1684"/>
      <c r="C275" s="1403"/>
      <c r="D275" s="28" t="s">
        <v>263</v>
      </c>
      <c r="E275" s="94"/>
      <c r="F275" s="80">
        <v>0</v>
      </c>
      <c r="G275" s="80"/>
      <c r="H275" s="80"/>
      <c r="I275" s="80">
        <v>12</v>
      </c>
      <c r="J275" s="94"/>
      <c r="K275" s="28"/>
      <c r="L275" s="21"/>
    </row>
    <row r="276" spans="1:12" hidden="1" x14ac:dyDescent="0.25">
      <c r="A276" s="1815"/>
      <c r="B276" s="1684"/>
      <c r="C276" s="1403"/>
      <c r="D276" s="28" t="s">
        <v>357</v>
      </c>
      <c r="E276" s="94"/>
      <c r="F276" s="97">
        <f>(F275/F273)*100</f>
        <v>0</v>
      </c>
      <c r="G276" s="94"/>
      <c r="H276" s="94"/>
      <c r="I276" s="97">
        <f>I275/I273*100</f>
        <v>5.9701492537313428</v>
      </c>
      <c r="J276" s="94"/>
      <c r="K276" s="28"/>
      <c r="L276" s="21"/>
    </row>
    <row r="277" spans="1:12" hidden="1" x14ac:dyDescent="0.25">
      <c r="A277" s="1815"/>
      <c r="B277" s="1684"/>
      <c r="C277" s="1403" t="s">
        <v>410</v>
      </c>
      <c r="D277" s="144" t="s">
        <v>251</v>
      </c>
      <c r="E277" s="94"/>
      <c r="F277" s="80">
        <v>2285</v>
      </c>
      <c r="G277" s="80"/>
      <c r="H277" s="80"/>
      <c r="I277" s="80">
        <v>2289</v>
      </c>
      <c r="J277" s="94"/>
      <c r="K277" s="28"/>
      <c r="L277" s="21"/>
    </row>
    <row r="278" spans="1:12" hidden="1" x14ac:dyDescent="0.25">
      <c r="A278" s="1815"/>
      <c r="B278" s="1684"/>
      <c r="C278" s="1403"/>
      <c r="D278" s="28" t="s">
        <v>257</v>
      </c>
      <c r="E278" s="94"/>
      <c r="F278" s="80">
        <v>2035</v>
      </c>
      <c r="G278" s="80"/>
      <c r="H278" s="80"/>
      <c r="I278" s="80">
        <v>2148</v>
      </c>
      <c r="J278" s="94"/>
      <c r="K278" s="28"/>
      <c r="L278" s="21"/>
    </row>
    <row r="279" spans="1:12" hidden="1" x14ac:dyDescent="0.25">
      <c r="A279" s="1815"/>
      <c r="B279" s="1684"/>
      <c r="C279" s="1403"/>
      <c r="D279" s="28" t="s">
        <v>263</v>
      </c>
      <c r="E279" s="94"/>
      <c r="F279" s="80">
        <v>250</v>
      </c>
      <c r="G279" s="80"/>
      <c r="H279" s="80"/>
      <c r="I279" s="80">
        <v>141</v>
      </c>
      <c r="J279" s="94"/>
      <c r="K279" s="28"/>
      <c r="L279" s="21"/>
    </row>
    <row r="280" spans="1:12" hidden="1" x14ac:dyDescent="0.25">
      <c r="A280" s="1815"/>
      <c r="B280" s="1684"/>
      <c r="C280" s="1403"/>
      <c r="D280" s="28" t="s">
        <v>357</v>
      </c>
      <c r="E280" s="94"/>
      <c r="F280" s="97">
        <f>(F279/F277)*100</f>
        <v>10.940919037199125</v>
      </c>
      <c r="G280" s="94"/>
      <c r="H280" s="94"/>
      <c r="I280" s="97">
        <f>I279/I277*100</f>
        <v>6.1598951507208382</v>
      </c>
      <c r="J280" s="94"/>
      <c r="K280" s="28"/>
      <c r="L280" s="21"/>
    </row>
    <row r="281" spans="1:12" hidden="1" x14ac:dyDescent="0.25">
      <c r="A281" s="1815"/>
      <c r="B281" s="1684"/>
      <c r="C281" s="1403" t="s">
        <v>411</v>
      </c>
      <c r="D281" s="144" t="s">
        <v>251</v>
      </c>
      <c r="E281" s="94"/>
      <c r="F281" s="80">
        <v>2445</v>
      </c>
      <c r="G281" s="80"/>
      <c r="H281" s="80"/>
      <c r="I281" s="80">
        <v>3393</v>
      </c>
      <c r="J281" s="94"/>
      <c r="K281" s="28"/>
      <c r="L281" s="21"/>
    </row>
    <row r="282" spans="1:12" hidden="1" x14ac:dyDescent="0.25">
      <c r="A282" s="1815"/>
      <c r="B282" s="1684"/>
      <c r="C282" s="1403"/>
      <c r="D282" s="28" t="s">
        <v>257</v>
      </c>
      <c r="E282" s="94"/>
      <c r="F282" s="80">
        <v>100</v>
      </c>
      <c r="G282" s="80"/>
      <c r="H282" s="80"/>
      <c r="I282" s="80">
        <v>105</v>
      </c>
      <c r="J282" s="94"/>
      <c r="K282" s="28"/>
      <c r="L282" s="21"/>
    </row>
    <row r="283" spans="1:12" hidden="1" x14ac:dyDescent="0.25">
      <c r="A283" s="1815"/>
      <c r="B283" s="1684"/>
      <c r="C283" s="1403"/>
      <c r="D283" s="28" t="s">
        <v>263</v>
      </c>
      <c r="E283" s="94"/>
      <c r="F283" s="80">
        <v>2350</v>
      </c>
      <c r="G283" s="80"/>
      <c r="H283" s="80"/>
      <c r="I283" s="80">
        <v>3288</v>
      </c>
      <c r="J283" s="94"/>
      <c r="K283" s="28"/>
      <c r="L283" s="21"/>
    </row>
    <row r="284" spans="1:12" hidden="1" x14ac:dyDescent="0.25">
      <c r="A284" s="1815"/>
      <c r="B284" s="1684"/>
      <c r="C284" s="1403"/>
      <c r="D284" s="28" t="s">
        <v>357</v>
      </c>
      <c r="E284" s="94"/>
      <c r="F284" s="99">
        <f>(F283/F281)*100</f>
        <v>96.114519427402868</v>
      </c>
      <c r="G284" s="94"/>
      <c r="H284" s="94"/>
      <c r="I284" s="99">
        <f>I283/I281*100</f>
        <v>96.905393457117597</v>
      </c>
      <c r="J284" s="94"/>
      <c r="K284" s="28"/>
      <c r="L284" s="21"/>
    </row>
    <row r="285" spans="1:12" hidden="1" x14ac:dyDescent="0.25">
      <c r="A285" s="1815"/>
      <c r="B285" s="1684"/>
      <c r="C285" s="1403" t="s">
        <v>412</v>
      </c>
      <c r="D285" s="144" t="s">
        <v>251</v>
      </c>
      <c r="E285" s="94"/>
      <c r="F285" s="80">
        <v>2905</v>
      </c>
      <c r="G285" s="80"/>
      <c r="H285" s="80"/>
      <c r="I285" s="80">
        <v>3837</v>
      </c>
      <c r="J285" s="94"/>
      <c r="K285" s="28"/>
      <c r="L285" s="21"/>
    </row>
    <row r="286" spans="1:12" hidden="1" x14ac:dyDescent="0.25">
      <c r="A286" s="1815"/>
      <c r="B286" s="1684"/>
      <c r="C286" s="1403"/>
      <c r="D286" s="28" t="s">
        <v>257</v>
      </c>
      <c r="E286" s="94"/>
      <c r="F286" s="80">
        <v>545</v>
      </c>
      <c r="G286" s="80"/>
      <c r="H286" s="80"/>
      <c r="I286" s="80">
        <v>822</v>
      </c>
      <c r="J286" s="94"/>
      <c r="K286" s="28"/>
      <c r="L286" s="21"/>
    </row>
    <row r="287" spans="1:12" hidden="1" x14ac:dyDescent="0.25">
      <c r="A287" s="1815"/>
      <c r="B287" s="1684"/>
      <c r="C287" s="1403"/>
      <c r="D287" s="28" t="s">
        <v>263</v>
      </c>
      <c r="E287" s="94"/>
      <c r="F287" s="80">
        <v>2365</v>
      </c>
      <c r="G287" s="80"/>
      <c r="H287" s="80"/>
      <c r="I287" s="80">
        <v>3015</v>
      </c>
      <c r="J287" s="94"/>
      <c r="K287" s="28"/>
      <c r="L287" s="21"/>
    </row>
    <row r="288" spans="1:12" hidden="1" x14ac:dyDescent="0.25">
      <c r="A288" s="1815"/>
      <c r="B288" s="1684"/>
      <c r="C288" s="1403"/>
      <c r="D288" s="28" t="s">
        <v>357</v>
      </c>
      <c r="E288" s="94"/>
      <c r="F288" s="99">
        <f>(F287/F285)*100</f>
        <v>81.411359724612737</v>
      </c>
      <c r="G288" s="94"/>
      <c r="H288" s="94"/>
      <c r="I288" s="99">
        <f>I287/I285*100</f>
        <v>78.577013291634088</v>
      </c>
      <c r="J288" s="94"/>
      <c r="K288" s="28"/>
      <c r="L288" s="21"/>
    </row>
    <row r="289" spans="1:12" hidden="1" x14ac:dyDescent="0.25">
      <c r="A289" s="1815"/>
      <c r="B289" s="1684"/>
      <c r="C289" s="1403" t="s">
        <v>413</v>
      </c>
      <c r="D289" s="144" t="s">
        <v>251</v>
      </c>
      <c r="E289" s="94"/>
      <c r="F289" s="80">
        <v>685</v>
      </c>
      <c r="G289" s="80"/>
      <c r="H289" s="80"/>
      <c r="I289" s="80">
        <v>483</v>
      </c>
      <c r="J289" s="94"/>
      <c r="K289" s="28"/>
      <c r="L289" s="21"/>
    </row>
    <row r="290" spans="1:12" ht="14.85" hidden="1" customHeight="1" x14ac:dyDescent="0.25">
      <c r="A290" s="1815"/>
      <c r="B290" s="1684"/>
      <c r="C290" s="1403"/>
      <c r="D290" s="28" t="s">
        <v>257</v>
      </c>
      <c r="E290" s="94"/>
      <c r="F290" s="80">
        <v>165</v>
      </c>
      <c r="G290" s="80"/>
      <c r="H290" s="80"/>
      <c r="I290" s="80">
        <v>243</v>
      </c>
      <c r="J290" s="94"/>
      <c r="K290" s="28"/>
      <c r="L290" s="21"/>
    </row>
    <row r="291" spans="1:12" hidden="1" x14ac:dyDescent="0.25">
      <c r="A291" s="1815"/>
      <c r="B291" s="1684"/>
      <c r="C291" s="1403"/>
      <c r="D291" s="28" t="s">
        <v>263</v>
      </c>
      <c r="E291" s="94"/>
      <c r="F291" s="80">
        <v>525</v>
      </c>
      <c r="G291" s="80"/>
      <c r="H291" s="80"/>
      <c r="I291" s="80">
        <v>240</v>
      </c>
      <c r="J291" s="94"/>
      <c r="K291" s="28"/>
      <c r="L291" s="21"/>
    </row>
    <row r="292" spans="1:12" hidden="1" x14ac:dyDescent="0.25">
      <c r="A292" s="1815"/>
      <c r="B292" s="1684"/>
      <c r="C292" s="1403"/>
      <c r="D292" s="28" t="s">
        <v>357</v>
      </c>
      <c r="E292" s="94"/>
      <c r="F292" s="99">
        <f>(F291/F289)*100</f>
        <v>76.642335766423358</v>
      </c>
      <c r="G292" s="94"/>
      <c r="H292" s="94"/>
      <c r="I292" s="98">
        <f>I291/I289*100</f>
        <v>49.689440993788821</v>
      </c>
      <c r="J292" s="94"/>
      <c r="K292" s="28"/>
      <c r="L292" s="21"/>
    </row>
    <row r="293" spans="1:12" ht="14.85" hidden="1" customHeight="1" x14ac:dyDescent="0.25">
      <c r="A293" s="1815"/>
      <c r="B293" s="1684"/>
      <c r="C293" s="1403" t="s">
        <v>414</v>
      </c>
      <c r="D293" s="144" t="s">
        <v>251</v>
      </c>
      <c r="E293" s="94"/>
      <c r="F293" s="80">
        <v>565</v>
      </c>
      <c r="G293" s="80"/>
      <c r="H293" s="80"/>
      <c r="I293" s="80">
        <v>882</v>
      </c>
      <c r="J293" s="94"/>
      <c r="K293" s="28"/>
      <c r="L293" s="21"/>
    </row>
    <row r="294" spans="1:12" ht="14.85" hidden="1" customHeight="1" x14ac:dyDescent="0.25">
      <c r="A294" s="1815"/>
      <c r="B294" s="1684"/>
      <c r="C294" s="1403"/>
      <c r="D294" s="28" t="s">
        <v>257</v>
      </c>
      <c r="E294" s="94"/>
      <c r="F294" s="80">
        <v>435</v>
      </c>
      <c r="G294" s="80"/>
      <c r="H294" s="80"/>
      <c r="I294" s="80">
        <v>651</v>
      </c>
      <c r="J294" s="94"/>
      <c r="K294" s="28"/>
      <c r="L294" s="21"/>
    </row>
    <row r="295" spans="1:12" hidden="1" x14ac:dyDescent="0.25">
      <c r="A295" s="1815"/>
      <c r="B295" s="1684"/>
      <c r="C295" s="1403"/>
      <c r="D295" s="28" t="s">
        <v>263</v>
      </c>
      <c r="E295" s="94"/>
      <c r="F295" s="80">
        <v>135</v>
      </c>
      <c r="G295" s="80"/>
      <c r="H295" s="80"/>
      <c r="I295" s="80">
        <v>234</v>
      </c>
      <c r="J295" s="94"/>
      <c r="K295" s="28"/>
      <c r="L295" s="21"/>
    </row>
    <row r="296" spans="1:12" hidden="1" x14ac:dyDescent="0.25">
      <c r="A296" s="1815"/>
      <c r="B296" s="1684"/>
      <c r="C296" s="1403"/>
      <c r="D296" s="28" t="s">
        <v>357</v>
      </c>
      <c r="E296" s="94"/>
      <c r="F296" s="97">
        <f>(F295/F293)*100</f>
        <v>23.893805309734514</v>
      </c>
      <c r="G296" s="94"/>
      <c r="H296" s="94"/>
      <c r="I296" s="97">
        <f>I295/I293*100</f>
        <v>26.530612244897959</v>
      </c>
      <c r="J296" s="94"/>
      <c r="K296" s="28"/>
      <c r="L296" s="21"/>
    </row>
    <row r="297" spans="1:12" hidden="1" x14ac:dyDescent="0.25">
      <c r="A297" s="1815"/>
      <c r="B297" s="1684"/>
      <c r="C297" s="1403" t="s">
        <v>415</v>
      </c>
      <c r="D297" s="144" t="s">
        <v>251</v>
      </c>
      <c r="E297" s="94"/>
      <c r="F297" s="80">
        <v>70</v>
      </c>
      <c r="G297" s="80"/>
      <c r="H297" s="80"/>
      <c r="I297" s="80">
        <v>129</v>
      </c>
      <c r="J297" s="94"/>
      <c r="K297" s="28"/>
      <c r="L297" s="21"/>
    </row>
    <row r="298" spans="1:12" hidden="1" x14ac:dyDescent="0.25">
      <c r="A298" s="1815"/>
      <c r="B298" s="1684"/>
      <c r="C298" s="1403"/>
      <c r="D298" s="28" t="s">
        <v>257</v>
      </c>
      <c r="E298" s="94"/>
      <c r="F298" s="80">
        <v>40</v>
      </c>
      <c r="G298" s="80"/>
      <c r="H298" s="80"/>
      <c r="I298" s="80">
        <v>105</v>
      </c>
      <c r="J298" s="94"/>
      <c r="K298" s="28"/>
      <c r="L298" s="21"/>
    </row>
    <row r="299" spans="1:12" hidden="1" x14ac:dyDescent="0.25">
      <c r="A299" s="1815"/>
      <c r="B299" s="1684"/>
      <c r="C299" s="1403"/>
      <c r="D299" s="28" t="s">
        <v>263</v>
      </c>
      <c r="E299" s="94"/>
      <c r="F299" s="80">
        <v>30</v>
      </c>
      <c r="G299" s="80"/>
      <c r="H299" s="80"/>
      <c r="I299" s="80">
        <v>24</v>
      </c>
      <c r="J299" s="94"/>
      <c r="K299" s="28"/>
      <c r="L299" s="21"/>
    </row>
    <row r="300" spans="1:12" hidden="1" x14ac:dyDescent="0.25">
      <c r="A300" s="1815"/>
      <c r="B300" s="1684"/>
      <c r="C300" s="1403"/>
      <c r="D300" s="28" t="s">
        <v>357</v>
      </c>
      <c r="E300" s="94"/>
      <c r="F300" s="98">
        <f>(F299/F297)*100</f>
        <v>42.857142857142854</v>
      </c>
      <c r="G300" s="94"/>
      <c r="H300" s="94"/>
      <c r="I300" s="97">
        <f>I299/I297*100</f>
        <v>18.604651162790699</v>
      </c>
      <c r="J300" s="94"/>
      <c r="K300" s="28"/>
      <c r="L300" s="21"/>
    </row>
    <row r="301" spans="1:12" hidden="1" x14ac:dyDescent="0.25">
      <c r="A301" s="1815"/>
      <c r="B301" s="1684"/>
      <c r="C301" s="1403" t="s">
        <v>416</v>
      </c>
      <c r="D301" s="144" t="s">
        <v>251</v>
      </c>
      <c r="E301" s="94"/>
      <c r="F301" s="80">
        <v>430</v>
      </c>
      <c r="G301" s="80"/>
      <c r="H301" s="80"/>
      <c r="I301" s="80">
        <v>279</v>
      </c>
      <c r="J301" s="94"/>
      <c r="K301" s="28"/>
      <c r="L301" s="21"/>
    </row>
    <row r="302" spans="1:12" hidden="1" x14ac:dyDescent="0.25">
      <c r="A302" s="1815"/>
      <c r="B302" s="1684"/>
      <c r="C302" s="1403"/>
      <c r="D302" s="28" t="s">
        <v>257</v>
      </c>
      <c r="E302" s="94"/>
      <c r="F302" s="80">
        <v>380</v>
      </c>
      <c r="G302" s="80"/>
      <c r="H302" s="80"/>
      <c r="I302" s="80">
        <v>273</v>
      </c>
      <c r="J302" s="94"/>
      <c r="K302" s="28"/>
      <c r="L302" s="21"/>
    </row>
    <row r="303" spans="1:12" hidden="1" x14ac:dyDescent="0.25">
      <c r="A303" s="1815"/>
      <c r="B303" s="1684"/>
      <c r="C303" s="1403"/>
      <c r="D303" s="28" t="s">
        <v>263</v>
      </c>
      <c r="E303" s="94"/>
      <c r="F303" s="80">
        <v>50</v>
      </c>
      <c r="G303" s="80"/>
      <c r="H303" s="80"/>
      <c r="I303" s="80">
        <v>6</v>
      </c>
      <c r="J303" s="94"/>
      <c r="K303" s="28"/>
      <c r="L303" s="21"/>
    </row>
    <row r="304" spans="1:12" hidden="1" x14ac:dyDescent="0.25">
      <c r="A304" s="1815"/>
      <c r="B304" s="1684"/>
      <c r="C304" s="1403"/>
      <c r="D304" s="28" t="s">
        <v>357</v>
      </c>
      <c r="E304" s="94"/>
      <c r="F304" s="97">
        <f>(F303/F301)*100</f>
        <v>11.627906976744185</v>
      </c>
      <c r="G304" s="94"/>
      <c r="H304" s="94"/>
      <c r="I304" s="97">
        <f>I303/I301*100</f>
        <v>2.1505376344086025</v>
      </c>
      <c r="J304" s="94"/>
      <c r="K304" s="28"/>
      <c r="L304" s="21"/>
    </row>
    <row r="305" spans="1:12" hidden="1" x14ac:dyDescent="0.25">
      <c r="A305" s="1815"/>
      <c r="B305" s="1684"/>
      <c r="C305" s="1403" t="s">
        <v>417</v>
      </c>
      <c r="D305" s="144" t="s">
        <v>251</v>
      </c>
      <c r="E305" s="94"/>
      <c r="F305" s="80">
        <v>120</v>
      </c>
      <c r="G305" s="80"/>
      <c r="H305" s="80"/>
      <c r="I305" s="80">
        <v>411</v>
      </c>
      <c r="J305" s="94"/>
      <c r="K305" s="28"/>
      <c r="L305" s="21"/>
    </row>
    <row r="306" spans="1:12" hidden="1" x14ac:dyDescent="0.25">
      <c r="A306" s="1815"/>
      <c r="B306" s="1684"/>
      <c r="C306" s="1403"/>
      <c r="D306" s="28" t="s">
        <v>257</v>
      </c>
      <c r="E306" s="94"/>
      <c r="F306" s="80">
        <v>75</v>
      </c>
      <c r="G306" s="80"/>
      <c r="H306" s="80"/>
      <c r="I306" s="80">
        <v>315</v>
      </c>
      <c r="J306" s="94"/>
      <c r="K306" s="28"/>
      <c r="L306" s="21"/>
    </row>
    <row r="307" spans="1:12" hidden="1" x14ac:dyDescent="0.25">
      <c r="A307" s="1815"/>
      <c r="B307" s="1684"/>
      <c r="C307" s="1403"/>
      <c r="D307" s="28" t="s">
        <v>263</v>
      </c>
      <c r="E307" s="94"/>
      <c r="F307" s="80">
        <v>45</v>
      </c>
      <c r="G307" s="80"/>
      <c r="H307" s="80"/>
      <c r="I307" s="80">
        <v>96</v>
      </c>
      <c r="J307" s="94"/>
      <c r="K307" s="28"/>
      <c r="L307" s="21"/>
    </row>
    <row r="308" spans="1:12" hidden="1" x14ac:dyDescent="0.25">
      <c r="A308" s="1815"/>
      <c r="B308" s="1684"/>
      <c r="C308" s="1403"/>
      <c r="D308" s="28" t="s">
        <v>357</v>
      </c>
      <c r="E308" s="94"/>
      <c r="F308" s="97">
        <f>F307/F305*100</f>
        <v>37.5</v>
      </c>
      <c r="G308" s="94"/>
      <c r="H308" s="94"/>
      <c r="I308" s="97">
        <f>I307/I305*100</f>
        <v>23.357664233576642</v>
      </c>
      <c r="J308" s="94"/>
      <c r="K308" s="28"/>
      <c r="L308" s="21"/>
    </row>
    <row r="309" spans="1:12" hidden="1" x14ac:dyDescent="0.25">
      <c r="A309" s="1815"/>
      <c r="B309" s="1684"/>
      <c r="C309" s="1403" t="s">
        <v>418</v>
      </c>
      <c r="D309" s="144" t="s">
        <v>251</v>
      </c>
      <c r="E309" s="94"/>
      <c r="F309" s="80">
        <v>905</v>
      </c>
      <c r="G309" s="80"/>
      <c r="H309" s="80"/>
      <c r="I309" s="80">
        <v>1398</v>
      </c>
      <c r="J309" s="94"/>
      <c r="K309" s="28"/>
      <c r="L309" s="21"/>
    </row>
    <row r="310" spans="1:12" hidden="1" x14ac:dyDescent="0.25">
      <c r="A310" s="1815"/>
      <c r="B310" s="1684"/>
      <c r="C310" s="1403"/>
      <c r="D310" s="28" t="s">
        <v>263</v>
      </c>
      <c r="E310" s="94"/>
      <c r="F310" s="80">
        <v>705</v>
      </c>
      <c r="G310" s="80"/>
      <c r="H310" s="80"/>
      <c r="I310" s="80">
        <v>1131</v>
      </c>
      <c r="J310" s="94"/>
      <c r="K310" s="28"/>
      <c r="L310" s="21"/>
    </row>
    <row r="311" spans="1:12" ht="14.85" hidden="1" customHeight="1" x14ac:dyDescent="0.25">
      <c r="A311" s="1815"/>
      <c r="B311" s="1684"/>
      <c r="C311" s="1403"/>
      <c r="D311" s="28" t="s">
        <v>257</v>
      </c>
      <c r="E311" s="94"/>
      <c r="F311" s="80">
        <v>200</v>
      </c>
      <c r="G311" s="80"/>
      <c r="H311" s="80"/>
      <c r="I311" s="80">
        <v>270</v>
      </c>
      <c r="J311" s="94"/>
      <c r="K311" s="28"/>
      <c r="L311" s="21"/>
    </row>
    <row r="312" spans="1:12" hidden="1" x14ac:dyDescent="0.25">
      <c r="A312" s="1815"/>
      <c r="B312" s="1684"/>
      <c r="C312" s="1403"/>
      <c r="D312" s="28" t="s">
        <v>357</v>
      </c>
      <c r="E312" s="94"/>
      <c r="F312" s="97">
        <f>(F311/F309)*100</f>
        <v>22.099447513812155</v>
      </c>
      <c r="G312" s="94"/>
      <c r="H312" s="94"/>
      <c r="I312" s="97">
        <f>I311/I309*100</f>
        <v>19.313304721030043</v>
      </c>
      <c r="J312" s="94"/>
      <c r="K312" s="28"/>
      <c r="L312" s="21"/>
    </row>
    <row r="313" spans="1:12" x14ac:dyDescent="0.25">
      <c r="A313" s="1815"/>
      <c r="B313" s="1684"/>
      <c r="C313" s="1110" t="s">
        <v>419</v>
      </c>
      <c r="D313" s="1110"/>
      <c r="E313" s="92"/>
      <c r="F313" s="100">
        <f>33/61*100</f>
        <v>54.098360655737707</v>
      </c>
      <c r="G313" s="92"/>
      <c r="H313" s="92"/>
      <c r="I313" s="101">
        <f>32/61*100</f>
        <v>52.459016393442624</v>
      </c>
      <c r="J313" s="92"/>
      <c r="K313" s="44"/>
      <c r="L313" s="317"/>
    </row>
    <row r="314" spans="1:12" x14ac:dyDescent="0.25">
      <c r="A314" s="1815"/>
      <c r="B314" s="1684"/>
      <c r="C314" s="1110" t="s">
        <v>420</v>
      </c>
      <c r="D314" s="1110"/>
      <c r="E314" s="92"/>
      <c r="F314" s="102">
        <f>16/61*100</f>
        <v>26.229508196721312</v>
      </c>
      <c r="G314" s="92"/>
      <c r="H314" s="92"/>
      <c r="I314" s="102">
        <f>14/61*100</f>
        <v>22.950819672131146</v>
      </c>
      <c r="J314" s="92"/>
      <c r="K314" s="44"/>
      <c r="L314" s="317"/>
    </row>
    <row r="315" spans="1:12" x14ac:dyDescent="0.25">
      <c r="A315" s="1816"/>
      <c r="B315" s="1685"/>
      <c r="C315" s="1157" t="s">
        <v>421</v>
      </c>
      <c r="D315" s="1157"/>
      <c r="E315" s="128"/>
      <c r="F315" s="127">
        <f>12/61*100</f>
        <v>19.672131147540984</v>
      </c>
      <c r="G315" s="128"/>
      <c r="H315" s="128"/>
      <c r="I315" s="127">
        <f>15/61*100</f>
        <v>24.590163934426229</v>
      </c>
      <c r="J315" s="128"/>
      <c r="K315" s="336"/>
      <c r="L315" s="352"/>
    </row>
    <row r="316" spans="1:12" x14ac:dyDescent="0.25">
      <c r="A316" s="761" t="s">
        <v>248</v>
      </c>
      <c r="B316" s="463" t="s">
        <v>249</v>
      </c>
      <c r="C316" s="1433"/>
      <c r="D316" s="1433"/>
      <c r="E316" s="616">
        <v>2005</v>
      </c>
      <c r="F316" s="616">
        <v>2010</v>
      </c>
      <c r="G316" s="616">
        <v>2015</v>
      </c>
      <c r="H316" s="616">
        <v>2020</v>
      </c>
      <c r="I316" s="616">
        <v>2021</v>
      </c>
      <c r="J316" s="616">
        <v>2022</v>
      </c>
      <c r="K316" s="616">
        <v>2023</v>
      </c>
      <c r="L316" s="616">
        <v>2024</v>
      </c>
    </row>
    <row r="317" spans="1:12" ht="15" customHeight="1" x14ac:dyDescent="0.25">
      <c r="A317" s="1820" t="s">
        <v>422</v>
      </c>
      <c r="B317" s="1408" t="s">
        <v>164</v>
      </c>
      <c r="C317" s="1520" t="s">
        <v>424</v>
      </c>
      <c r="D317" s="1520"/>
      <c r="E317" s="40"/>
      <c r="F317" s="37">
        <v>807.21</v>
      </c>
      <c r="G317" s="37">
        <v>906.65</v>
      </c>
      <c r="H317" s="37">
        <v>1001</v>
      </c>
      <c r="I317" s="37">
        <v>1029</v>
      </c>
      <c r="J317" s="37">
        <v>1048</v>
      </c>
      <c r="K317" s="37">
        <v>1183</v>
      </c>
      <c r="L317" s="209">
        <v>1201</v>
      </c>
    </row>
    <row r="318" spans="1:12" x14ac:dyDescent="0.25">
      <c r="A318" s="1820"/>
      <c r="B318" s="1272"/>
      <c r="C318" s="1331" t="s">
        <v>425</v>
      </c>
      <c r="D318" s="1331"/>
      <c r="E318" s="28"/>
      <c r="F318" s="29">
        <v>1039.33</v>
      </c>
      <c r="G318" s="29">
        <v>1161.48</v>
      </c>
      <c r="H318" s="29">
        <v>1243</v>
      </c>
      <c r="I318" s="29">
        <v>1280</v>
      </c>
      <c r="J318" s="29">
        <v>1303</v>
      </c>
      <c r="K318" s="29">
        <v>1459</v>
      </c>
      <c r="L318" s="30">
        <v>1473</v>
      </c>
    </row>
    <row r="319" spans="1:12" x14ac:dyDescent="0.25">
      <c r="A319" s="1820"/>
      <c r="B319" s="1272"/>
      <c r="C319" s="1331" t="s">
        <v>426</v>
      </c>
      <c r="D319" s="1331"/>
      <c r="E319" s="28"/>
      <c r="F319" s="29">
        <v>617.67999999999995</v>
      </c>
      <c r="G319" s="29">
        <v>700.45</v>
      </c>
      <c r="H319" s="29">
        <v>810</v>
      </c>
      <c r="I319" s="29">
        <v>838</v>
      </c>
      <c r="J319" s="29">
        <v>856</v>
      </c>
      <c r="K319" s="29">
        <v>973</v>
      </c>
      <c r="L319" s="30">
        <v>995</v>
      </c>
    </row>
    <row r="320" spans="1:12" x14ac:dyDescent="0.25">
      <c r="A320" s="1820"/>
      <c r="B320" s="1272"/>
      <c r="C320" s="1333" t="s">
        <v>427</v>
      </c>
      <c r="D320" s="1333"/>
      <c r="E320" s="28"/>
      <c r="F320" s="31">
        <f t="shared" ref="F320:L320" si="17">+F319-F318</f>
        <v>-421.65</v>
      </c>
      <c r="G320" s="31">
        <f t="shared" si="17"/>
        <v>-461.03</v>
      </c>
      <c r="H320" s="31">
        <f t="shared" si="17"/>
        <v>-433</v>
      </c>
      <c r="I320" s="31">
        <f t="shared" si="17"/>
        <v>-442</v>
      </c>
      <c r="J320" s="31">
        <f t="shared" si="17"/>
        <v>-447</v>
      </c>
      <c r="K320" s="31">
        <f t="shared" si="17"/>
        <v>-486</v>
      </c>
      <c r="L320" s="32">
        <f t="shared" si="17"/>
        <v>-478</v>
      </c>
    </row>
    <row r="321" spans="1:12" x14ac:dyDescent="0.25">
      <c r="A321" s="1820"/>
      <c r="B321" s="1273"/>
      <c r="C321" s="1565" t="s">
        <v>428</v>
      </c>
      <c r="D321" s="1565"/>
      <c r="E321" s="110"/>
      <c r="F321" s="423">
        <f t="shared" ref="F321:L321" si="18">(F319-F318)/F318*100</f>
        <v>-40.56940528994641</v>
      </c>
      <c r="G321" s="423">
        <f t="shared" si="18"/>
        <v>-39.693322312911114</v>
      </c>
      <c r="H321" s="423">
        <f t="shared" si="18"/>
        <v>-34.835076427996782</v>
      </c>
      <c r="I321" s="423">
        <f t="shared" si="18"/>
        <v>-34.53125</v>
      </c>
      <c r="J321" s="423">
        <f t="shared" si="18"/>
        <v>-34.305448963929393</v>
      </c>
      <c r="K321" s="423">
        <f t="shared" si="18"/>
        <v>-33.31048663468129</v>
      </c>
      <c r="L321" s="212">
        <f t="shared" si="18"/>
        <v>-32.450780719619829</v>
      </c>
    </row>
    <row r="322" spans="1:12" ht="15" customHeight="1" x14ac:dyDescent="0.25">
      <c r="A322" s="1820"/>
      <c r="B322" s="1408" t="s">
        <v>429</v>
      </c>
      <c r="C322" s="1147" t="s">
        <v>430</v>
      </c>
      <c r="D322" s="1147"/>
      <c r="E322" s="36"/>
      <c r="F322" s="40"/>
      <c r="G322" s="37">
        <v>36.199211383507631</v>
      </c>
      <c r="H322" s="37">
        <v>34.231018818948733</v>
      </c>
      <c r="I322" s="37">
        <v>34.59739225639494</v>
      </c>
      <c r="J322" s="37">
        <v>37.631221440039518</v>
      </c>
      <c r="K322" s="37">
        <v>40.107352390463113</v>
      </c>
      <c r="L322" s="20">
        <v>41.2</v>
      </c>
    </row>
    <row r="323" spans="1:12" x14ac:dyDescent="0.25">
      <c r="A323" s="1820"/>
      <c r="B323" s="1272"/>
      <c r="C323" s="1124" t="s">
        <v>431</v>
      </c>
      <c r="D323" s="1124"/>
      <c r="E323" s="28"/>
      <c r="F323" s="28"/>
      <c r="G323" s="29">
        <v>40.904292751583391</v>
      </c>
      <c r="H323" s="29">
        <v>38.643067846607671</v>
      </c>
      <c r="I323" s="29">
        <v>40.050034114168753</v>
      </c>
      <c r="J323" s="29">
        <v>44.334277620396598</v>
      </c>
      <c r="K323" s="29">
        <v>46.501457725947517</v>
      </c>
      <c r="L323" s="21">
        <v>47.3</v>
      </c>
    </row>
    <row r="324" spans="1:12" x14ac:dyDescent="0.25">
      <c r="A324" s="1820"/>
      <c r="B324" s="1272"/>
      <c r="C324" s="1124" t="s">
        <v>432</v>
      </c>
      <c r="D324" s="1124"/>
      <c r="E324" s="28"/>
      <c r="F324" s="28"/>
      <c r="G324" s="29">
        <v>31.728518890003343</v>
      </c>
      <c r="H324" s="29">
        <v>30.764774044032446</v>
      </c>
      <c r="I324" s="29">
        <v>30.353982300884958</v>
      </c>
      <c r="J324" s="29">
        <v>32.450186117801621</v>
      </c>
      <c r="K324" s="29">
        <v>35.319799170486796</v>
      </c>
      <c r="L324" s="21">
        <v>36.5</v>
      </c>
    </row>
    <row r="325" spans="1:12" ht="16.5" thickBot="1" x14ac:dyDescent="0.3">
      <c r="A325" s="1820"/>
      <c r="B325" s="1273"/>
      <c r="C325" s="1142" t="s">
        <v>354</v>
      </c>
      <c r="D325" s="1142"/>
      <c r="E325" s="110"/>
      <c r="F325" s="336"/>
      <c r="G325" s="423">
        <f t="shared" ref="G325:L325" si="19">+G324-G323</f>
        <v>-9.1757738615800477</v>
      </c>
      <c r="H325" s="423">
        <f t="shared" si="19"/>
        <v>-7.8782938025752252</v>
      </c>
      <c r="I325" s="423">
        <f t="shared" si="19"/>
        <v>-9.6960518132837947</v>
      </c>
      <c r="J325" s="423">
        <f t="shared" si="19"/>
        <v>-11.884091502594977</v>
      </c>
      <c r="K325" s="423">
        <f t="shared" si="19"/>
        <v>-11.181658555460722</v>
      </c>
      <c r="L325" s="212">
        <f t="shared" si="19"/>
        <v>-10.799999999999997</v>
      </c>
    </row>
    <row r="326" spans="1:12" x14ac:dyDescent="0.25">
      <c r="A326" s="1820"/>
      <c r="B326" s="1408" t="s">
        <v>433</v>
      </c>
      <c r="C326" s="1317" t="s">
        <v>434</v>
      </c>
      <c r="D326" s="146" t="s">
        <v>435</v>
      </c>
      <c r="E326" s="40"/>
      <c r="F326" s="40"/>
      <c r="G326" s="40"/>
      <c r="H326" s="40"/>
      <c r="I326" s="40">
        <v>173</v>
      </c>
      <c r="J326" s="40">
        <v>104</v>
      </c>
      <c r="K326" s="40">
        <v>52</v>
      </c>
      <c r="L326" s="1061">
        <v>28</v>
      </c>
    </row>
    <row r="327" spans="1:12" x14ac:dyDescent="0.25">
      <c r="A327" s="1820"/>
      <c r="B327" s="1272"/>
      <c r="C327" s="1309"/>
      <c r="D327" s="147" t="s">
        <v>436</v>
      </c>
      <c r="E327" s="28"/>
      <c r="F327" s="28"/>
      <c r="G327" s="28"/>
      <c r="H327" s="28"/>
      <c r="I327" s="28">
        <v>50</v>
      </c>
      <c r="J327" s="28">
        <v>18</v>
      </c>
      <c r="K327" s="28">
        <v>16</v>
      </c>
      <c r="L327" s="1061">
        <v>10</v>
      </c>
    </row>
    <row r="328" spans="1:12" x14ac:dyDescent="0.25">
      <c r="A328" s="1820"/>
      <c r="B328" s="1272"/>
      <c r="C328" s="1309"/>
      <c r="D328" s="28" t="s">
        <v>437</v>
      </c>
      <c r="E328" s="28"/>
      <c r="F328" s="28"/>
      <c r="G328" s="28"/>
      <c r="H328" s="28"/>
      <c r="I328" s="28">
        <v>123</v>
      </c>
      <c r="J328" s="28">
        <v>86</v>
      </c>
      <c r="K328" s="28">
        <v>36</v>
      </c>
      <c r="L328" s="1061">
        <v>18</v>
      </c>
    </row>
    <row r="329" spans="1:12" x14ac:dyDescent="0.25">
      <c r="A329" s="1820"/>
      <c r="B329" s="1272"/>
      <c r="C329" s="1309"/>
      <c r="D329" s="148" t="s">
        <v>353</v>
      </c>
      <c r="E329" s="28"/>
      <c r="F329" s="28"/>
      <c r="G329" s="28"/>
      <c r="H329" s="28"/>
      <c r="I329" s="157">
        <f>I328-I327</f>
        <v>73</v>
      </c>
      <c r="J329" s="157">
        <f>J328-J327</f>
        <v>68</v>
      </c>
      <c r="K329" s="157">
        <f>K328-K327</f>
        <v>20</v>
      </c>
      <c r="L329" s="157">
        <f>L328-L327</f>
        <v>8</v>
      </c>
    </row>
    <row r="330" spans="1:12" x14ac:dyDescent="0.25">
      <c r="A330" s="1820"/>
      <c r="B330" s="1272"/>
      <c r="C330" s="1309"/>
      <c r="D330" s="148" t="s">
        <v>270</v>
      </c>
      <c r="E330" s="28"/>
      <c r="F330" s="28"/>
      <c r="G330" s="28"/>
      <c r="H330" s="28"/>
      <c r="I330" s="158">
        <f>I328/I326*100</f>
        <v>71.098265895953759</v>
      </c>
      <c r="J330" s="158">
        <f>J328/J326*100</f>
        <v>82.692307692307693</v>
      </c>
      <c r="K330" s="158">
        <f>K328/K326*100</f>
        <v>69.230769230769226</v>
      </c>
      <c r="L330" s="158">
        <f>L328/L326*100</f>
        <v>64.285714285714292</v>
      </c>
    </row>
    <row r="331" spans="1:12" x14ac:dyDescent="0.25">
      <c r="A331" s="1820"/>
      <c r="B331" s="1272"/>
      <c r="C331" s="1309" t="s">
        <v>438</v>
      </c>
      <c r="D331" s="842" t="s">
        <v>435</v>
      </c>
      <c r="E331" s="28"/>
      <c r="F331" s="28"/>
      <c r="G331" s="28"/>
      <c r="H331" s="28"/>
      <c r="I331" s="44">
        <v>796</v>
      </c>
      <c r="J331" s="44">
        <v>368</v>
      </c>
      <c r="K331" s="44">
        <v>161</v>
      </c>
      <c r="L331" s="1061">
        <v>245</v>
      </c>
    </row>
    <row r="332" spans="1:12" x14ac:dyDescent="0.25">
      <c r="A332" s="1820"/>
      <c r="B332" s="1272"/>
      <c r="C332" s="1309"/>
      <c r="D332" s="147" t="s">
        <v>436</v>
      </c>
      <c r="E332" s="28"/>
      <c r="F332" s="28"/>
      <c r="G332" s="28"/>
      <c r="H332" s="28"/>
      <c r="I332" s="28">
        <v>227</v>
      </c>
      <c r="J332" s="28">
        <v>116</v>
      </c>
      <c r="K332" s="28">
        <v>51</v>
      </c>
      <c r="L332" s="1061">
        <v>122</v>
      </c>
    </row>
    <row r="333" spans="1:12" x14ac:dyDescent="0.25">
      <c r="A333" s="1820"/>
      <c r="B333" s="1272"/>
      <c r="C333" s="1309"/>
      <c r="D333" s="28" t="s">
        <v>437</v>
      </c>
      <c r="E333" s="28"/>
      <c r="F333" s="28"/>
      <c r="G333" s="28"/>
      <c r="H333" s="28"/>
      <c r="I333" s="28">
        <v>569</v>
      </c>
      <c r="J333" s="28">
        <v>252</v>
      </c>
      <c r="K333" s="28">
        <v>110</v>
      </c>
      <c r="L333" s="1061">
        <v>123</v>
      </c>
    </row>
    <row r="334" spans="1:12" x14ac:dyDescent="0.25">
      <c r="A334" s="1820"/>
      <c r="B334" s="1272"/>
      <c r="C334" s="1309"/>
      <c r="D334" s="148" t="s">
        <v>353</v>
      </c>
      <c r="E334" s="28"/>
      <c r="F334" s="28"/>
      <c r="G334" s="28"/>
      <c r="H334" s="28"/>
      <c r="I334" s="157">
        <f>I333-I332</f>
        <v>342</v>
      </c>
      <c r="J334" s="157">
        <f>J333-J332</f>
        <v>136</v>
      </c>
      <c r="K334" s="157">
        <f>K333-K332</f>
        <v>59</v>
      </c>
      <c r="L334" s="157">
        <f>L333-L332</f>
        <v>1</v>
      </c>
    </row>
    <row r="335" spans="1:12" x14ac:dyDescent="0.25">
      <c r="A335" s="1820"/>
      <c r="B335" s="1273"/>
      <c r="C335" s="1310"/>
      <c r="D335" s="150" t="s">
        <v>270</v>
      </c>
      <c r="E335" s="110"/>
      <c r="F335" s="110"/>
      <c r="G335" s="110"/>
      <c r="H335" s="110"/>
      <c r="I335" s="165">
        <f>I333/I331*100</f>
        <v>71.482412060301499</v>
      </c>
      <c r="J335" s="165">
        <f>J333/J331*100</f>
        <v>68.478260869565219</v>
      </c>
      <c r="K335" s="165">
        <f>K333/K331*100</f>
        <v>68.322981366459629</v>
      </c>
      <c r="L335" s="165">
        <f>L333/L331*100</f>
        <v>50.204081632653065</v>
      </c>
    </row>
    <row r="336" spans="1:12" ht="15" customHeight="1" x14ac:dyDescent="0.25">
      <c r="A336" s="1820"/>
      <c r="B336" s="1408" t="s">
        <v>180</v>
      </c>
      <c r="C336" s="1147" t="s">
        <v>435</v>
      </c>
      <c r="D336" s="1147"/>
      <c r="E336" s="36"/>
      <c r="F336" s="36"/>
      <c r="G336" s="36"/>
      <c r="H336" s="195">
        <v>33538</v>
      </c>
      <c r="I336" s="195">
        <v>29872</v>
      </c>
      <c r="J336" s="195">
        <v>29324</v>
      </c>
      <c r="K336" s="195">
        <v>29672</v>
      </c>
      <c r="L336" s="20"/>
    </row>
    <row r="337" spans="1:14" x14ac:dyDescent="0.25">
      <c r="A337" s="1820"/>
      <c r="B337" s="1272"/>
      <c r="C337" s="1124" t="s">
        <v>436</v>
      </c>
      <c r="D337" s="1124"/>
      <c r="E337" s="28"/>
      <c r="F337" s="28"/>
      <c r="G337" s="28"/>
      <c r="H337" s="96">
        <v>13457</v>
      </c>
      <c r="I337" s="96">
        <v>11836</v>
      </c>
      <c r="J337" s="96">
        <v>11555</v>
      </c>
      <c r="K337" s="96">
        <v>11789</v>
      </c>
      <c r="L337" s="21"/>
    </row>
    <row r="338" spans="1:14" x14ac:dyDescent="0.25">
      <c r="A338" s="1820"/>
      <c r="B338" s="1272"/>
      <c r="C338" s="1124" t="s">
        <v>437</v>
      </c>
      <c r="D338" s="1124"/>
      <c r="E338" s="28"/>
      <c r="F338" s="28"/>
      <c r="G338" s="28"/>
      <c r="H338" s="96">
        <v>20081</v>
      </c>
      <c r="I338" s="96">
        <v>18036</v>
      </c>
      <c r="J338" s="96">
        <v>17769</v>
      </c>
      <c r="K338" s="96">
        <v>17883</v>
      </c>
      <c r="L338" s="21"/>
    </row>
    <row r="339" spans="1:14" x14ac:dyDescent="0.25">
      <c r="A339" s="1820"/>
      <c r="B339" s="1272"/>
      <c r="C339" s="1112" t="s">
        <v>353</v>
      </c>
      <c r="D339" s="1112"/>
      <c r="E339" s="28"/>
      <c r="F339" s="28"/>
      <c r="G339" s="28"/>
      <c r="H339" s="157">
        <f>H338-H337</f>
        <v>6624</v>
      </c>
      <c r="I339" s="157">
        <f>I338-I337</f>
        <v>6200</v>
      </c>
      <c r="J339" s="157">
        <f>J338-J337</f>
        <v>6214</v>
      </c>
      <c r="K339" s="157">
        <f>K338-K337</f>
        <v>6094</v>
      </c>
      <c r="L339" s="21"/>
    </row>
    <row r="340" spans="1:14" x14ac:dyDescent="0.25">
      <c r="A340" s="1821"/>
      <c r="B340" s="1273"/>
      <c r="C340" s="1178" t="s">
        <v>270</v>
      </c>
      <c r="D340" s="1178"/>
      <c r="E340" s="110"/>
      <c r="F340" s="110"/>
      <c r="G340" s="110"/>
      <c r="H340" s="165">
        <f>H338/H336*100</f>
        <v>59.875365257320055</v>
      </c>
      <c r="I340" s="165">
        <f>I338/I336*100</f>
        <v>60.377611140867707</v>
      </c>
      <c r="J340" s="165">
        <f>J338/J336*100</f>
        <v>60.595416723502936</v>
      </c>
      <c r="K340" s="165">
        <f>K338/K336*100</f>
        <v>60.268940415206252</v>
      </c>
      <c r="L340" s="53"/>
    </row>
    <row r="341" spans="1:14" x14ac:dyDescent="0.25">
      <c r="A341" s="832" t="s">
        <v>248</v>
      </c>
      <c r="B341" s="785" t="s">
        <v>249</v>
      </c>
      <c r="C341" s="1724"/>
      <c r="D341" s="1724"/>
      <c r="E341" s="625">
        <v>2005</v>
      </c>
      <c r="F341" s="625">
        <v>2010</v>
      </c>
      <c r="G341" s="625">
        <v>2015</v>
      </c>
      <c r="H341" s="625">
        <v>2020</v>
      </c>
      <c r="I341" s="625">
        <v>2021</v>
      </c>
      <c r="J341" s="625">
        <v>2022</v>
      </c>
      <c r="K341" s="625">
        <v>2023</v>
      </c>
      <c r="L341" s="284">
        <v>2024</v>
      </c>
    </row>
    <row r="342" spans="1:14" x14ac:dyDescent="0.25">
      <c r="A342" s="1822" t="s">
        <v>439</v>
      </c>
      <c r="B342" s="1612" t="s">
        <v>440</v>
      </c>
      <c r="C342" s="1250" t="s">
        <v>251</v>
      </c>
      <c r="D342" s="1250"/>
      <c r="E342" s="585">
        <v>81</v>
      </c>
      <c r="F342" s="586">
        <v>83.1</v>
      </c>
      <c r="G342" s="586">
        <v>83.5</v>
      </c>
      <c r="H342" s="586">
        <v>81.5</v>
      </c>
      <c r="I342" s="586">
        <v>84.4</v>
      </c>
      <c r="J342" s="587">
        <v>84.695784615473116</v>
      </c>
      <c r="K342" s="453">
        <v>84.8</v>
      </c>
      <c r="L342" s="108"/>
      <c r="M342" s="326"/>
      <c r="N342" s="326"/>
    </row>
    <row r="343" spans="1:14" x14ac:dyDescent="0.25">
      <c r="A343" s="1822"/>
      <c r="B343" s="1613"/>
      <c r="C343" s="1236" t="s">
        <v>257</v>
      </c>
      <c r="D343" s="1236"/>
      <c r="E343" s="580">
        <v>77.400000000000006</v>
      </c>
      <c r="F343" s="581">
        <v>79</v>
      </c>
      <c r="G343" s="581">
        <v>80.2</v>
      </c>
      <c r="H343" s="581">
        <v>78.099999999999994</v>
      </c>
      <c r="I343" s="581">
        <v>81.3</v>
      </c>
      <c r="J343" s="582">
        <v>81.655145626424755</v>
      </c>
      <c r="K343" s="403">
        <v>82.1</v>
      </c>
      <c r="L343" s="21"/>
    </row>
    <row r="344" spans="1:14" x14ac:dyDescent="0.25">
      <c r="A344" s="1822"/>
      <c r="B344" s="1613"/>
      <c r="C344" s="1236" t="s">
        <v>263</v>
      </c>
      <c r="D344" s="1236"/>
      <c r="E344" s="580">
        <v>84.3</v>
      </c>
      <c r="F344" s="581">
        <v>86.8</v>
      </c>
      <c r="G344" s="581">
        <v>86.3</v>
      </c>
      <c r="H344" s="581">
        <v>84.6</v>
      </c>
      <c r="I344" s="581">
        <v>86.8</v>
      </c>
      <c r="J344" s="582">
        <v>87.237248337879663</v>
      </c>
      <c r="K344" s="403">
        <v>86.9</v>
      </c>
      <c r="L344" s="21"/>
    </row>
    <row r="345" spans="1:14" x14ac:dyDescent="0.25">
      <c r="A345" s="1822"/>
      <c r="B345" s="1687"/>
      <c r="C345" s="1243" t="s">
        <v>441</v>
      </c>
      <c r="D345" s="1243"/>
      <c r="E345" s="588">
        <f t="shared" ref="E345:K345" si="20">+E344-E343</f>
        <v>6.8999999999999915</v>
      </c>
      <c r="F345" s="588">
        <f t="shared" si="20"/>
        <v>7.7999999999999972</v>
      </c>
      <c r="G345" s="588">
        <f t="shared" si="20"/>
        <v>6.0999999999999943</v>
      </c>
      <c r="H345" s="588">
        <f t="shared" si="20"/>
        <v>6.5</v>
      </c>
      <c r="I345" s="588">
        <f t="shared" si="20"/>
        <v>5.5</v>
      </c>
      <c r="J345" s="589">
        <f t="shared" si="20"/>
        <v>5.5821027114549082</v>
      </c>
      <c r="K345" s="589">
        <f t="shared" si="20"/>
        <v>4.8000000000000114</v>
      </c>
      <c r="L345" s="22"/>
    </row>
    <row r="346" spans="1:14" x14ac:dyDescent="0.25">
      <c r="A346" s="1822"/>
      <c r="B346" s="1237" t="s">
        <v>192</v>
      </c>
      <c r="C346" s="1240" t="s">
        <v>251</v>
      </c>
      <c r="D346" s="1241"/>
      <c r="E346" s="746"/>
      <c r="F346" s="845"/>
      <c r="G346" s="846">
        <v>9025</v>
      </c>
      <c r="H346" s="846">
        <v>10783</v>
      </c>
      <c r="I346" s="846">
        <v>10900</v>
      </c>
      <c r="J346" s="847">
        <v>11469</v>
      </c>
      <c r="K346" s="192">
        <v>10808</v>
      </c>
      <c r="L346" s="87"/>
    </row>
    <row r="347" spans="1:14" x14ac:dyDescent="0.25">
      <c r="A347" s="1822"/>
      <c r="B347" s="1238"/>
      <c r="C347" s="1235" t="s">
        <v>257</v>
      </c>
      <c r="D347" s="1236"/>
      <c r="E347" s="580"/>
      <c r="F347" s="583"/>
      <c r="G347" s="584">
        <v>4418</v>
      </c>
      <c r="H347" s="584">
        <v>5174</v>
      </c>
      <c r="I347" s="584">
        <v>5260</v>
      </c>
      <c r="J347" s="404">
        <v>5535</v>
      </c>
      <c r="K347" s="96">
        <v>5182</v>
      </c>
      <c r="L347" s="21"/>
    </row>
    <row r="348" spans="1:14" x14ac:dyDescent="0.25">
      <c r="A348" s="1822"/>
      <c r="B348" s="1238"/>
      <c r="C348" s="1235" t="s">
        <v>263</v>
      </c>
      <c r="D348" s="1236"/>
      <c r="E348" s="580"/>
      <c r="F348" s="583"/>
      <c r="G348" s="584">
        <v>4607</v>
      </c>
      <c r="H348" s="584">
        <v>5609</v>
      </c>
      <c r="I348" s="584">
        <v>5640</v>
      </c>
      <c r="J348" s="404">
        <v>5934</v>
      </c>
      <c r="K348" s="96">
        <v>5626</v>
      </c>
      <c r="L348" s="21"/>
    </row>
    <row r="349" spans="1:14" x14ac:dyDescent="0.25">
      <c r="A349" s="1823"/>
      <c r="B349" s="1239"/>
      <c r="C349" s="1224" t="s">
        <v>270</v>
      </c>
      <c r="D349" s="1824"/>
      <c r="E349" s="843"/>
      <c r="F349" s="843"/>
      <c r="G349" s="844">
        <f>G348/G346*100</f>
        <v>51.047091412742382</v>
      </c>
      <c r="H349" s="844">
        <f>H348/H346*100</f>
        <v>52.017063896874717</v>
      </c>
      <c r="I349" s="844">
        <f>I348/I346*100</f>
        <v>51.743119266055047</v>
      </c>
      <c r="J349" s="844">
        <f>J348/J346*100</f>
        <v>51.739471619147267</v>
      </c>
      <c r="K349" s="844">
        <f>K348/K346*100</f>
        <v>52.054034048852706</v>
      </c>
      <c r="L349" s="22"/>
    </row>
    <row r="350" spans="1:14" x14ac:dyDescent="0.25">
      <c r="A350" s="767" t="s">
        <v>248</v>
      </c>
      <c r="B350" s="822" t="s">
        <v>249</v>
      </c>
      <c r="C350" s="1681"/>
      <c r="D350" s="1681"/>
      <c r="E350" s="112"/>
      <c r="F350" s="112" t="s">
        <v>443</v>
      </c>
      <c r="G350" s="112" t="s">
        <v>444</v>
      </c>
      <c r="H350" s="112" t="s">
        <v>445</v>
      </c>
      <c r="I350" s="112" t="s">
        <v>446</v>
      </c>
      <c r="J350" s="112" t="s">
        <v>447</v>
      </c>
      <c r="K350" s="112" t="s">
        <v>448</v>
      </c>
      <c r="L350" s="112" t="s">
        <v>449</v>
      </c>
    </row>
    <row r="351" spans="1:14" ht="15" customHeight="1" x14ac:dyDescent="0.25">
      <c r="A351" s="1801" t="s">
        <v>450</v>
      </c>
      <c r="B351" s="1804" t="s">
        <v>199</v>
      </c>
      <c r="C351" s="1689" t="s">
        <v>451</v>
      </c>
      <c r="D351" s="430" t="s">
        <v>435</v>
      </c>
      <c r="E351" s="195"/>
      <c r="F351" s="195">
        <v>11204</v>
      </c>
      <c r="G351" s="195">
        <v>9279</v>
      </c>
      <c r="H351" s="195">
        <v>8448</v>
      </c>
      <c r="I351" s="195">
        <v>8095</v>
      </c>
      <c r="J351" s="195">
        <v>7750</v>
      </c>
      <c r="K351" s="195">
        <v>7847</v>
      </c>
      <c r="L351" s="20"/>
    </row>
    <row r="352" spans="1:14" x14ac:dyDescent="0.25">
      <c r="A352" s="1802"/>
      <c r="B352" s="1805"/>
      <c r="C352" s="1676"/>
      <c r="D352" s="428" t="s">
        <v>436</v>
      </c>
      <c r="E352" s="96"/>
      <c r="F352" s="96">
        <v>5737</v>
      </c>
      <c r="G352" s="96">
        <v>4719</v>
      </c>
      <c r="H352" s="96">
        <v>4305</v>
      </c>
      <c r="I352" s="96">
        <v>4139</v>
      </c>
      <c r="J352" s="96">
        <v>4030</v>
      </c>
      <c r="K352" s="96">
        <v>4037</v>
      </c>
      <c r="L352" s="21"/>
    </row>
    <row r="353" spans="1:12" x14ac:dyDescent="0.25">
      <c r="A353" s="1802"/>
      <c r="B353" s="1805"/>
      <c r="C353" s="1676"/>
      <c r="D353" s="428" t="s">
        <v>437</v>
      </c>
      <c r="E353" s="96"/>
      <c r="F353" s="96">
        <v>5467</v>
      </c>
      <c r="G353" s="96">
        <v>4560</v>
      </c>
      <c r="H353" s="96">
        <v>4143</v>
      </c>
      <c r="I353" s="96">
        <v>3371</v>
      </c>
      <c r="J353" s="96">
        <v>3720</v>
      </c>
      <c r="K353" s="96">
        <v>3810</v>
      </c>
      <c r="L353" s="21"/>
    </row>
    <row r="354" spans="1:12" ht="15" customHeight="1" x14ac:dyDescent="0.25">
      <c r="A354" s="1802"/>
      <c r="B354" s="1805"/>
      <c r="C354" s="1676" t="s">
        <v>452</v>
      </c>
      <c r="D354" s="427" t="s">
        <v>435</v>
      </c>
      <c r="E354" s="157"/>
      <c r="F354" s="157">
        <f t="shared" ref="F354:K354" si="21">SUM(F355:F356)</f>
        <v>5365</v>
      </c>
      <c r="G354" s="157">
        <f t="shared" si="21"/>
        <v>4953</v>
      </c>
      <c r="H354" s="157">
        <f t="shared" si="21"/>
        <v>4482</v>
      </c>
      <c r="I354" s="157">
        <f t="shared" si="21"/>
        <v>4465</v>
      </c>
      <c r="J354" s="157">
        <f t="shared" si="21"/>
        <v>4413</v>
      </c>
      <c r="K354" s="157">
        <f t="shared" si="21"/>
        <v>4373</v>
      </c>
      <c r="L354" s="21"/>
    </row>
    <row r="355" spans="1:12" x14ac:dyDescent="0.25">
      <c r="A355" s="1802"/>
      <c r="B355" s="1805"/>
      <c r="C355" s="1676"/>
      <c r="D355" s="428" t="s">
        <v>436</v>
      </c>
      <c r="E355" s="96"/>
      <c r="F355" s="96">
        <v>2827</v>
      </c>
      <c r="G355" s="96">
        <v>2568</v>
      </c>
      <c r="H355" s="96">
        <v>2286</v>
      </c>
      <c r="I355" s="96">
        <v>2343</v>
      </c>
      <c r="J355" s="96">
        <v>2318</v>
      </c>
      <c r="K355" s="157">
        <v>2268</v>
      </c>
      <c r="L355" s="21"/>
    </row>
    <row r="356" spans="1:12" x14ac:dyDescent="0.25">
      <c r="A356" s="1802"/>
      <c r="B356" s="1805"/>
      <c r="C356" s="1806"/>
      <c r="D356" s="434" t="s">
        <v>437</v>
      </c>
      <c r="E356" s="360"/>
      <c r="F356" s="360">
        <v>2538</v>
      </c>
      <c r="G356" s="360">
        <v>2385</v>
      </c>
      <c r="H356" s="360">
        <v>2196</v>
      </c>
      <c r="I356" s="360">
        <v>2122</v>
      </c>
      <c r="J356" s="360">
        <v>2095</v>
      </c>
      <c r="K356" s="360">
        <v>2105</v>
      </c>
      <c r="L356" s="53"/>
    </row>
    <row r="357" spans="1:12" x14ac:dyDescent="0.25">
      <c r="A357" s="1802"/>
      <c r="B357" s="1569"/>
      <c r="C357" s="1352" t="s">
        <v>453</v>
      </c>
      <c r="D357" s="1250"/>
      <c r="E357" s="195"/>
      <c r="F357" s="37">
        <f>+(F354/F351)*100</f>
        <v>47.884684041413784</v>
      </c>
      <c r="G357" s="37">
        <f t="shared" ref="G357:J357" si="22">+(G354/G351)*100</f>
        <v>53.378596831555129</v>
      </c>
      <c r="H357" s="37">
        <f t="shared" si="22"/>
        <v>53.053977272727273</v>
      </c>
      <c r="I357" s="37">
        <f t="shared" si="22"/>
        <v>55.157504632489193</v>
      </c>
      <c r="J357" s="37">
        <f t="shared" si="22"/>
        <v>56.941935483870964</v>
      </c>
      <c r="K357" s="37">
        <f>+(K354/K351)*100</f>
        <v>55.72830381037339</v>
      </c>
      <c r="L357" s="20"/>
    </row>
    <row r="358" spans="1:12" x14ac:dyDescent="0.25">
      <c r="A358" s="1802"/>
      <c r="B358" s="1569"/>
      <c r="C358" s="1363" t="s">
        <v>454</v>
      </c>
      <c r="D358" s="1236"/>
      <c r="E358" s="44"/>
      <c r="F358" s="158">
        <f>F355/F352*100</f>
        <v>49.276625413979431</v>
      </c>
      <c r="G358" s="158">
        <f t="shared" ref="G358:H358" si="23">G355/G352*100</f>
        <v>54.418308963763508</v>
      </c>
      <c r="H358" s="158">
        <f t="shared" si="23"/>
        <v>53.10104529616725</v>
      </c>
      <c r="I358" s="158">
        <f>I355/I352*100</f>
        <v>56.607876298622863</v>
      </c>
      <c r="J358" s="158">
        <f>J355/J352*100</f>
        <v>57.518610421836222</v>
      </c>
      <c r="K358" s="158">
        <f>K355/K352*100</f>
        <v>56.180331929650727</v>
      </c>
      <c r="L358" s="21"/>
    </row>
    <row r="359" spans="1:12" x14ac:dyDescent="0.25">
      <c r="A359" s="1802"/>
      <c r="B359" s="1569"/>
      <c r="C359" s="1363" t="s">
        <v>455</v>
      </c>
      <c r="D359" s="1236"/>
      <c r="E359" s="44"/>
      <c r="F359" s="158">
        <f>F356/F353*100</f>
        <v>46.423998536674596</v>
      </c>
      <c r="G359" s="158">
        <f t="shared" ref="G359:I359" si="24">G356/G353*100</f>
        <v>52.30263157894737</v>
      </c>
      <c r="H359" s="158">
        <f t="shared" si="24"/>
        <v>53.005068790731357</v>
      </c>
      <c r="I359" s="158">
        <f t="shared" si="24"/>
        <v>62.948679916938602</v>
      </c>
      <c r="J359" s="158">
        <f>J356/J353*100</f>
        <v>56.317204301075272</v>
      </c>
      <c r="K359" s="158">
        <f>K356/K353*100</f>
        <v>55.249343832021005</v>
      </c>
      <c r="L359" s="21"/>
    </row>
    <row r="360" spans="1:12" x14ac:dyDescent="0.25">
      <c r="A360" s="1803"/>
      <c r="B360" s="1570"/>
      <c r="C360" s="1383" t="s">
        <v>354</v>
      </c>
      <c r="D360" s="1384"/>
      <c r="E360" s="336"/>
      <c r="F360" s="348">
        <f>+F359-F358</f>
        <v>-2.8526268773048358</v>
      </c>
      <c r="G360" s="349">
        <f t="shared" ref="G360:I360" si="25">+G359-G358</f>
        <v>-2.1156773848161379</v>
      </c>
      <c r="H360" s="349">
        <f t="shared" si="25"/>
        <v>-9.5976505435892534E-2</v>
      </c>
      <c r="I360" s="593">
        <f t="shared" si="25"/>
        <v>6.3408036183157392</v>
      </c>
      <c r="J360" s="349">
        <f>+J359-J358</f>
        <v>-1.2014061207609501</v>
      </c>
      <c r="K360" s="349">
        <f>+K359-K358</f>
        <v>-0.93098809762972223</v>
      </c>
      <c r="L360" s="53"/>
    </row>
    <row r="361" spans="1:12" x14ac:dyDescent="0.25">
      <c r="A361" s="739" t="s">
        <v>248</v>
      </c>
      <c r="B361" s="462" t="s">
        <v>249</v>
      </c>
      <c r="C361" s="1807"/>
      <c r="D361" s="1807"/>
      <c r="E361" s="621" t="s">
        <v>442</v>
      </c>
      <c r="F361" s="621" t="s">
        <v>443</v>
      </c>
      <c r="G361" s="621" t="s">
        <v>444</v>
      </c>
      <c r="H361" s="621" t="s">
        <v>445</v>
      </c>
      <c r="I361" s="621" t="s">
        <v>446</v>
      </c>
      <c r="J361" s="621" t="s">
        <v>447</v>
      </c>
      <c r="K361" s="621" t="s">
        <v>448</v>
      </c>
      <c r="L361" s="621" t="s">
        <v>449</v>
      </c>
    </row>
    <row r="362" spans="1:12" ht="15" customHeight="1" x14ac:dyDescent="0.25">
      <c r="A362" s="1774" t="s">
        <v>456</v>
      </c>
      <c r="B362" s="1825" t="s">
        <v>457</v>
      </c>
      <c r="C362" s="1172" t="s">
        <v>458</v>
      </c>
      <c r="D362" s="238" t="s">
        <v>459</v>
      </c>
      <c r="E362" s="192" t="s">
        <v>460</v>
      </c>
      <c r="F362" s="192">
        <v>1448</v>
      </c>
      <c r="G362" s="192">
        <v>1614</v>
      </c>
      <c r="H362" s="192">
        <v>1526</v>
      </c>
      <c r="I362" s="192">
        <v>1454</v>
      </c>
      <c r="J362" s="192">
        <v>1437</v>
      </c>
      <c r="K362" s="220">
        <v>1470</v>
      </c>
      <c r="L362" s="87"/>
    </row>
    <row r="363" spans="1:12" ht="14.1" customHeight="1" x14ac:dyDescent="0.25">
      <c r="A363" s="1775"/>
      <c r="B363" s="1826"/>
      <c r="C363" s="1173"/>
      <c r="D363" s="227" t="s">
        <v>436</v>
      </c>
      <c r="E363" s="96"/>
      <c r="F363" s="96">
        <v>681</v>
      </c>
      <c r="G363" s="96">
        <v>764</v>
      </c>
      <c r="H363" s="96">
        <v>708</v>
      </c>
      <c r="I363" s="96">
        <v>680</v>
      </c>
      <c r="J363" s="96">
        <v>679</v>
      </c>
      <c r="K363" s="96">
        <v>702</v>
      </c>
      <c r="L363" s="21"/>
    </row>
    <row r="364" spans="1:12" x14ac:dyDescent="0.25">
      <c r="A364" s="1775"/>
      <c r="B364" s="1826"/>
      <c r="C364" s="1173"/>
      <c r="D364" s="227" t="s">
        <v>437</v>
      </c>
      <c r="E364" s="96"/>
      <c r="F364" s="96">
        <v>767</v>
      </c>
      <c r="G364" s="96">
        <v>850</v>
      </c>
      <c r="H364" s="96">
        <v>818</v>
      </c>
      <c r="I364" s="96">
        <v>774</v>
      </c>
      <c r="J364" s="96">
        <v>758</v>
      </c>
      <c r="K364" s="96">
        <v>768</v>
      </c>
      <c r="L364" s="21"/>
    </row>
    <row r="365" spans="1:12" ht="15" customHeight="1" x14ac:dyDescent="0.25">
      <c r="A365" s="1775"/>
      <c r="B365" s="1826"/>
      <c r="C365" s="1173" t="s">
        <v>461</v>
      </c>
      <c r="D365" s="226" t="s">
        <v>459</v>
      </c>
      <c r="E365" s="157"/>
      <c r="F365" s="157">
        <v>682</v>
      </c>
      <c r="G365" s="157">
        <f>343+379</f>
        <v>722</v>
      </c>
      <c r="H365" s="157">
        <v>720</v>
      </c>
      <c r="I365" s="157">
        <v>653</v>
      </c>
      <c r="J365" s="157">
        <f>326+336</f>
        <v>662</v>
      </c>
      <c r="K365" s="96">
        <v>716</v>
      </c>
      <c r="L365" s="21"/>
    </row>
    <row r="366" spans="1:12" x14ac:dyDescent="0.25">
      <c r="A366" s="1775"/>
      <c r="B366" s="1826"/>
      <c r="C366" s="1173"/>
      <c r="D366" s="227" t="s">
        <v>436</v>
      </c>
      <c r="E366" s="96"/>
      <c r="F366" s="96">
        <v>355</v>
      </c>
      <c r="G366" s="96">
        <f>172+205</f>
        <v>377</v>
      </c>
      <c r="H366" s="96">
        <v>374</v>
      </c>
      <c r="I366" s="96">
        <v>346</v>
      </c>
      <c r="J366" s="96">
        <f>190+172</f>
        <v>362</v>
      </c>
      <c r="K366" s="96">
        <v>392</v>
      </c>
      <c r="L366" s="21"/>
    </row>
    <row r="367" spans="1:12" x14ac:dyDescent="0.25">
      <c r="A367" s="1775"/>
      <c r="B367" s="1826"/>
      <c r="C367" s="1797"/>
      <c r="D367" s="511" t="s">
        <v>437</v>
      </c>
      <c r="E367" s="360"/>
      <c r="F367" s="360">
        <v>327</v>
      </c>
      <c r="G367" s="360">
        <f>171+174</f>
        <v>345</v>
      </c>
      <c r="H367" s="360">
        <v>346</v>
      </c>
      <c r="I367" s="360">
        <v>307</v>
      </c>
      <c r="J367" s="360">
        <f>136+164</f>
        <v>300</v>
      </c>
      <c r="K367" s="360">
        <v>324</v>
      </c>
      <c r="L367" s="53"/>
    </row>
    <row r="368" spans="1:12" x14ac:dyDescent="0.25">
      <c r="A368" s="1775"/>
      <c r="B368" s="1799"/>
      <c r="C368" s="1389" t="s">
        <v>462</v>
      </c>
      <c r="D368" s="1390"/>
      <c r="E368" s="225"/>
      <c r="F368" s="283">
        <f>F366/F363*100</f>
        <v>52.129221732745968</v>
      </c>
      <c r="G368" s="283">
        <f t="shared" ref="G368:I369" si="26">G366/G363*100</f>
        <v>49.345549738219894</v>
      </c>
      <c r="H368" s="283">
        <f t="shared" si="26"/>
        <v>52.824858757062145</v>
      </c>
      <c r="I368" s="283">
        <f t="shared" si="26"/>
        <v>50.882352941176464</v>
      </c>
      <c r="J368" s="283">
        <f>J366/J363*100</f>
        <v>53.313696612665687</v>
      </c>
      <c r="K368" s="283">
        <f>K366/K363*100</f>
        <v>55.840455840455839</v>
      </c>
      <c r="L368" s="20"/>
    </row>
    <row r="369" spans="1:12" x14ac:dyDescent="0.25">
      <c r="A369" s="1775"/>
      <c r="B369" s="1799"/>
      <c r="C369" s="1123" t="s">
        <v>463</v>
      </c>
      <c r="D369" s="1124"/>
      <c r="E369" s="96"/>
      <c r="F369" s="29">
        <f>F367/F364*100</f>
        <v>42.633637548891784</v>
      </c>
      <c r="G369" s="29">
        <f t="shared" si="26"/>
        <v>40.588235294117645</v>
      </c>
      <c r="H369" s="29">
        <f t="shared" si="26"/>
        <v>42.298288508557455</v>
      </c>
      <c r="I369" s="29">
        <f t="shared" si="26"/>
        <v>39.664082687338507</v>
      </c>
      <c r="J369" s="29">
        <f>J367/J364*100</f>
        <v>39.577836411609496</v>
      </c>
      <c r="K369" s="29">
        <f>K367/K364*100</f>
        <v>42.1875</v>
      </c>
      <c r="L369" s="21"/>
    </row>
    <row r="370" spans="1:12" ht="16.5" thickBot="1" x14ac:dyDescent="0.3">
      <c r="A370" s="1775"/>
      <c r="B370" s="1827"/>
      <c r="C370" s="1125" t="s">
        <v>354</v>
      </c>
      <c r="D370" s="1126"/>
      <c r="E370" s="203"/>
      <c r="F370" s="161">
        <f>+F369-F368</f>
        <v>-9.4955841838541843</v>
      </c>
      <c r="G370" s="161">
        <f t="shared" ref="G370:I370" si="27">+G369-G368</f>
        <v>-8.7573144441022492</v>
      </c>
      <c r="H370" s="161">
        <f t="shared" si="27"/>
        <v>-10.52657024850469</v>
      </c>
      <c r="I370" s="161">
        <f t="shared" si="27"/>
        <v>-11.218270253837957</v>
      </c>
      <c r="J370" s="161">
        <f>+J369-J368</f>
        <v>-13.735860201056191</v>
      </c>
      <c r="K370" s="161">
        <f>+K369-K368</f>
        <v>-13.652955840455839</v>
      </c>
      <c r="L370" s="22"/>
    </row>
    <row r="371" spans="1:12" ht="16.5" thickBot="1" x14ac:dyDescent="0.3">
      <c r="A371" s="1776"/>
      <c r="B371" s="462" t="s">
        <v>249</v>
      </c>
      <c r="C371" s="1433"/>
      <c r="D371" s="1433"/>
      <c r="E371" s="616" t="s">
        <v>442</v>
      </c>
      <c r="F371" s="616" t="s">
        <v>443</v>
      </c>
      <c r="G371" s="616" t="s">
        <v>444</v>
      </c>
      <c r="H371" s="616" t="s">
        <v>445</v>
      </c>
      <c r="I371" s="616" t="s">
        <v>446</v>
      </c>
      <c r="J371" s="616" t="s">
        <v>447</v>
      </c>
      <c r="K371" s="616" t="s">
        <v>448</v>
      </c>
      <c r="L371" s="616" t="s">
        <v>449</v>
      </c>
    </row>
    <row r="372" spans="1:12" ht="15" customHeight="1" x14ac:dyDescent="0.25">
      <c r="A372" s="1776"/>
      <c r="B372" s="1744" t="s">
        <v>464</v>
      </c>
      <c r="C372" s="1251" t="s">
        <v>459</v>
      </c>
      <c r="D372" s="1206"/>
      <c r="E372" s="40"/>
      <c r="F372" s="195">
        <v>901</v>
      </c>
      <c r="G372" s="195">
        <v>882</v>
      </c>
      <c r="H372" s="195">
        <v>939</v>
      </c>
      <c r="I372" s="195">
        <v>1168</v>
      </c>
      <c r="J372" s="195">
        <v>1389</v>
      </c>
      <c r="K372" s="195">
        <v>1483</v>
      </c>
      <c r="L372" s="20"/>
    </row>
    <row r="373" spans="1:12" x14ac:dyDescent="0.25">
      <c r="A373" s="1776"/>
      <c r="B373" s="1678"/>
      <c r="C373" s="1123" t="s">
        <v>436</v>
      </c>
      <c r="D373" s="1124"/>
      <c r="E373" s="96"/>
      <c r="F373" s="96">
        <v>443</v>
      </c>
      <c r="G373" s="96">
        <v>488</v>
      </c>
      <c r="H373" s="96">
        <v>555</v>
      </c>
      <c r="I373" s="96">
        <v>687</v>
      </c>
      <c r="J373" s="96">
        <v>803</v>
      </c>
      <c r="K373" s="96">
        <v>873</v>
      </c>
      <c r="L373" s="21"/>
    </row>
    <row r="374" spans="1:12" x14ac:dyDescent="0.25">
      <c r="A374" s="1776"/>
      <c r="B374" s="1678"/>
      <c r="C374" s="1123" t="s">
        <v>437</v>
      </c>
      <c r="D374" s="1124"/>
      <c r="E374" s="96"/>
      <c r="F374" s="96">
        <v>458</v>
      </c>
      <c r="G374" s="96">
        <v>394</v>
      </c>
      <c r="H374" s="96">
        <v>384</v>
      </c>
      <c r="I374" s="96">
        <v>481</v>
      </c>
      <c r="J374" s="96">
        <v>586</v>
      </c>
      <c r="K374" s="96">
        <v>610</v>
      </c>
      <c r="L374" s="21"/>
    </row>
    <row r="375" spans="1:12" ht="16.5" thickBot="1" x14ac:dyDescent="0.3">
      <c r="A375" s="1776"/>
      <c r="B375" s="1678"/>
      <c r="C375" s="1577" t="s">
        <v>270</v>
      </c>
      <c r="D375" s="1578"/>
      <c r="E375" s="441"/>
      <c r="F375" s="435">
        <f t="shared" ref="F375:J375" si="28">F374/F372*100</f>
        <v>50.832408435072139</v>
      </c>
      <c r="G375" s="435">
        <f t="shared" si="28"/>
        <v>44.671201814058961</v>
      </c>
      <c r="H375" s="435">
        <f t="shared" si="28"/>
        <v>40.894568690095845</v>
      </c>
      <c r="I375" s="435">
        <f t="shared" si="28"/>
        <v>41.18150684931507</v>
      </c>
      <c r="J375" s="435">
        <f t="shared" si="28"/>
        <v>42.188624910007199</v>
      </c>
      <c r="K375" s="435">
        <f>K374/K372*100</f>
        <v>41.132838840188803</v>
      </c>
      <c r="L375" s="53"/>
    </row>
    <row r="376" spans="1:12" ht="36.950000000000003" customHeight="1" x14ac:dyDescent="0.25">
      <c r="A376" s="1776"/>
      <c r="B376" s="1678"/>
      <c r="C376" s="1159" t="s">
        <v>523</v>
      </c>
      <c r="D376" s="248" t="s">
        <v>251</v>
      </c>
      <c r="E376" s="249"/>
      <c r="F376" s="225">
        <v>206</v>
      </c>
      <c r="G376" s="225">
        <v>186</v>
      </c>
      <c r="H376" s="225">
        <v>173</v>
      </c>
      <c r="I376" s="225">
        <v>166</v>
      </c>
      <c r="J376" s="225">
        <v>160</v>
      </c>
      <c r="K376" s="36">
        <v>172</v>
      </c>
      <c r="L376" s="20"/>
    </row>
    <row r="377" spans="1:12" x14ac:dyDescent="0.25">
      <c r="A377" s="1776"/>
      <c r="B377" s="1678"/>
      <c r="C377" s="1160"/>
      <c r="D377" s="28" t="s">
        <v>257</v>
      </c>
      <c r="E377" s="94"/>
      <c r="F377" s="96">
        <v>25</v>
      </c>
      <c r="G377" s="96">
        <v>69</v>
      </c>
      <c r="H377" s="96">
        <v>75</v>
      </c>
      <c r="I377" s="96">
        <v>65</v>
      </c>
      <c r="J377" s="96">
        <v>55</v>
      </c>
      <c r="K377" s="28">
        <v>73</v>
      </c>
      <c r="L377" s="21"/>
    </row>
    <row r="378" spans="1:12" x14ac:dyDescent="0.25">
      <c r="A378" s="1776"/>
      <c r="B378" s="1678"/>
      <c r="C378" s="1160"/>
      <c r="D378" s="28" t="s">
        <v>263</v>
      </c>
      <c r="E378" s="94"/>
      <c r="F378" s="96">
        <v>181</v>
      </c>
      <c r="G378" s="96">
        <v>117</v>
      </c>
      <c r="H378" s="96">
        <v>98</v>
      </c>
      <c r="I378" s="96">
        <v>101</v>
      </c>
      <c r="J378" s="96">
        <v>105</v>
      </c>
      <c r="K378" s="28">
        <v>99</v>
      </c>
      <c r="L378" s="21"/>
    </row>
    <row r="379" spans="1:12" ht="16.5" thickBot="1" x14ac:dyDescent="0.3">
      <c r="A379" s="1776"/>
      <c r="B379" s="1678"/>
      <c r="C379" s="1161"/>
      <c r="D379" s="203" t="s">
        <v>270</v>
      </c>
      <c r="E379" s="104"/>
      <c r="F379" s="251">
        <f>(F378*100)/F376</f>
        <v>87.864077669902912</v>
      </c>
      <c r="G379" s="251">
        <f t="shared" ref="G379:J379" si="29">(G378*100)/G376</f>
        <v>62.903225806451616</v>
      </c>
      <c r="H379" s="252">
        <f t="shared" si="29"/>
        <v>56.647398843930638</v>
      </c>
      <c r="I379" s="251">
        <f t="shared" si="29"/>
        <v>60.843373493975903</v>
      </c>
      <c r="J379" s="251">
        <f t="shared" si="29"/>
        <v>65.625</v>
      </c>
      <c r="K379" s="252">
        <f>(K378*100)/K376</f>
        <v>57.558139534883722</v>
      </c>
      <c r="L379" s="22"/>
    </row>
    <row r="380" spans="1:12" ht="14.85" customHeight="1" x14ac:dyDescent="0.25">
      <c r="A380" s="1776"/>
      <c r="B380" s="1678"/>
      <c r="C380" s="1659" t="s">
        <v>465</v>
      </c>
      <c r="D380" s="241" t="s">
        <v>251</v>
      </c>
      <c r="E380" s="242"/>
      <c r="F380" s="243">
        <v>58</v>
      </c>
      <c r="G380" s="243">
        <v>31</v>
      </c>
      <c r="H380" s="243">
        <v>57</v>
      </c>
      <c r="I380" s="243">
        <v>54</v>
      </c>
      <c r="J380" s="243">
        <v>50</v>
      </c>
      <c r="K380" s="122">
        <v>53</v>
      </c>
      <c r="L380" s="87"/>
    </row>
    <row r="381" spans="1:12" x14ac:dyDescent="0.25">
      <c r="A381" s="1776"/>
      <c r="B381" s="1678"/>
      <c r="C381" s="1160"/>
      <c r="D381" s="28" t="s">
        <v>257</v>
      </c>
      <c r="E381" s="94"/>
      <c r="F381" s="80">
        <v>9</v>
      </c>
      <c r="G381" s="80">
        <v>0</v>
      </c>
      <c r="H381" s="80">
        <v>12</v>
      </c>
      <c r="I381" s="80">
        <v>14</v>
      </c>
      <c r="J381" s="80">
        <v>9</v>
      </c>
      <c r="K381" s="28">
        <v>8</v>
      </c>
      <c r="L381" s="21"/>
    </row>
    <row r="382" spans="1:12" x14ac:dyDescent="0.25">
      <c r="A382" s="1776"/>
      <c r="B382" s="1678"/>
      <c r="C382" s="1160"/>
      <c r="D382" s="28" t="s">
        <v>263</v>
      </c>
      <c r="E382" s="94"/>
      <c r="F382" s="80">
        <v>49</v>
      </c>
      <c r="G382" s="80">
        <v>31</v>
      </c>
      <c r="H382" s="80">
        <v>45</v>
      </c>
      <c r="I382" s="80">
        <v>40</v>
      </c>
      <c r="J382" s="80">
        <v>41</v>
      </c>
      <c r="K382" s="28">
        <v>45</v>
      </c>
      <c r="L382" s="21"/>
    </row>
    <row r="383" spans="1:12" ht="16.5" thickBot="1" x14ac:dyDescent="0.3">
      <c r="A383" s="1776"/>
      <c r="B383" s="1678"/>
      <c r="C383" s="1161"/>
      <c r="D383" s="203" t="s">
        <v>270</v>
      </c>
      <c r="E383" s="104"/>
      <c r="F383" s="251">
        <f>(F382*100)/F380</f>
        <v>84.482758620689651</v>
      </c>
      <c r="G383" s="251">
        <f t="shared" ref="G383:J383" si="30">(G382*100)/G380</f>
        <v>100</v>
      </c>
      <c r="H383" s="251">
        <f t="shared" si="30"/>
        <v>78.94736842105263</v>
      </c>
      <c r="I383" s="251">
        <f t="shared" si="30"/>
        <v>74.074074074074076</v>
      </c>
      <c r="J383" s="251">
        <f t="shared" si="30"/>
        <v>82</v>
      </c>
      <c r="K383" s="251">
        <f>(K382*100)/K380</f>
        <v>84.905660377358487</v>
      </c>
      <c r="L383" s="22"/>
    </row>
    <row r="384" spans="1:12" ht="14.85" customHeight="1" x14ac:dyDescent="0.25">
      <c r="A384" s="1776"/>
      <c r="B384" s="1678"/>
      <c r="C384" s="1159" t="s">
        <v>559</v>
      </c>
      <c r="D384" s="248" t="s">
        <v>251</v>
      </c>
      <c r="E384" s="249"/>
      <c r="F384" s="250">
        <v>47</v>
      </c>
      <c r="G384" s="250">
        <v>45</v>
      </c>
      <c r="H384" s="250">
        <v>91</v>
      </c>
      <c r="I384" s="250">
        <v>97</v>
      </c>
      <c r="J384" s="250">
        <v>107</v>
      </c>
      <c r="K384" s="36">
        <v>146</v>
      </c>
      <c r="L384" s="20"/>
    </row>
    <row r="385" spans="1:12" x14ac:dyDescent="0.25">
      <c r="A385" s="1776"/>
      <c r="B385" s="1678"/>
      <c r="C385" s="1160"/>
      <c r="D385" s="28" t="s">
        <v>257</v>
      </c>
      <c r="E385" s="94"/>
      <c r="F385" s="80">
        <v>44</v>
      </c>
      <c r="G385" s="80">
        <v>45</v>
      </c>
      <c r="H385" s="80">
        <v>88</v>
      </c>
      <c r="I385" s="80">
        <v>94</v>
      </c>
      <c r="J385" s="80">
        <v>106</v>
      </c>
      <c r="K385" s="28">
        <v>142</v>
      </c>
      <c r="L385" s="21"/>
    </row>
    <row r="386" spans="1:12" x14ac:dyDescent="0.25">
      <c r="A386" s="1776"/>
      <c r="B386" s="1678"/>
      <c r="C386" s="1160"/>
      <c r="D386" s="28" t="s">
        <v>263</v>
      </c>
      <c r="E386" s="94"/>
      <c r="F386" s="80">
        <v>3</v>
      </c>
      <c r="G386" s="80">
        <v>0</v>
      </c>
      <c r="H386" s="80">
        <v>3</v>
      </c>
      <c r="I386" s="80">
        <v>3</v>
      </c>
      <c r="J386" s="80">
        <v>1</v>
      </c>
      <c r="K386" s="28">
        <v>4</v>
      </c>
      <c r="L386" s="21"/>
    </row>
    <row r="387" spans="1:12" ht="16.5" thickBot="1" x14ac:dyDescent="0.3">
      <c r="A387" s="1776"/>
      <c r="B387" s="1678"/>
      <c r="C387" s="1161"/>
      <c r="D387" s="203" t="s">
        <v>270</v>
      </c>
      <c r="E387" s="106"/>
      <c r="F387" s="253">
        <f>(F386*100)/F384</f>
        <v>6.3829787234042552</v>
      </c>
      <c r="G387" s="253">
        <f t="shared" ref="G387:J387" si="31">(G386*100)/G384</f>
        <v>0</v>
      </c>
      <c r="H387" s="253">
        <f t="shared" si="31"/>
        <v>3.2967032967032965</v>
      </c>
      <c r="I387" s="253">
        <f t="shared" si="31"/>
        <v>3.0927835051546393</v>
      </c>
      <c r="J387" s="253">
        <f t="shared" si="31"/>
        <v>0.93457943925233644</v>
      </c>
      <c r="K387" s="253">
        <f>(K386*100)/K384</f>
        <v>2.7397260273972601</v>
      </c>
      <c r="L387" s="22"/>
    </row>
    <row r="388" spans="1:12" ht="14.85" customHeight="1" x14ac:dyDescent="0.25">
      <c r="A388" s="1776"/>
      <c r="B388" s="1678"/>
      <c r="C388" s="1159" t="s">
        <v>522</v>
      </c>
      <c r="D388" s="248" t="s">
        <v>251</v>
      </c>
      <c r="E388" s="249"/>
      <c r="F388" s="250">
        <v>81</v>
      </c>
      <c r="G388" s="250">
        <v>49</v>
      </c>
      <c r="H388" s="250">
        <v>43</v>
      </c>
      <c r="I388" s="250">
        <v>51</v>
      </c>
      <c r="J388" s="250">
        <v>50</v>
      </c>
      <c r="K388" s="36">
        <v>46</v>
      </c>
      <c r="L388" s="20"/>
    </row>
    <row r="389" spans="1:12" x14ac:dyDescent="0.25">
      <c r="A389" s="1776"/>
      <c r="B389" s="1678"/>
      <c r="C389" s="1160"/>
      <c r="D389" s="28" t="s">
        <v>257</v>
      </c>
      <c r="E389" s="94"/>
      <c r="F389" s="80">
        <v>81</v>
      </c>
      <c r="G389" s="80">
        <v>47</v>
      </c>
      <c r="H389" s="80">
        <v>41</v>
      </c>
      <c r="I389" s="80">
        <v>48</v>
      </c>
      <c r="J389" s="80">
        <v>46</v>
      </c>
      <c r="K389" s="28">
        <v>44</v>
      </c>
      <c r="L389" s="21"/>
    </row>
    <row r="390" spans="1:12" x14ac:dyDescent="0.25">
      <c r="A390" s="1776"/>
      <c r="B390" s="1678"/>
      <c r="C390" s="1160"/>
      <c r="D390" s="28" t="s">
        <v>263</v>
      </c>
      <c r="E390" s="94"/>
      <c r="F390" s="80">
        <v>0</v>
      </c>
      <c r="G390" s="80">
        <v>2</v>
      </c>
      <c r="H390" s="80">
        <v>2</v>
      </c>
      <c r="I390" s="80">
        <v>3</v>
      </c>
      <c r="J390" s="80">
        <v>4</v>
      </c>
      <c r="K390" s="28">
        <v>2</v>
      </c>
      <c r="L390" s="21"/>
    </row>
    <row r="391" spans="1:12" ht="16.5" thickBot="1" x14ac:dyDescent="0.3">
      <c r="A391" s="1776"/>
      <c r="B391" s="1678"/>
      <c r="C391" s="1161"/>
      <c r="D391" s="203" t="s">
        <v>270</v>
      </c>
      <c r="E391" s="106"/>
      <c r="F391" s="253">
        <f>(F390*100)/F388</f>
        <v>0</v>
      </c>
      <c r="G391" s="253">
        <f t="shared" ref="G391:J391" si="32">(G390*100)/G388</f>
        <v>4.0816326530612246</v>
      </c>
      <c r="H391" s="253">
        <f t="shared" si="32"/>
        <v>4.6511627906976747</v>
      </c>
      <c r="I391" s="253">
        <f t="shared" si="32"/>
        <v>5.882352941176471</v>
      </c>
      <c r="J391" s="253">
        <f t="shared" si="32"/>
        <v>8</v>
      </c>
      <c r="K391" s="253">
        <f>(K390*100)/K388</f>
        <v>4.3478260869565215</v>
      </c>
      <c r="L391" s="22"/>
    </row>
    <row r="392" spans="1:12" ht="14.85" customHeight="1" x14ac:dyDescent="0.25">
      <c r="A392" s="1776"/>
      <c r="B392" s="1678"/>
      <c r="C392" s="1159" t="s">
        <v>524</v>
      </c>
      <c r="D392" s="248" t="s">
        <v>251</v>
      </c>
      <c r="E392" s="249"/>
      <c r="F392" s="344">
        <v>112</v>
      </c>
      <c r="G392" s="250">
        <v>132</v>
      </c>
      <c r="H392" s="250">
        <v>163</v>
      </c>
      <c r="I392" s="250">
        <v>172</v>
      </c>
      <c r="J392" s="250">
        <v>195</v>
      </c>
      <c r="K392" s="36">
        <v>232</v>
      </c>
      <c r="L392" s="20"/>
    </row>
    <row r="393" spans="1:12" x14ac:dyDescent="0.25">
      <c r="A393" s="1776"/>
      <c r="B393" s="1678"/>
      <c r="C393" s="1160"/>
      <c r="D393" s="28" t="s">
        <v>257</v>
      </c>
      <c r="E393" s="94"/>
      <c r="F393" s="181">
        <v>96</v>
      </c>
      <c r="G393" s="80">
        <v>119</v>
      </c>
      <c r="H393" s="80">
        <v>146</v>
      </c>
      <c r="I393" s="80">
        <v>160</v>
      </c>
      <c r="J393" s="80">
        <v>185</v>
      </c>
      <c r="K393" s="28">
        <v>207</v>
      </c>
      <c r="L393" s="21"/>
    </row>
    <row r="394" spans="1:12" x14ac:dyDescent="0.25">
      <c r="A394" s="1776"/>
      <c r="B394" s="1678"/>
      <c r="C394" s="1160"/>
      <c r="D394" s="28" t="s">
        <v>263</v>
      </c>
      <c r="E394" s="94"/>
      <c r="F394" s="181">
        <v>16</v>
      </c>
      <c r="G394" s="80">
        <v>13</v>
      </c>
      <c r="H394" s="80">
        <v>17</v>
      </c>
      <c r="I394" s="80">
        <v>12</v>
      </c>
      <c r="J394" s="80">
        <v>10</v>
      </c>
      <c r="K394" s="28">
        <v>25</v>
      </c>
      <c r="L394" s="21"/>
    </row>
    <row r="395" spans="1:12" ht="16.5" thickBot="1" x14ac:dyDescent="0.3">
      <c r="A395" s="1776"/>
      <c r="B395" s="1678"/>
      <c r="C395" s="1161"/>
      <c r="D395" s="203" t="s">
        <v>270</v>
      </c>
      <c r="E395" s="106"/>
      <c r="F395" s="253">
        <f>(F394*100)/F392</f>
        <v>14.285714285714286</v>
      </c>
      <c r="G395" s="253">
        <f t="shared" ref="G395:J395" si="33">(G394*100)/G392</f>
        <v>9.8484848484848477</v>
      </c>
      <c r="H395" s="253">
        <f t="shared" si="33"/>
        <v>10.429447852760736</v>
      </c>
      <c r="I395" s="253">
        <f t="shared" si="33"/>
        <v>6.9767441860465116</v>
      </c>
      <c r="J395" s="253">
        <f t="shared" si="33"/>
        <v>5.1282051282051286</v>
      </c>
      <c r="K395" s="253">
        <f>(K394*100)/K392</f>
        <v>10.775862068965518</v>
      </c>
      <c r="L395" s="22"/>
    </row>
    <row r="396" spans="1:12" ht="14.85" customHeight="1" x14ac:dyDescent="0.25">
      <c r="A396" s="1776"/>
      <c r="B396" s="1678"/>
      <c r="C396" s="1159" t="s">
        <v>531</v>
      </c>
      <c r="D396" s="248" t="s">
        <v>251</v>
      </c>
      <c r="E396" s="249"/>
      <c r="F396" s="250"/>
      <c r="G396" s="250">
        <v>12</v>
      </c>
      <c r="H396" s="250">
        <v>41</v>
      </c>
      <c r="I396" s="250">
        <v>53</v>
      </c>
      <c r="J396" s="250">
        <v>112</v>
      </c>
      <c r="K396" s="36">
        <v>138</v>
      </c>
      <c r="L396" s="20"/>
    </row>
    <row r="397" spans="1:12" x14ac:dyDescent="0.25">
      <c r="A397" s="1776"/>
      <c r="B397" s="1678"/>
      <c r="C397" s="1160"/>
      <c r="D397" s="28" t="s">
        <v>257</v>
      </c>
      <c r="E397" s="94"/>
      <c r="F397" s="80"/>
      <c r="G397" s="80">
        <v>1</v>
      </c>
      <c r="H397" s="80">
        <v>8</v>
      </c>
      <c r="I397" s="80">
        <v>6</v>
      </c>
      <c r="J397" s="80">
        <v>12</v>
      </c>
      <c r="K397" s="28">
        <v>16</v>
      </c>
      <c r="L397" s="21"/>
    </row>
    <row r="398" spans="1:12" x14ac:dyDescent="0.25">
      <c r="A398" s="1776"/>
      <c r="B398" s="1678"/>
      <c r="C398" s="1160"/>
      <c r="D398" s="28" t="s">
        <v>263</v>
      </c>
      <c r="E398" s="94"/>
      <c r="F398" s="80"/>
      <c r="G398" s="80">
        <v>11</v>
      </c>
      <c r="H398" s="80">
        <v>33</v>
      </c>
      <c r="I398" s="80">
        <v>47</v>
      </c>
      <c r="J398" s="80">
        <v>100</v>
      </c>
      <c r="K398" s="28">
        <v>122</v>
      </c>
      <c r="L398" s="21"/>
    </row>
    <row r="399" spans="1:12" ht="16.5" thickBot="1" x14ac:dyDescent="0.3">
      <c r="A399" s="1776"/>
      <c r="B399" s="1678"/>
      <c r="C399" s="1161"/>
      <c r="D399" s="203" t="s">
        <v>270</v>
      </c>
      <c r="E399" s="106"/>
      <c r="F399" s="197"/>
      <c r="G399" s="251">
        <f>(G398*100)/G396</f>
        <v>91.666666666666671</v>
      </c>
      <c r="H399" s="251">
        <f>(H398*100)/H396</f>
        <v>80.487804878048777</v>
      </c>
      <c r="I399" s="251">
        <f t="shared" ref="I399:J399" si="34">(I398*100)/I396</f>
        <v>88.679245283018872</v>
      </c>
      <c r="J399" s="251">
        <f t="shared" si="34"/>
        <v>89.285714285714292</v>
      </c>
      <c r="K399" s="251">
        <f>(K398*100)/K396</f>
        <v>88.405797101449281</v>
      </c>
      <c r="L399" s="22"/>
    </row>
    <row r="400" spans="1:12" ht="14.85" customHeight="1" x14ac:dyDescent="0.25">
      <c r="A400" s="1776"/>
      <c r="B400" s="1678"/>
      <c r="C400" s="1159" t="s">
        <v>526</v>
      </c>
      <c r="D400" s="248" t="s">
        <v>251</v>
      </c>
      <c r="E400" s="249"/>
      <c r="F400" s="250">
        <v>23</v>
      </c>
      <c r="G400" s="250">
        <v>30</v>
      </c>
      <c r="H400" s="250">
        <v>31</v>
      </c>
      <c r="I400" s="250">
        <v>28</v>
      </c>
      <c r="J400" s="250">
        <v>25</v>
      </c>
      <c r="K400" s="36">
        <v>27</v>
      </c>
      <c r="L400" s="20"/>
    </row>
    <row r="401" spans="1:12" x14ac:dyDescent="0.25">
      <c r="A401" s="1776"/>
      <c r="B401" s="1678"/>
      <c r="C401" s="1160"/>
      <c r="D401" s="28" t="s">
        <v>257</v>
      </c>
      <c r="E401" s="94"/>
      <c r="F401" s="80">
        <v>12</v>
      </c>
      <c r="G401" s="80">
        <v>18</v>
      </c>
      <c r="H401" s="80">
        <v>19</v>
      </c>
      <c r="I401" s="80">
        <v>15</v>
      </c>
      <c r="J401" s="80">
        <v>13</v>
      </c>
      <c r="K401" s="28">
        <v>13</v>
      </c>
      <c r="L401" s="21"/>
    </row>
    <row r="402" spans="1:12" x14ac:dyDescent="0.25">
      <c r="A402" s="1776"/>
      <c r="B402" s="1678"/>
      <c r="C402" s="1160"/>
      <c r="D402" s="28" t="s">
        <v>263</v>
      </c>
      <c r="E402" s="94"/>
      <c r="F402" s="80">
        <v>11</v>
      </c>
      <c r="G402" s="80">
        <v>12</v>
      </c>
      <c r="H402" s="80">
        <v>12</v>
      </c>
      <c r="I402" s="80">
        <v>13</v>
      </c>
      <c r="J402" s="80">
        <v>12</v>
      </c>
      <c r="K402" s="28">
        <v>14</v>
      </c>
      <c r="L402" s="21"/>
    </row>
    <row r="403" spans="1:12" ht="16.5" thickBot="1" x14ac:dyDescent="0.3">
      <c r="A403" s="1776"/>
      <c r="B403" s="1678"/>
      <c r="C403" s="1161"/>
      <c r="D403" s="203" t="s">
        <v>270</v>
      </c>
      <c r="E403" s="106"/>
      <c r="F403" s="252">
        <f>(F402*100)/F400</f>
        <v>47.826086956521742</v>
      </c>
      <c r="G403" s="252">
        <f t="shared" ref="G403:J403" si="35">(G402*100)/G400</f>
        <v>40</v>
      </c>
      <c r="H403" s="253">
        <f t="shared" si="35"/>
        <v>38.70967741935484</v>
      </c>
      <c r="I403" s="252">
        <f t="shared" si="35"/>
        <v>46.428571428571431</v>
      </c>
      <c r="J403" s="252">
        <f t="shared" si="35"/>
        <v>48</v>
      </c>
      <c r="K403" s="252">
        <f>(K402*100)/K400</f>
        <v>51.851851851851855</v>
      </c>
      <c r="L403" s="22"/>
    </row>
    <row r="404" spans="1:12" ht="14.85" customHeight="1" x14ac:dyDescent="0.25">
      <c r="A404" s="1776"/>
      <c r="B404" s="1678"/>
      <c r="C404" s="1159" t="s">
        <v>576</v>
      </c>
      <c r="D404" s="248" t="s">
        <v>251</v>
      </c>
      <c r="E404" s="249"/>
      <c r="F404" s="250">
        <v>138</v>
      </c>
      <c r="G404" s="250">
        <v>143</v>
      </c>
      <c r="H404" s="250">
        <v>121</v>
      </c>
      <c r="I404" s="250">
        <v>151</v>
      </c>
      <c r="J404" s="250">
        <v>159</v>
      </c>
      <c r="K404" s="36">
        <v>165</v>
      </c>
      <c r="L404" s="20"/>
    </row>
    <row r="405" spans="1:12" x14ac:dyDescent="0.25">
      <c r="A405" s="1776"/>
      <c r="B405" s="1678"/>
      <c r="C405" s="1160"/>
      <c r="D405" s="28" t="s">
        <v>257</v>
      </c>
      <c r="E405" s="94"/>
      <c r="F405" s="80">
        <v>5</v>
      </c>
      <c r="G405" s="80">
        <v>13</v>
      </c>
      <c r="H405" s="80">
        <v>18</v>
      </c>
      <c r="I405" s="80">
        <v>17</v>
      </c>
      <c r="J405" s="80">
        <v>14</v>
      </c>
      <c r="K405" s="28">
        <v>16</v>
      </c>
      <c r="L405" s="21"/>
    </row>
    <row r="406" spans="1:12" x14ac:dyDescent="0.25">
      <c r="A406" s="1776"/>
      <c r="B406" s="1678"/>
      <c r="C406" s="1160"/>
      <c r="D406" s="28" t="s">
        <v>263</v>
      </c>
      <c r="E406" s="94"/>
      <c r="F406" s="80">
        <v>133</v>
      </c>
      <c r="G406" s="80">
        <v>130</v>
      </c>
      <c r="H406" s="80">
        <v>103</v>
      </c>
      <c r="I406" s="80">
        <v>134</v>
      </c>
      <c r="J406" s="80">
        <v>145</v>
      </c>
      <c r="K406" s="28">
        <v>149</v>
      </c>
      <c r="L406" s="21"/>
    </row>
    <row r="407" spans="1:12" ht="16.5" thickBot="1" x14ac:dyDescent="0.3">
      <c r="A407" s="1776"/>
      <c r="B407" s="1678"/>
      <c r="C407" s="1161"/>
      <c r="D407" s="203" t="s">
        <v>270</v>
      </c>
      <c r="E407" s="106"/>
      <c r="F407" s="251">
        <f>(F406*100)/F404</f>
        <v>96.376811594202906</v>
      </c>
      <c r="G407" s="251">
        <f t="shared" ref="G407:J407" si="36">(G406*100)/G404</f>
        <v>90.909090909090907</v>
      </c>
      <c r="H407" s="251">
        <f t="shared" si="36"/>
        <v>85.123966942148755</v>
      </c>
      <c r="I407" s="251">
        <f t="shared" si="36"/>
        <v>88.741721854304629</v>
      </c>
      <c r="J407" s="251">
        <f t="shared" si="36"/>
        <v>91.19496855345912</v>
      </c>
      <c r="K407" s="251">
        <f>(K406*100)/K404</f>
        <v>90.303030303030297</v>
      </c>
      <c r="L407" s="22"/>
    </row>
    <row r="408" spans="1:12" ht="14.85" customHeight="1" x14ac:dyDescent="0.25">
      <c r="A408" s="1776"/>
      <c r="B408" s="1678"/>
      <c r="C408" s="1159" t="s">
        <v>527</v>
      </c>
      <c r="D408" s="248" t="s">
        <v>251</v>
      </c>
      <c r="E408" s="249"/>
      <c r="F408" s="250">
        <v>104</v>
      </c>
      <c r="G408" s="250">
        <v>104</v>
      </c>
      <c r="H408" s="250">
        <v>70</v>
      </c>
      <c r="I408" s="250">
        <v>96</v>
      </c>
      <c r="J408" s="250">
        <v>94</v>
      </c>
      <c r="K408" s="36">
        <v>94</v>
      </c>
      <c r="L408" s="20"/>
    </row>
    <row r="409" spans="1:12" x14ac:dyDescent="0.25">
      <c r="A409" s="1776"/>
      <c r="B409" s="1678"/>
      <c r="C409" s="1160"/>
      <c r="D409" s="28" t="s">
        <v>257</v>
      </c>
      <c r="E409" s="94"/>
      <c r="F409" s="80">
        <v>104</v>
      </c>
      <c r="G409" s="80">
        <v>101</v>
      </c>
      <c r="H409" s="80">
        <v>68</v>
      </c>
      <c r="I409" s="80">
        <v>96</v>
      </c>
      <c r="J409" s="80">
        <v>92</v>
      </c>
      <c r="K409" s="80">
        <v>92</v>
      </c>
      <c r="L409" s="21"/>
    </row>
    <row r="410" spans="1:12" x14ac:dyDescent="0.25">
      <c r="A410" s="1776"/>
      <c r="B410" s="1678"/>
      <c r="C410" s="1160"/>
      <c r="D410" s="28" t="s">
        <v>263</v>
      </c>
      <c r="E410" s="94"/>
      <c r="F410" s="80">
        <v>0</v>
      </c>
      <c r="G410" s="80">
        <v>3</v>
      </c>
      <c r="H410" s="80">
        <v>2</v>
      </c>
      <c r="I410" s="80">
        <v>0</v>
      </c>
      <c r="J410" s="80">
        <v>2</v>
      </c>
      <c r="K410" s="80">
        <v>2</v>
      </c>
      <c r="L410" s="21"/>
    </row>
    <row r="411" spans="1:12" ht="16.5" thickBot="1" x14ac:dyDescent="0.3">
      <c r="A411" s="1776"/>
      <c r="B411" s="1678"/>
      <c r="C411" s="1161"/>
      <c r="D411" s="203" t="s">
        <v>270</v>
      </c>
      <c r="E411" s="106"/>
      <c r="F411" s="253">
        <f>(F410*100)/F408</f>
        <v>0</v>
      </c>
      <c r="G411" s="253">
        <f t="shared" ref="G411:J411" si="37">(G410*100)/G408</f>
        <v>2.8846153846153846</v>
      </c>
      <c r="H411" s="253">
        <f t="shared" si="37"/>
        <v>2.8571428571428572</v>
      </c>
      <c r="I411" s="253">
        <f t="shared" si="37"/>
        <v>0</v>
      </c>
      <c r="J411" s="253">
        <f t="shared" si="37"/>
        <v>2.1276595744680851</v>
      </c>
      <c r="K411" s="253">
        <f>(K410*100)/K408</f>
        <v>2.1276595744680851</v>
      </c>
      <c r="L411" s="22"/>
    </row>
    <row r="412" spans="1:12" ht="14.85" customHeight="1" x14ac:dyDescent="0.25">
      <c r="A412" s="1776"/>
      <c r="B412" s="1678"/>
      <c r="C412" s="1159" t="s">
        <v>532</v>
      </c>
      <c r="D412" s="248" t="s">
        <v>251</v>
      </c>
      <c r="E412" s="249"/>
      <c r="F412" s="250">
        <v>37</v>
      </c>
      <c r="G412" s="250">
        <v>52</v>
      </c>
      <c r="H412" s="250">
        <v>110</v>
      </c>
      <c r="I412" s="250">
        <v>190</v>
      </c>
      <c r="J412" s="250">
        <v>231</v>
      </c>
      <c r="K412" s="849">
        <v>233</v>
      </c>
      <c r="L412" s="20"/>
    </row>
    <row r="413" spans="1:12" x14ac:dyDescent="0.25">
      <c r="A413" s="1776"/>
      <c r="B413" s="1678"/>
      <c r="C413" s="1160"/>
      <c r="D413" s="28" t="s">
        <v>257</v>
      </c>
      <c r="E413" s="94"/>
      <c r="F413" s="80">
        <v>12</v>
      </c>
      <c r="G413" s="80">
        <v>26</v>
      </c>
      <c r="H413" s="80">
        <v>45</v>
      </c>
      <c r="I413" s="80">
        <v>81</v>
      </c>
      <c r="J413" s="80">
        <v>97</v>
      </c>
      <c r="K413" s="28">
        <v>109</v>
      </c>
      <c r="L413" s="21"/>
    </row>
    <row r="414" spans="1:12" x14ac:dyDescent="0.25">
      <c r="A414" s="1776"/>
      <c r="B414" s="1678"/>
      <c r="C414" s="1160"/>
      <c r="D414" s="28" t="s">
        <v>263</v>
      </c>
      <c r="E414" s="94"/>
      <c r="F414" s="80">
        <v>25</v>
      </c>
      <c r="G414" s="80">
        <v>26</v>
      </c>
      <c r="H414" s="80">
        <v>65</v>
      </c>
      <c r="I414" s="80">
        <v>109</v>
      </c>
      <c r="J414" s="80">
        <v>134</v>
      </c>
      <c r="K414" s="28">
        <v>124</v>
      </c>
      <c r="L414" s="21"/>
    </row>
    <row r="415" spans="1:12" ht="16.5" thickBot="1" x14ac:dyDescent="0.3">
      <c r="A415" s="1776"/>
      <c r="B415" s="1678"/>
      <c r="C415" s="1161"/>
      <c r="D415" s="203" t="s">
        <v>270</v>
      </c>
      <c r="E415" s="106"/>
      <c r="F415" s="251">
        <f t="shared" ref="F415:J415" si="38">(F414*100)/F412</f>
        <v>67.567567567567565</v>
      </c>
      <c r="G415" s="252">
        <f t="shared" si="38"/>
        <v>50</v>
      </c>
      <c r="H415" s="252">
        <f t="shared" si="38"/>
        <v>59.090909090909093</v>
      </c>
      <c r="I415" s="252">
        <f t="shared" si="38"/>
        <v>57.368421052631582</v>
      </c>
      <c r="J415" s="252">
        <f t="shared" si="38"/>
        <v>58.00865800865801</v>
      </c>
      <c r="K415" s="252">
        <f>(K414*100)/K412</f>
        <v>53.218884120171673</v>
      </c>
      <c r="L415" s="22"/>
    </row>
    <row r="416" spans="1:12" ht="14.85" customHeight="1" x14ac:dyDescent="0.25">
      <c r="A416" s="1776"/>
      <c r="B416" s="1678"/>
      <c r="C416" s="1159" t="s">
        <v>482</v>
      </c>
      <c r="D416" s="248" t="s">
        <v>251</v>
      </c>
      <c r="E416" s="249"/>
      <c r="F416" s="250">
        <v>95</v>
      </c>
      <c r="G416" s="250">
        <v>98</v>
      </c>
      <c r="H416" s="250"/>
      <c r="I416" s="250"/>
      <c r="J416" s="250"/>
      <c r="K416" s="36"/>
      <c r="L416" s="20"/>
    </row>
    <row r="417" spans="1:12" x14ac:dyDescent="0.25">
      <c r="A417" s="1776"/>
      <c r="B417" s="1678"/>
      <c r="C417" s="1160"/>
      <c r="D417" s="28" t="s">
        <v>257</v>
      </c>
      <c r="E417" s="94"/>
      <c r="F417" s="80">
        <v>55</v>
      </c>
      <c r="G417" s="80">
        <v>49</v>
      </c>
      <c r="H417" s="80"/>
      <c r="I417" s="80"/>
      <c r="J417" s="80"/>
      <c r="K417" s="28"/>
      <c r="L417" s="21"/>
    </row>
    <row r="418" spans="1:12" x14ac:dyDescent="0.25">
      <c r="A418" s="1776"/>
      <c r="B418" s="1678"/>
      <c r="C418" s="1160"/>
      <c r="D418" s="28" t="s">
        <v>263</v>
      </c>
      <c r="E418" s="94"/>
      <c r="F418" s="80">
        <v>40</v>
      </c>
      <c r="G418" s="80">
        <v>49</v>
      </c>
      <c r="H418" s="80"/>
      <c r="I418" s="80"/>
      <c r="J418" s="80"/>
      <c r="K418" s="28"/>
      <c r="L418" s="21"/>
    </row>
    <row r="419" spans="1:12" ht="16.5" thickBot="1" x14ac:dyDescent="0.3">
      <c r="A419" s="1776"/>
      <c r="B419" s="1678"/>
      <c r="C419" s="1161"/>
      <c r="D419" s="203" t="s">
        <v>270</v>
      </c>
      <c r="E419" s="106"/>
      <c r="F419" s="252">
        <f t="shared" ref="F419:G419" si="39">(F418*100)/F416</f>
        <v>42.10526315789474</v>
      </c>
      <c r="G419" s="252">
        <f t="shared" si="39"/>
        <v>50</v>
      </c>
      <c r="H419" s="190"/>
      <c r="I419" s="190"/>
      <c r="J419" s="190"/>
      <c r="K419" s="33"/>
      <c r="L419" s="22"/>
    </row>
    <row r="420" spans="1:12" ht="14.85" customHeight="1" x14ac:dyDescent="0.25">
      <c r="A420" s="1776"/>
      <c r="B420" s="1678"/>
      <c r="C420" s="1159" t="s">
        <v>539</v>
      </c>
      <c r="D420" s="248" t="s">
        <v>251</v>
      </c>
      <c r="E420" s="249"/>
      <c r="F420" s="250"/>
      <c r="G420" s="250"/>
      <c r="H420" s="250">
        <v>39</v>
      </c>
      <c r="I420" s="250">
        <v>110</v>
      </c>
      <c r="J420" s="250">
        <v>206</v>
      </c>
      <c r="K420" s="36">
        <v>177</v>
      </c>
      <c r="L420" s="20"/>
    </row>
    <row r="421" spans="1:12" x14ac:dyDescent="0.25">
      <c r="A421" s="1776"/>
      <c r="B421" s="1678"/>
      <c r="C421" s="1160"/>
      <c r="D421" s="28" t="s">
        <v>257</v>
      </c>
      <c r="E421" s="94"/>
      <c r="F421" s="80"/>
      <c r="G421" s="80"/>
      <c r="H421" s="80">
        <v>35</v>
      </c>
      <c r="I421" s="80">
        <v>91</v>
      </c>
      <c r="J421" s="80">
        <v>174</v>
      </c>
      <c r="K421" s="28">
        <v>153</v>
      </c>
      <c r="L421" s="21"/>
    </row>
    <row r="422" spans="1:12" x14ac:dyDescent="0.25">
      <c r="A422" s="1776"/>
      <c r="B422" s="1678"/>
      <c r="C422" s="1160"/>
      <c r="D422" s="28" t="s">
        <v>263</v>
      </c>
      <c r="E422" s="94"/>
      <c r="F422" s="80"/>
      <c r="G422" s="80"/>
      <c r="H422" s="80">
        <v>4</v>
      </c>
      <c r="I422" s="80">
        <v>19</v>
      </c>
      <c r="J422" s="80">
        <v>32</v>
      </c>
      <c r="K422" s="28">
        <v>24</v>
      </c>
      <c r="L422" s="21"/>
    </row>
    <row r="423" spans="1:12" ht="16.5" thickBot="1" x14ac:dyDescent="0.3">
      <c r="A423" s="1776"/>
      <c r="B423" s="1678"/>
      <c r="C423" s="1161"/>
      <c r="D423" s="203" t="s">
        <v>270</v>
      </c>
      <c r="E423" s="106"/>
      <c r="G423" s="197"/>
      <c r="H423" s="253">
        <f>(H422*100)/H420</f>
        <v>10.256410256410257</v>
      </c>
      <c r="I423" s="253">
        <f t="shared" ref="I423:J423" si="40">(I422*100)/I420</f>
        <v>17.272727272727273</v>
      </c>
      <c r="J423" s="253">
        <f t="shared" si="40"/>
        <v>15.533980582524272</v>
      </c>
      <c r="K423" s="253">
        <f>(K422*100)/K420</f>
        <v>13.559322033898304</v>
      </c>
      <c r="L423" s="22"/>
    </row>
    <row r="424" spans="1:12" x14ac:dyDescent="0.25">
      <c r="A424" s="1776"/>
      <c r="B424" s="1678"/>
      <c r="C424" s="1166" t="s">
        <v>472</v>
      </c>
      <c r="D424" s="308" t="s">
        <v>473</v>
      </c>
      <c r="E424" s="249"/>
      <c r="F424" s="261">
        <f>4/10*100</f>
        <v>40</v>
      </c>
      <c r="G424" s="261">
        <f>4/11*100</f>
        <v>36.363636363636367</v>
      </c>
      <c r="H424" s="261">
        <f>6/11*100</f>
        <v>54.54545454545454</v>
      </c>
      <c r="I424" s="261">
        <f>5/11*100</f>
        <v>45.454545454545453</v>
      </c>
      <c r="J424" s="261">
        <f>4/11*100</f>
        <v>36.363636363636367</v>
      </c>
      <c r="K424" s="261">
        <f>5/11*100</f>
        <v>45.454545454545453</v>
      </c>
      <c r="L424" s="20"/>
    </row>
    <row r="425" spans="1:12" x14ac:dyDescent="0.25">
      <c r="A425" s="1776"/>
      <c r="B425" s="1678"/>
      <c r="C425" s="1167"/>
      <c r="D425" s="232" t="s">
        <v>474</v>
      </c>
      <c r="E425" s="94"/>
      <c r="F425" s="234">
        <f>4/10*100</f>
        <v>40</v>
      </c>
      <c r="G425" s="234">
        <f>4/11*100</f>
        <v>36.363636363636367</v>
      </c>
      <c r="H425" s="234">
        <f>3/11*100</f>
        <v>27.27272727272727</v>
      </c>
      <c r="I425" s="234">
        <f>4/11*100</f>
        <v>36.363636363636367</v>
      </c>
      <c r="J425" s="234">
        <f>2/11*100</f>
        <v>18.181818181818183</v>
      </c>
      <c r="K425" s="234">
        <f>3/11*100</f>
        <v>27.27272727272727</v>
      </c>
      <c r="L425" s="21"/>
    </row>
    <row r="426" spans="1:12" ht="16.5" thickBot="1" x14ac:dyDescent="0.3">
      <c r="A426" s="1776"/>
      <c r="B426" s="1745"/>
      <c r="C426" s="1255"/>
      <c r="D426" s="311" t="s">
        <v>475</v>
      </c>
      <c r="E426" s="104"/>
      <c r="F426" s="312">
        <f>2/10*100</f>
        <v>20</v>
      </c>
      <c r="G426" s="312">
        <f>3/11*100</f>
        <v>27.27272727272727</v>
      </c>
      <c r="H426" s="312">
        <f>2/11*100</f>
        <v>18.181818181818183</v>
      </c>
      <c r="I426" s="312">
        <f>2/11*100</f>
        <v>18.181818181818183</v>
      </c>
      <c r="J426" s="312">
        <f>1/13*100</f>
        <v>7.6923076923076925</v>
      </c>
      <c r="K426" s="312">
        <f>3/11*100</f>
        <v>27.27272727272727</v>
      </c>
      <c r="L426" s="22"/>
    </row>
    <row r="427" spans="1:12" ht="16.5" thickBot="1" x14ac:dyDescent="0.3">
      <c r="A427" s="1775"/>
      <c r="B427" s="848" t="s">
        <v>249</v>
      </c>
      <c r="C427" s="1681"/>
      <c r="D427" s="1681"/>
      <c r="E427" s="112">
        <v>2005</v>
      </c>
      <c r="F427" s="112">
        <v>2010</v>
      </c>
      <c r="G427" s="112">
        <v>2015</v>
      </c>
      <c r="H427" s="112">
        <v>2020</v>
      </c>
      <c r="I427" s="112">
        <v>2021</v>
      </c>
      <c r="J427" s="112">
        <v>2022</v>
      </c>
      <c r="K427" s="112">
        <v>2023</v>
      </c>
      <c r="L427" s="112">
        <v>2024</v>
      </c>
    </row>
    <row r="428" spans="1:12" ht="15" customHeight="1" x14ac:dyDescent="0.25">
      <c r="A428" s="1775"/>
      <c r="B428" s="1799" t="s">
        <v>476</v>
      </c>
      <c r="C428" s="1251" t="s">
        <v>459</v>
      </c>
      <c r="D428" s="1390"/>
      <c r="E428" s="36"/>
      <c r="F428" s="195">
        <v>913</v>
      </c>
      <c r="G428" s="195">
        <v>1005</v>
      </c>
      <c r="H428" s="195">
        <v>1215</v>
      </c>
      <c r="I428" s="195">
        <v>1165</v>
      </c>
      <c r="J428" s="195">
        <v>1270</v>
      </c>
      <c r="K428" s="809">
        <v>1337</v>
      </c>
      <c r="L428" s="20"/>
    </row>
    <row r="429" spans="1:12" x14ac:dyDescent="0.25">
      <c r="A429" s="1775"/>
      <c r="B429" s="1799"/>
      <c r="C429" s="1123" t="s">
        <v>436</v>
      </c>
      <c r="D429" s="1124"/>
      <c r="E429" s="96"/>
      <c r="F429" s="96">
        <v>384</v>
      </c>
      <c r="G429" s="96">
        <v>463</v>
      </c>
      <c r="H429" s="96">
        <v>605</v>
      </c>
      <c r="I429" s="96">
        <v>608</v>
      </c>
      <c r="J429" s="96">
        <v>688</v>
      </c>
      <c r="K429" s="96">
        <v>743</v>
      </c>
      <c r="L429" s="21"/>
    </row>
    <row r="430" spans="1:12" x14ac:dyDescent="0.25">
      <c r="A430" s="1775"/>
      <c r="B430" s="1799"/>
      <c r="C430" s="1123" t="s">
        <v>437</v>
      </c>
      <c r="D430" s="1124"/>
      <c r="E430" s="96"/>
      <c r="F430" s="96">
        <v>529</v>
      </c>
      <c r="G430" s="96">
        <v>542</v>
      </c>
      <c r="H430" s="96">
        <v>610</v>
      </c>
      <c r="I430" s="96">
        <v>557</v>
      </c>
      <c r="J430" s="96">
        <v>582</v>
      </c>
      <c r="K430" s="96">
        <v>594</v>
      </c>
      <c r="L430" s="21"/>
    </row>
    <row r="431" spans="1:12" ht="16.5" thickBot="1" x14ac:dyDescent="0.3">
      <c r="A431" s="1775"/>
      <c r="B431" s="1799"/>
      <c r="C431" s="1170" t="s">
        <v>270</v>
      </c>
      <c r="D431" s="1288"/>
      <c r="E431" s="190"/>
      <c r="F431" s="285">
        <f t="shared" ref="F431:H431" si="41">F430/F428*100</f>
        <v>57.940854326396497</v>
      </c>
      <c r="G431" s="285">
        <f t="shared" si="41"/>
        <v>53.930348258706474</v>
      </c>
      <c r="H431" s="285">
        <f t="shared" si="41"/>
        <v>50.205761316872433</v>
      </c>
      <c r="I431" s="285">
        <f>I430/I428*100</f>
        <v>47.811158798283259</v>
      </c>
      <c r="J431" s="285">
        <f t="shared" ref="J431:K431" si="42">J430/J428*100</f>
        <v>45.826771653543311</v>
      </c>
      <c r="K431" s="285">
        <f t="shared" si="42"/>
        <v>44.427823485415111</v>
      </c>
      <c r="L431" s="22"/>
    </row>
    <row r="432" spans="1:12" ht="14.85" customHeight="1" x14ac:dyDescent="0.25">
      <c r="A432" s="1775"/>
      <c r="B432" s="1799"/>
      <c r="C432" s="1159" t="s">
        <v>523</v>
      </c>
      <c r="D432" s="248" t="s">
        <v>251</v>
      </c>
      <c r="E432" s="249"/>
      <c r="F432" s="250">
        <v>53</v>
      </c>
      <c r="G432" s="250">
        <v>57</v>
      </c>
      <c r="H432" s="250">
        <v>63</v>
      </c>
      <c r="I432" s="250">
        <v>57</v>
      </c>
      <c r="J432" s="250">
        <v>74</v>
      </c>
      <c r="K432" s="36">
        <v>78</v>
      </c>
      <c r="L432" s="20"/>
    </row>
    <row r="433" spans="1:12" x14ac:dyDescent="0.25">
      <c r="A433" s="1775"/>
      <c r="B433" s="1799"/>
      <c r="C433" s="1160"/>
      <c r="D433" s="28" t="s">
        <v>257</v>
      </c>
      <c r="E433" s="94"/>
      <c r="F433" s="80">
        <v>13</v>
      </c>
      <c r="G433" s="80">
        <v>20</v>
      </c>
      <c r="H433" s="80">
        <v>21</v>
      </c>
      <c r="I433" s="80">
        <v>16</v>
      </c>
      <c r="J433" s="80">
        <v>23</v>
      </c>
      <c r="K433" s="28">
        <v>31</v>
      </c>
      <c r="L433" s="21"/>
    </row>
    <row r="434" spans="1:12" x14ac:dyDescent="0.25">
      <c r="A434" s="1775"/>
      <c r="B434" s="1799"/>
      <c r="C434" s="1160"/>
      <c r="D434" s="28" t="s">
        <v>263</v>
      </c>
      <c r="E434" s="94"/>
      <c r="F434" s="80">
        <v>40</v>
      </c>
      <c r="G434" s="80">
        <v>37</v>
      </c>
      <c r="H434" s="80">
        <v>42</v>
      </c>
      <c r="I434" s="80">
        <v>41</v>
      </c>
      <c r="J434" s="80">
        <v>51</v>
      </c>
      <c r="K434" s="28">
        <v>47</v>
      </c>
      <c r="L434" s="21"/>
    </row>
    <row r="435" spans="1:12" ht="16.5" thickBot="1" x14ac:dyDescent="0.3">
      <c r="A435" s="1775"/>
      <c r="B435" s="1799"/>
      <c r="C435" s="1161"/>
      <c r="D435" s="203" t="s">
        <v>270</v>
      </c>
      <c r="E435" s="106"/>
      <c r="F435" s="251">
        <f>(F434*100)/F432</f>
        <v>75.471698113207552</v>
      </c>
      <c r="G435" s="251">
        <f t="shared" ref="G435:K435" si="43">(G434*100)/G432</f>
        <v>64.912280701754383</v>
      </c>
      <c r="H435" s="251">
        <f t="shared" si="43"/>
        <v>66.666666666666671</v>
      </c>
      <c r="I435" s="251">
        <f t="shared" si="43"/>
        <v>71.929824561403507</v>
      </c>
      <c r="J435" s="251">
        <f t="shared" si="43"/>
        <v>68.918918918918919</v>
      </c>
      <c r="K435" s="251">
        <f t="shared" si="43"/>
        <v>60.256410256410255</v>
      </c>
      <c r="L435" s="22"/>
    </row>
    <row r="436" spans="1:12" ht="14.85" customHeight="1" x14ac:dyDescent="0.25">
      <c r="A436" s="1775"/>
      <c r="B436" s="1799"/>
      <c r="C436" s="1159" t="s">
        <v>559</v>
      </c>
      <c r="D436" s="248" t="s">
        <v>251</v>
      </c>
      <c r="E436" s="249"/>
      <c r="F436" s="250">
        <v>48</v>
      </c>
      <c r="G436" s="250">
        <v>42</v>
      </c>
      <c r="H436" s="250">
        <v>65</v>
      </c>
      <c r="I436" s="250">
        <v>47</v>
      </c>
      <c r="J436" s="250">
        <v>59</v>
      </c>
      <c r="K436" s="36">
        <v>84</v>
      </c>
      <c r="L436" s="20"/>
    </row>
    <row r="437" spans="1:12" x14ac:dyDescent="0.25">
      <c r="A437" s="1775"/>
      <c r="B437" s="1799"/>
      <c r="C437" s="1160"/>
      <c r="D437" s="28" t="s">
        <v>257</v>
      </c>
      <c r="E437" s="94"/>
      <c r="F437" s="80">
        <v>47</v>
      </c>
      <c r="G437" s="80">
        <v>39</v>
      </c>
      <c r="H437" s="80">
        <v>65</v>
      </c>
      <c r="I437" s="80">
        <v>47</v>
      </c>
      <c r="J437" s="80">
        <v>57</v>
      </c>
      <c r="K437" s="28">
        <v>79</v>
      </c>
      <c r="L437" s="21"/>
    </row>
    <row r="438" spans="1:12" x14ac:dyDescent="0.25">
      <c r="A438" s="1775"/>
      <c r="B438" s="1799"/>
      <c r="C438" s="1160"/>
      <c r="D438" s="28" t="s">
        <v>263</v>
      </c>
      <c r="E438" s="94"/>
      <c r="F438" s="80">
        <v>1</v>
      </c>
      <c r="G438" s="80">
        <v>3</v>
      </c>
      <c r="H438" s="80">
        <v>0</v>
      </c>
      <c r="I438" s="80">
        <v>0</v>
      </c>
      <c r="J438" s="80">
        <v>2</v>
      </c>
      <c r="K438" s="28">
        <v>5</v>
      </c>
      <c r="L438" s="21"/>
    </row>
    <row r="439" spans="1:12" ht="16.5" thickBot="1" x14ac:dyDescent="0.3">
      <c r="A439" s="1775"/>
      <c r="B439" s="1799"/>
      <c r="C439" s="1161"/>
      <c r="D439" s="203" t="s">
        <v>270</v>
      </c>
      <c r="E439" s="106"/>
      <c r="F439" s="253">
        <f>(F438*100)/F436</f>
        <v>2.0833333333333335</v>
      </c>
      <c r="G439" s="253">
        <f t="shared" ref="G439:K439" si="44">(G438*100)/G436</f>
        <v>7.1428571428571432</v>
      </c>
      <c r="H439" s="253">
        <f t="shared" si="44"/>
        <v>0</v>
      </c>
      <c r="I439" s="253">
        <f t="shared" si="44"/>
        <v>0</v>
      </c>
      <c r="J439" s="253">
        <f t="shared" si="44"/>
        <v>3.3898305084745761</v>
      </c>
      <c r="K439" s="253">
        <f t="shared" si="44"/>
        <v>5.9523809523809526</v>
      </c>
      <c r="L439" s="22"/>
    </row>
    <row r="440" spans="1:12" ht="14.85" customHeight="1" x14ac:dyDescent="0.25">
      <c r="A440" s="1775"/>
      <c r="B440" s="1799"/>
      <c r="C440" s="1159" t="s">
        <v>524</v>
      </c>
      <c r="D440" s="248" t="s">
        <v>251</v>
      </c>
      <c r="E440" s="249"/>
      <c r="F440" s="344">
        <v>120</v>
      </c>
      <c r="G440" s="250">
        <v>142</v>
      </c>
      <c r="H440" s="250">
        <v>238</v>
      </c>
      <c r="I440" s="250">
        <v>272</v>
      </c>
      <c r="J440" s="250">
        <v>332</v>
      </c>
      <c r="K440" s="36">
        <v>366</v>
      </c>
      <c r="L440" s="20"/>
    </row>
    <row r="441" spans="1:12" x14ac:dyDescent="0.25">
      <c r="A441" s="1775"/>
      <c r="B441" s="1799"/>
      <c r="C441" s="1160"/>
      <c r="D441" s="28" t="s">
        <v>257</v>
      </c>
      <c r="E441" s="94"/>
      <c r="F441" s="181">
        <v>92</v>
      </c>
      <c r="G441" s="80">
        <v>115</v>
      </c>
      <c r="H441" s="80">
        <v>201</v>
      </c>
      <c r="I441" s="80">
        <v>221</v>
      </c>
      <c r="J441" s="80">
        <v>272</v>
      </c>
      <c r="K441" s="28">
        <v>289</v>
      </c>
      <c r="L441" s="21"/>
    </row>
    <row r="442" spans="1:12" x14ac:dyDescent="0.25">
      <c r="A442" s="1775"/>
      <c r="B442" s="1799"/>
      <c r="C442" s="1160"/>
      <c r="D442" s="28" t="s">
        <v>263</v>
      </c>
      <c r="E442" s="94"/>
      <c r="F442" s="181">
        <v>28</v>
      </c>
      <c r="G442" s="80">
        <v>27</v>
      </c>
      <c r="H442" s="80">
        <v>37</v>
      </c>
      <c r="I442" s="80">
        <v>51</v>
      </c>
      <c r="J442" s="80">
        <v>60</v>
      </c>
      <c r="K442" s="28">
        <v>77</v>
      </c>
      <c r="L442" s="21"/>
    </row>
    <row r="443" spans="1:12" ht="16.5" thickBot="1" x14ac:dyDescent="0.3">
      <c r="A443" s="1775"/>
      <c r="B443" s="1799"/>
      <c r="C443" s="1161"/>
      <c r="D443" s="203" t="s">
        <v>270</v>
      </c>
      <c r="E443" s="106"/>
      <c r="F443" s="253">
        <f>(F442*100)/F440</f>
        <v>23.333333333333332</v>
      </c>
      <c r="G443" s="253">
        <f t="shared" ref="G443:K443" si="45">(G442*100)/G440</f>
        <v>19.014084507042252</v>
      </c>
      <c r="H443" s="253">
        <f t="shared" si="45"/>
        <v>15.546218487394958</v>
      </c>
      <c r="I443" s="253">
        <f t="shared" si="45"/>
        <v>18.75</v>
      </c>
      <c r="J443" s="253">
        <f t="shared" si="45"/>
        <v>18.072289156626507</v>
      </c>
      <c r="K443" s="253">
        <f t="shared" si="45"/>
        <v>21.038251366120218</v>
      </c>
      <c r="L443" s="22"/>
    </row>
    <row r="444" spans="1:12" ht="14.85" customHeight="1" x14ac:dyDescent="0.25">
      <c r="A444" s="1775"/>
      <c r="B444" s="1799"/>
      <c r="C444" s="1159" t="s">
        <v>531</v>
      </c>
      <c r="D444" s="248" t="s">
        <v>251</v>
      </c>
      <c r="E444" s="249"/>
      <c r="F444" s="250">
        <v>380</v>
      </c>
      <c r="G444" s="250">
        <v>393</v>
      </c>
      <c r="H444" s="250">
        <v>466</v>
      </c>
      <c r="I444" s="250">
        <v>384</v>
      </c>
      <c r="J444" s="250">
        <v>404</v>
      </c>
      <c r="K444" s="36">
        <v>401</v>
      </c>
      <c r="L444" s="20"/>
    </row>
    <row r="445" spans="1:12" x14ac:dyDescent="0.25">
      <c r="A445" s="1775"/>
      <c r="B445" s="1799"/>
      <c r="C445" s="1160"/>
      <c r="D445" s="28" t="s">
        <v>257</v>
      </c>
      <c r="E445" s="94"/>
      <c r="F445" s="80">
        <v>52</v>
      </c>
      <c r="G445" s="80">
        <v>52</v>
      </c>
      <c r="H445" s="80">
        <v>63</v>
      </c>
      <c r="I445" s="80">
        <v>50</v>
      </c>
      <c r="J445" s="80">
        <v>60</v>
      </c>
      <c r="K445" s="28">
        <v>66</v>
      </c>
      <c r="L445" s="21"/>
    </row>
    <row r="446" spans="1:12" x14ac:dyDescent="0.25">
      <c r="A446" s="1775"/>
      <c r="B446" s="1799"/>
      <c r="C446" s="1160"/>
      <c r="D446" s="28" t="s">
        <v>263</v>
      </c>
      <c r="E446" s="94"/>
      <c r="F446" s="80">
        <v>328</v>
      </c>
      <c r="G446" s="80">
        <v>341</v>
      </c>
      <c r="H446" s="80">
        <v>403</v>
      </c>
      <c r="I446" s="80">
        <v>334</v>
      </c>
      <c r="J446" s="80">
        <v>344</v>
      </c>
      <c r="K446" s="28">
        <v>335</v>
      </c>
      <c r="L446" s="21"/>
    </row>
    <row r="447" spans="1:12" ht="16.5" thickBot="1" x14ac:dyDescent="0.3">
      <c r="A447" s="1775"/>
      <c r="B447" s="1799"/>
      <c r="C447" s="1161"/>
      <c r="D447" s="203" t="s">
        <v>270</v>
      </c>
      <c r="E447" s="106"/>
      <c r="F447" s="251">
        <f>(F446*100)/F444</f>
        <v>86.315789473684205</v>
      </c>
      <c r="G447" s="251">
        <f t="shared" ref="G447:K447" si="46">(G446*100)/G444</f>
        <v>86.768447837150134</v>
      </c>
      <c r="H447" s="251">
        <f t="shared" si="46"/>
        <v>86.480686695278976</v>
      </c>
      <c r="I447" s="251">
        <f t="shared" si="46"/>
        <v>86.979166666666671</v>
      </c>
      <c r="J447" s="251">
        <f t="shared" si="46"/>
        <v>85.148514851485146</v>
      </c>
      <c r="K447" s="251">
        <f t="shared" si="46"/>
        <v>83.54114713216957</v>
      </c>
      <c r="L447" s="22"/>
    </row>
    <row r="448" spans="1:12" ht="14.85" customHeight="1" x14ac:dyDescent="0.25">
      <c r="A448" s="1775"/>
      <c r="B448" s="1799"/>
      <c r="C448" s="1159" t="s">
        <v>532</v>
      </c>
      <c r="D448" s="248" t="s">
        <v>251</v>
      </c>
      <c r="E448" s="249"/>
      <c r="F448" s="250">
        <v>53</v>
      </c>
      <c r="G448" s="250">
        <v>60</v>
      </c>
      <c r="H448" s="250">
        <v>97</v>
      </c>
      <c r="I448" s="250">
        <v>90</v>
      </c>
      <c r="J448" s="250">
        <v>86</v>
      </c>
      <c r="K448" s="36">
        <v>105</v>
      </c>
      <c r="L448" s="20"/>
    </row>
    <row r="449" spans="1:12" x14ac:dyDescent="0.25">
      <c r="A449" s="1775"/>
      <c r="B449" s="1799"/>
      <c r="C449" s="1160"/>
      <c r="D449" s="28" t="s">
        <v>257</v>
      </c>
      <c r="E449" s="94"/>
      <c r="F449" s="80">
        <v>24</v>
      </c>
      <c r="G449" s="80">
        <v>33</v>
      </c>
      <c r="H449" s="80">
        <v>44</v>
      </c>
      <c r="I449" s="80">
        <v>36</v>
      </c>
      <c r="J449" s="80">
        <v>37</v>
      </c>
      <c r="K449" s="28">
        <v>49</v>
      </c>
      <c r="L449" s="21"/>
    </row>
    <row r="450" spans="1:12" x14ac:dyDescent="0.25">
      <c r="A450" s="1775"/>
      <c r="B450" s="1799"/>
      <c r="C450" s="1160"/>
      <c r="D450" s="28" t="s">
        <v>263</v>
      </c>
      <c r="E450" s="94"/>
      <c r="F450" s="80">
        <v>29</v>
      </c>
      <c r="G450" s="80">
        <v>27</v>
      </c>
      <c r="H450" s="80">
        <v>53</v>
      </c>
      <c r="I450" s="80">
        <v>54</v>
      </c>
      <c r="J450" s="80">
        <v>49</v>
      </c>
      <c r="K450" s="28">
        <v>56</v>
      </c>
      <c r="L450" s="21"/>
    </row>
    <row r="451" spans="1:12" ht="16.5" thickBot="1" x14ac:dyDescent="0.3">
      <c r="A451" s="1775"/>
      <c r="B451" s="1799"/>
      <c r="C451" s="1161"/>
      <c r="D451" s="203" t="s">
        <v>270</v>
      </c>
      <c r="E451" s="106"/>
      <c r="F451" s="252">
        <f>(F450*100)/F448</f>
        <v>54.716981132075475</v>
      </c>
      <c r="G451" s="252">
        <f t="shared" ref="G451:K451" si="47">(G450*100)/G448</f>
        <v>45</v>
      </c>
      <c r="H451" s="252">
        <f t="shared" si="47"/>
        <v>54.639175257731956</v>
      </c>
      <c r="I451" s="251">
        <f t="shared" si="47"/>
        <v>60</v>
      </c>
      <c r="J451" s="252">
        <f t="shared" si="47"/>
        <v>56.97674418604651</v>
      </c>
      <c r="K451" s="252">
        <f t="shared" si="47"/>
        <v>53.333333333333336</v>
      </c>
      <c r="L451" s="22"/>
    </row>
    <row r="452" spans="1:12" ht="14.85" customHeight="1" x14ac:dyDescent="0.25">
      <c r="A452" s="1775"/>
      <c r="B452" s="1799"/>
      <c r="C452" s="1159" t="s">
        <v>527</v>
      </c>
      <c r="D452" s="248" t="s">
        <v>251</v>
      </c>
      <c r="E452" s="249"/>
      <c r="F452" s="250">
        <v>62</v>
      </c>
      <c r="G452" s="250">
        <v>64</v>
      </c>
      <c r="H452" s="250">
        <v>61</v>
      </c>
      <c r="I452" s="250">
        <v>61</v>
      </c>
      <c r="J452" s="250">
        <v>52</v>
      </c>
      <c r="K452" s="36">
        <v>41</v>
      </c>
      <c r="L452" s="20"/>
    </row>
    <row r="453" spans="1:12" x14ac:dyDescent="0.25">
      <c r="A453" s="1775"/>
      <c r="B453" s="1799"/>
      <c r="C453" s="1160"/>
      <c r="D453" s="28" t="s">
        <v>257</v>
      </c>
      <c r="E453" s="94"/>
      <c r="F453" s="80">
        <v>60</v>
      </c>
      <c r="G453" s="80">
        <v>64</v>
      </c>
      <c r="H453" s="80">
        <v>60</v>
      </c>
      <c r="I453" s="80">
        <v>61</v>
      </c>
      <c r="J453" s="80">
        <v>51</v>
      </c>
      <c r="K453" s="28">
        <v>40</v>
      </c>
      <c r="L453" s="21"/>
    </row>
    <row r="454" spans="1:12" x14ac:dyDescent="0.25">
      <c r="A454" s="1775"/>
      <c r="B454" s="1799"/>
      <c r="C454" s="1160"/>
      <c r="D454" s="28" t="s">
        <v>263</v>
      </c>
      <c r="E454" s="94"/>
      <c r="F454" s="80">
        <v>2</v>
      </c>
      <c r="G454" s="80">
        <v>0</v>
      </c>
      <c r="H454" s="80">
        <v>1</v>
      </c>
      <c r="I454" s="80">
        <v>0</v>
      </c>
      <c r="J454" s="80">
        <v>1</v>
      </c>
      <c r="K454" s="28">
        <v>1</v>
      </c>
      <c r="L454" s="21"/>
    </row>
    <row r="455" spans="1:12" ht="16.5" thickBot="1" x14ac:dyDescent="0.3">
      <c r="A455" s="1775"/>
      <c r="B455" s="1799"/>
      <c r="C455" s="1161"/>
      <c r="D455" s="203" t="s">
        <v>270</v>
      </c>
      <c r="E455" s="106"/>
      <c r="F455" s="253">
        <f>(F454*100)/F452</f>
        <v>3.225806451612903</v>
      </c>
      <c r="G455" s="253">
        <f t="shared" ref="G455:K455" si="48">(G454*100)/G452</f>
        <v>0</v>
      </c>
      <c r="H455" s="253">
        <f t="shared" si="48"/>
        <v>1.639344262295082</v>
      </c>
      <c r="I455" s="253">
        <f t="shared" si="48"/>
        <v>0</v>
      </c>
      <c r="J455" s="253">
        <f t="shared" si="48"/>
        <v>1.9230769230769231</v>
      </c>
      <c r="K455" s="253">
        <f t="shared" si="48"/>
        <v>2.4390243902439024</v>
      </c>
      <c r="L455" s="22"/>
    </row>
    <row r="456" spans="1:12" ht="14.85" customHeight="1" x14ac:dyDescent="0.25">
      <c r="A456" s="1775"/>
      <c r="B456" s="1799"/>
      <c r="C456" s="1159" t="s">
        <v>562</v>
      </c>
      <c r="D456" s="248" t="s">
        <v>251</v>
      </c>
      <c r="E456" s="249"/>
      <c r="F456" s="250"/>
      <c r="G456" s="250"/>
      <c r="H456" s="250">
        <v>22</v>
      </c>
      <c r="I456" s="250">
        <v>33</v>
      </c>
      <c r="J456" s="250">
        <v>39</v>
      </c>
      <c r="K456" s="36">
        <v>37</v>
      </c>
      <c r="L456" s="20"/>
    </row>
    <row r="457" spans="1:12" x14ac:dyDescent="0.25">
      <c r="A457" s="1775"/>
      <c r="B457" s="1799"/>
      <c r="C457" s="1160"/>
      <c r="D457" s="28" t="s">
        <v>257</v>
      </c>
      <c r="E457" s="94"/>
      <c r="F457" s="80"/>
      <c r="G457" s="80"/>
      <c r="H457" s="80">
        <v>22</v>
      </c>
      <c r="I457" s="80">
        <v>32</v>
      </c>
      <c r="J457" s="80">
        <v>38</v>
      </c>
      <c r="K457" s="28">
        <v>33</v>
      </c>
      <c r="L457" s="21"/>
    </row>
    <row r="458" spans="1:12" x14ac:dyDescent="0.25">
      <c r="A458" s="1775"/>
      <c r="B458" s="1799"/>
      <c r="C458" s="1160"/>
      <c r="D458" s="28" t="s">
        <v>263</v>
      </c>
      <c r="E458" s="94"/>
      <c r="F458" s="80"/>
      <c r="G458" s="80"/>
      <c r="H458" s="80">
        <v>0</v>
      </c>
      <c r="I458" s="80">
        <v>1</v>
      </c>
      <c r="J458" s="80">
        <v>1</v>
      </c>
      <c r="K458" s="28">
        <v>4</v>
      </c>
      <c r="L458" s="21"/>
    </row>
    <row r="459" spans="1:12" ht="16.5" thickBot="1" x14ac:dyDescent="0.3">
      <c r="A459" s="1775"/>
      <c r="B459" s="1799"/>
      <c r="C459" s="1161"/>
      <c r="D459" s="203" t="s">
        <v>270</v>
      </c>
      <c r="E459" s="106"/>
      <c r="F459" s="197"/>
      <c r="G459" s="197"/>
      <c r="H459" s="253">
        <f>(H458*100)/H456</f>
        <v>0</v>
      </c>
      <c r="I459" s="253">
        <f t="shared" ref="I459:K459" si="49">(I458*100)/I456</f>
        <v>3.0303030303030303</v>
      </c>
      <c r="J459" s="253">
        <f t="shared" si="49"/>
        <v>2.5641025641025643</v>
      </c>
      <c r="K459" s="253">
        <f t="shared" si="49"/>
        <v>10.810810810810811</v>
      </c>
      <c r="L459" s="22"/>
    </row>
    <row r="460" spans="1:12" ht="14.85" customHeight="1" x14ac:dyDescent="0.25">
      <c r="A460" s="1775"/>
      <c r="B460" s="1799"/>
      <c r="C460" s="1159" t="s">
        <v>482</v>
      </c>
      <c r="D460" s="248" t="s">
        <v>251</v>
      </c>
      <c r="E460" s="249"/>
      <c r="F460" s="250">
        <v>53</v>
      </c>
      <c r="G460" s="250">
        <v>61</v>
      </c>
      <c r="H460" s="250"/>
      <c r="I460" s="250"/>
      <c r="J460" s="250"/>
      <c r="K460" s="36"/>
      <c r="L460" s="20"/>
    </row>
    <row r="461" spans="1:12" x14ac:dyDescent="0.25">
      <c r="A461" s="1775"/>
      <c r="B461" s="1799"/>
      <c r="C461" s="1160"/>
      <c r="D461" s="28" t="s">
        <v>257</v>
      </c>
      <c r="E461" s="94"/>
      <c r="F461" s="80">
        <v>23</v>
      </c>
      <c r="G461" s="80">
        <v>23</v>
      </c>
      <c r="H461" s="80"/>
      <c r="I461" s="80"/>
      <c r="J461" s="80"/>
      <c r="K461" s="28"/>
      <c r="L461" s="21"/>
    </row>
    <row r="462" spans="1:12" x14ac:dyDescent="0.25">
      <c r="A462" s="1775"/>
      <c r="B462" s="1799"/>
      <c r="C462" s="1160"/>
      <c r="D462" s="28" t="s">
        <v>263</v>
      </c>
      <c r="E462" s="94"/>
      <c r="F462" s="80">
        <v>30</v>
      </c>
      <c r="G462" s="80">
        <v>38</v>
      </c>
      <c r="H462" s="80"/>
      <c r="I462" s="80"/>
      <c r="J462" s="80"/>
      <c r="K462" s="28"/>
      <c r="L462" s="21"/>
    </row>
    <row r="463" spans="1:12" ht="16.5" thickBot="1" x14ac:dyDescent="0.3">
      <c r="A463" s="1775"/>
      <c r="B463" s="1799"/>
      <c r="C463" s="1161"/>
      <c r="D463" s="203" t="s">
        <v>270</v>
      </c>
      <c r="E463" s="106"/>
      <c r="F463" s="252">
        <f>(F462*100)/F460</f>
        <v>56.60377358490566</v>
      </c>
      <c r="G463" s="251">
        <f t="shared" ref="G463" si="50">(G462*100)/G460</f>
        <v>62.295081967213115</v>
      </c>
      <c r="H463" s="190"/>
      <c r="I463" s="190"/>
      <c r="J463" s="190"/>
      <c r="K463" s="33"/>
      <c r="L463" s="22"/>
    </row>
    <row r="464" spans="1:12" ht="14.85" customHeight="1" x14ac:dyDescent="0.25">
      <c r="A464" s="1775"/>
      <c r="B464" s="1799"/>
      <c r="C464" s="1159" t="s">
        <v>539</v>
      </c>
      <c r="D464" s="248" t="s">
        <v>251</v>
      </c>
      <c r="E464" s="249"/>
      <c r="F464" s="250">
        <v>96</v>
      </c>
      <c r="G464" s="250">
        <v>151</v>
      </c>
      <c r="H464" s="250">
        <v>158</v>
      </c>
      <c r="I464" s="250">
        <v>179</v>
      </c>
      <c r="J464" s="250">
        <v>180</v>
      </c>
      <c r="K464" s="36">
        <v>186</v>
      </c>
      <c r="L464" s="20"/>
    </row>
    <row r="465" spans="1:12" x14ac:dyDescent="0.25">
      <c r="A465" s="1775"/>
      <c r="B465" s="1799"/>
      <c r="C465" s="1160"/>
      <c r="D465" s="28" t="s">
        <v>257</v>
      </c>
      <c r="E465" s="94"/>
      <c r="F465" s="80">
        <v>70</v>
      </c>
      <c r="G465" s="80">
        <v>114</v>
      </c>
      <c r="H465" s="80">
        <v>126</v>
      </c>
      <c r="I465" s="80">
        <v>143</v>
      </c>
      <c r="J465" s="80">
        <v>150</v>
      </c>
      <c r="K465" s="28">
        <v>156</v>
      </c>
      <c r="L465" s="21"/>
    </row>
    <row r="466" spans="1:12" x14ac:dyDescent="0.25">
      <c r="A466" s="1775"/>
      <c r="B466" s="1799"/>
      <c r="C466" s="1160"/>
      <c r="D466" s="28" t="s">
        <v>263</v>
      </c>
      <c r="E466" s="94"/>
      <c r="F466" s="80">
        <v>26</v>
      </c>
      <c r="G466" s="80">
        <v>37</v>
      </c>
      <c r="H466" s="80">
        <v>32</v>
      </c>
      <c r="I466" s="80">
        <v>36</v>
      </c>
      <c r="J466" s="80">
        <v>30</v>
      </c>
      <c r="K466" s="28">
        <v>30</v>
      </c>
      <c r="L466" s="21"/>
    </row>
    <row r="467" spans="1:12" ht="16.5" thickBot="1" x14ac:dyDescent="0.3">
      <c r="A467" s="1775"/>
      <c r="B467" s="1799"/>
      <c r="C467" s="1161"/>
      <c r="D467" s="203" t="s">
        <v>270</v>
      </c>
      <c r="E467" s="106"/>
      <c r="F467" s="253">
        <f>(F466*100)/F464</f>
        <v>27.083333333333332</v>
      </c>
      <c r="G467" s="253">
        <f t="shared" ref="G467:K467" si="51">(G466*100)/G464</f>
        <v>24.503311258278146</v>
      </c>
      <c r="H467" s="253">
        <f t="shared" si="51"/>
        <v>20.253164556962027</v>
      </c>
      <c r="I467" s="253">
        <f t="shared" si="51"/>
        <v>20.11173184357542</v>
      </c>
      <c r="J467" s="253">
        <f t="shared" si="51"/>
        <v>16.666666666666668</v>
      </c>
      <c r="K467" s="253">
        <f t="shared" si="51"/>
        <v>16.129032258064516</v>
      </c>
      <c r="L467" s="22"/>
    </row>
    <row r="468" spans="1:12" ht="14.85" customHeight="1" x14ac:dyDescent="0.25">
      <c r="A468" s="1775"/>
      <c r="B468" s="1799"/>
      <c r="C468" s="1159" t="s">
        <v>576</v>
      </c>
      <c r="D468" s="248" t="s">
        <v>251</v>
      </c>
      <c r="E468" s="249"/>
      <c r="F468" s="344">
        <v>48</v>
      </c>
      <c r="G468" s="250">
        <v>35</v>
      </c>
      <c r="H468" s="250">
        <v>45</v>
      </c>
      <c r="I468" s="250">
        <v>42</v>
      </c>
      <c r="J468" s="250">
        <v>44</v>
      </c>
      <c r="K468" s="36">
        <v>39</v>
      </c>
      <c r="L468" s="20"/>
    </row>
    <row r="469" spans="1:12" x14ac:dyDescent="0.25">
      <c r="A469" s="1775"/>
      <c r="B469" s="1799"/>
      <c r="C469" s="1160"/>
      <c r="D469" s="28" t="s">
        <v>257</v>
      </c>
      <c r="E469" s="94"/>
      <c r="F469" s="181">
        <v>3</v>
      </c>
      <c r="G469" s="80">
        <v>3</v>
      </c>
      <c r="H469" s="80">
        <v>3</v>
      </c>
      <c r="I469" s="80">
        <v>2</v>
      </c>
      <c r="J469" s="80">
        <v>0</v>
      </c>
      <c r="K469" s="28"/>
      <c r="L469" s="21"/>
    </row>
    <row r="470" spans="1:12" x14ac:dyDescent="0.25">
      <c r="A470" s="1775"/>
      <c r="B470" s="1799"/>
      <c r="C470" s="1160"/>
      <c r="D470" s="28" t="s">
        <v>263</v>
      </c>
      <c r="E470" s="94"/>
      <c r="F470" s="181">
        <v>45</v>
      </c>
      <c r="G470" s="80">
        <v>32</v>
      </c>
      <c r="H470" s="80">
        <v>42</v>
      </c>
      <c r="I470" s="80">
        <v>40</v>
      </c>
      <c r="J470" s="80">
        <v>44</v>
      </c>
      <c r="K470" s="28">
        <v>39</v>
      </c>
      <c r="L470" s="21"/>
    </row>
    <row r="471" spans="1:12" ht="16.5" thickBot="1" x14ac:dyDescent="0.3">
      <c r="A471" s="1775"/>
      <c r="B471" s="1799"/>
      <c r="C471" s="1161"/>
      <c r="D471" s="203" t="s">
        <v>270</v>
      </c>
      <c r="E471" s="106"/>
      <c r="F471" s="251">
        <f>(F470*100)/F468</f>
        <v>93.75</v>
      </c>
      <c r="G471" s="251">
        <f t="shared" ref="G471:K471" si="52">(G470*100)/G468</f>
        <v>91.428571428571431</v>
      </c>
      <c r="H471" s="251">
        <f t="shared" si="52"/>
        <v>93.333333333333329</v>
      </c>
      <c r="I471" s="251">
        <f t="shared" si="52"/>
        <v>95.238095238095241</v>
      </c>
      <c r="J471" s="251">
        <f t="shared" si="52"/>
        <v>100</v>
      </c>
      <c r="K471" s="251">
        <f t="shared" si="52"/>
        <v>100</v>
      </c>
      <c r="L471" s="22"/>
    </row>
    <row r="472" spans="1:12" x14ac:dyDescent="0.25">
      <c r="A472" s="1775"/>
      <c r="B472" s="1813"/>
      <c r="C472" s="1809" t="s">
        <v>529</v>
      </c>
      <c r="D472" s="254" t="s">
        <v>473</v>
      </c>
      <c r="E472" s="129"/>
      <c r="F472" s="255">
        <f>4/9*100</f>
        <v>44.444444444444443</v>
      </c>
      <c r="G472" s="255">
        <f>4/9*100</f>
        <v>44.444444444444443</v>
      </c>
      <c r="H472" s="255">
        <f>5/9*100</f>
        <v>55.555555555555557</v>
      </c>
      <c r="I472" s="255">
        <f>5/9*100</f>
        <v>55.555555555555557</v>
      </c>
      <c r="J472" s="255">
        <f>5/9*100</f>
        <v>55.555555555555557</v>
      </c>
      <c r="K472" s="255">
        <f>5/9*100</f>
        <v>55.555555555555557</v>
      </c>
      <c r="L472" s="122"/>
    </row>
    <row r="473" spans="1:12" x14ac:dyDescent="0.25">
      <c r="A473" s="1775"/>
      <c r="B473" s="1813"/>
      <c r="C473" s="1810"/>
      <c r="D473" s="232" t="s">
        <v>474</v>
      </c>
      <c r="E473" s="92"/>
      <c r="F473" s="234">
        <f>3/9*100</f>
        <v>33.333333333333329</v>
      </c>
      <c r="G473" s="234">
        <f>4/9*100</f>
        <v>44.444444444444443</v>
      </c>
      <c r="H473" s="234">
        <f>3/11*100</f>
        <v>27.27272727272727</v>
      </c>
      <c r="I473" s="234">
        <f>4/11*100</f>
        <v>36.363636363636367</v>
      </c>
      <c r="J473" s="234">
        <f>3/11*100</f>
        <v>27.27272727272727</v>
      </c>
      <c r="K473" s="234">
        <f>3/9*100</f>
        <v>33.333333333333329</v>
      </c>
      <c r="L473" s="28"/>
    </row>
    <row r="474" spans="1:12" ht="16.5" thickBot="1" x14ac:dyDescent="0.3">
      <c r="A474" s="1775"/>
      <c r="B474" s="1813"/>
      <c r="C474" s="1811"/>
      <c r="D474" s="357" t="s">
        <v>475</v>
      </c>
      <c r="E474" s="128"/>
      <c r="F474" s="355">
        <f>2/9*100</f>
        <v>22.222222222222221</v>
      </c>
      <c r="G474" s="355">
        <f>1/9*100</f>
        <v>11.111111111111111</v>
      </c>
      <c r="H474" s="355">
        <f>1/9*100</f>
        <v>11.111111111111111</v>
      </c>
      <c r="I474" s="355">
        <v>0</v>
      </c>
      <c r="J474" s="355">
        <f>1/9*100</f>
        <v>11.111111111111111</v>
      </c>
      <c r="K474" s="355">
        <f>1/9*100</f>
        <v>11.111111111111111</v>
      </c>
      <c r="L474" s="110"/>
    </row>
    <row r="475" spans="1:12" ht="16.5" thickBot="1" x14ac:dyDescent="0.3">
      <c r="A475" s="1775"/>
      <c r="B475" s="850" t="s">
        <v>249</v>
      </c>
      <c r="C475" s="1812"/>
      <c r="D475" s="1724"/>
      <c r="E475" s="625">
        <v>2005</v>
      </c>
      <c r="F475" s="625">
        <v>2010</v>
      </c>
      <c r="G475" s="625">
        <v>2015</v>
      </c>
      <c r="H475" s="625">
        <v>2020</v>
      </c>
      <c r="I475" s="625">
        <v>2021</v>
      </c>
      <c r="J475" s="625">
        <v>2022</v>
      </c>
      <c r="K475" s="625">
        <v>2023</v>
      </c>
      <c r="L475" s="284">
        <v>2024</v>
      </c>
    </row>
    <row r="476" spans="1:12" x14ac:dyDescent="0.25">
      <c r="A476" s="1776"/>
      <c r="B476" s="1744" t="s">
        <v>219</v>
      </c>
      <c r="C476" s="1251" t="s">
        <v>459</v>
      </c>
      <c r="D476" s="1206"/>
      <c r="E476" s="40"/>
      <c r="F476" s="260"/>
      <c r="G476" s="260"/>
      <c r="H476" s="359">
        <v>157</v>
      </c>
      <c r="I476" s="359">
        <v>828</v>
      </c>
      <c r="J476" s="359">
        <v>851</v>
      </c>
      <c r="K476" s="359">
        <v>931</v>
      </c>
      <c r="L476" s="20"/>
    </row>
    <row r="477" spans="1:12" x14ac:dyDescent="0.25">
      <c r="A477" s="1776"/>
      <c r="B477" s="1678"/>
      <c r="C477" s="1123" t="s">
        <v>436</v>
      </c>
      <c r="D477" s="1124"/>
      <c r="E477" s="28"/>
      <c r="F477" s="187"/>
      <c r="G477" s="187"/>
      <c r="H477" s="358">
        <v>96</v>
      </c>
      <c r="I477" s="358">
        <v>548</v>
      </c>
      <c r="J477" s="358">
        <v>512</v>
      </c>
      <c r="K477" s="358">
        <v>606</v>
      </c>
      <c r="L477" s="21"/>
    </row>
    <row r="478" spans="1:12" x14ac:dyDescent="0.25">
      <c r="A478" s="1776"/>
      <c r="B478" s="1678"/>
      <c r="C478" s="1123" t="s">
        <v>437</v>
      </c>
      <c r="D478" s="1124"/>
      <c r="E478" s="96"/>
      <c r="F478" s="96"/>
      <c r="G478" s="96"/>
      <c r="H478" s="358">
        <v>61</v>
      </c>
      <c r="I478" s="358">
        <v>280</v>
      </c>
      <c r="J478" s="358">
        <v>339</v>
      </c>
      <c r="K478" s="358">
        <v>325</v>
      </c>
      <c r="L478" s="21"/>
    </row>
    <row r="479" spans="1:12" x14ac:dyDescent="0.25">
      <c r="A479" s="1776"/>
      <c r="B479" s="1678"/>
      <c r="C479" s="1111" t="s">
        <v>353</v>
      </c>
      <c r="D479" s="1112"/>
      <c r="E479" s="157"/>
      <c r="F479" s="157"/>
      <c r="G479" s="157"/>
      <c r="H479" s="157">
        <f>H478-H477</f>
        <v>-35</v>
      </c>
      <c r="I479" s="157">
        <f>I478-I477</f>
        <v>-268</v>
      </c>
      <c r="J479" s="157">
        <f>J478-J477</f>
        <v>-173</v>
      </c>
      <c r="K479" s="157">
        <f>K478-K477</f>
        <v>-281</v>
      </c>
      <c r="L479" s="21"/>
    </row>
    <row r="480" spans="1:12" ht="16.5" thickBot="1" x14ac:dyDescent="0.3">
      <c r="A480" s="1776"/>
      <c r="B480" s="1678"/>
      <c r="C480" s="1125" t="s">
        <v>270</v>
      </c>
      <c r="D480" s="1126"/>
      <c r="E480" s="190"/>
      <c r="F480" s="190"/>
      <c r="G480" s="190"/>
      <c r="H480" s="34">
        <f>H478/H476*100</f>
        <v>38.853503184713375</v>
      </c>
      <c r="I480" s="34">
        <f>I478/I476*100</f>
        <v>33.816425120772948</v>
      </c>
      <c r="J480" s="34">
        <f>J478/J476*100</f>
        <v>39.835487661574618</v>
      </c>
      <c r="K480" s="34">
        <f>K478/K476*100</f>
        <v>34.908700322234154</v>
      </c>
      <c r="L480" s="22"/>
    </row>
    <row r="481" spans="1:12" x14ac:dyDescent="0.25">
      <c r="A481" s="1776"/>
      <c r="B481" s="1678"/>
      <c r="C481" s="1808" t="s">
        <v>484</v>
      </c>
      <c r="D481" s="1793"/>
      <c r="E481" s="220"/>
      <c r="F481" s="220"/>
      <c r="G481" s="220"/>
      <c r="H481" s="255">
        <f>3/6*100</f>
        <v>50</v>
      </c>
      <c r="I481" s="255">
        <f>10/13*100</f>
        <v>76.923076923076934</v>
      </c>
      <c r="J481" s="255">
        <f>13/14*100</f>
        <v>92.857142857142861</v>
      </c>
      <c r="K481" s="851">
        <v>64.285714285714292</v>
      </c>
      <c r="L481" s="87"/>
    </row>
    <row r="482" spans="1:12" x14ac:dyDescent="0.25">
      <c r="A482" s="1776"/>
      <c r="B482" s="1678"/>
      <c r="C482" s="1111" t="s">
        <v>485</v>
      </c>
      <c r="D482" s="1112"/>
      <c r="E482" s="96"/>
      <c r="F482" s="96"/>
      <c r="G482" s="96"/>
      <c r="H482" s="235">
        <v>0</v>
      </c>
      <c r="I482" s="235">
        <f>1/13*100</f>
        <v>7.6923076923076925</v>
      </c>
      <c r="J482" s="235">
        <v>0</v>
      </c>
      <c r="K482" s="237">
        <v>7.1428571428571423</v>
      </c>
      <c r="L482" s="21"/>
    </row>
    <row r="483" spans="1:12" x14ac:dyDescent="0.25">
      <c r="A483" s="1777"/>
      <c r="B483" s="1679"/>
      <c r="C483" s="1277" t="s">
        <v>486</v>
      </c>
      <c r="D483" s="1142"/>
      <c r="E483" s="360"/>
      <c r="F483" s="360"/>
      <c r="G483" s="360"/>
      <c r="H483" s="356">
        <f>3/6*100</f>
        <v>50</v>
      </c>
      <c r="I483" s="356">
        <f>2/13*100</f>
        <v>15.384615384615385</v>
      </c>
      <c r="J483" s="356">
        <f>1/14*100</f>
        <v>7.1428571428571423</v>
      </c>
      <c r="K483" s="361">
        <v>28.571428571428569</v>
      </c>
      <c r="L483" s="53"/>
    </row>
    <row r="484" spans="1:12" ht="16.5" thickBot="1" x14ac:dyDescent="0.3">
      <c r="A484" s="761" t="s">
        <v>248</v>
      </c>
      <c r="B484" s="463" t="s">
        <v>249</v>
      </c>
      <c r="C484" s="1433"/>
      <c r="D484" s="1433"/>
      <c r="E484" s="616">
        <v>2005</v>
      </c>
      <c r="F484" s="616">
        <v>2010</v>
      </c>
      <c r="G484" s="616">
        <v>2015</v>
      </c>
      <c r="H484" s="616">
        <v>2020</v>
      </c>
      <c r="I484" s="616">
        <v>2021</v>
      </c>
      <c r="J484" s="616">
        <v>2022</v>
      </c>
      <c r="K484" s="616">
        <v>2023</v>
      </c>
      <c r="L484" s="616">
        <v>2024</v>
      </c>
    </row>
    <row r="485" spans="1:12" ht="15" customHeight="1" x14ac:dyDescent="0.25">
      <c r="A485" s="1831" t="s">
        <v>487</v>
      </c>
      <c r="B485" s="1572" t="s">
        <v>227</v>
      </c>
      <c r="C485" s="1205" t="s">
        <v>435</v>
      </c>
      <c r="D485" s="1206"/>
      <c r="E485" s="36"/>
      <c r="F485" s="36"/>
      <c r="G485" s="36"/>
      <c r="H485" s="36"/>
      <c r="I485" s="36"/>
      <c r="J485" s="36"/>
      <c r="K485" s="195">
        <v>531</v>
      </c>
      <c r="L485" s="325">
        <v>558</v>
      </c>
    </row>
    <row r="486" spans="1:12" x14ac:dyDescent="0.25">
      <c r="A486" s="1831"/>
      <c r="B486" s="1573"/>
      <c r="C486" s="1148" t="s">
        <v>533</v>
      </c>
      <c r="D486" s="1124"/>
      <c r="E486" s="28"/>
      <c r="F486" s="28"/>
      <c r="G486" s="28"/>
      <c r="H486" s="28"/>
      <c r="I486" s="28"/>
      <c r="J486" s="28"/>
      <c r="K486" s="28">
        <v>225</v>
      </c>
      <c r="L486" s="21">
        <v>228</v>
      </c>
    </row>
    <row r="487" spans="1:12" x14ac:dyDescent="0.25">
      <c r="A487" s="1831"/>
      <c r="B487" s="1573"/>
      <c r="C487" s="1148" t="s">
        <v>534</v>
      </c>
      <c r="D487" s="1124"/>
      <c r="E487" s="28"/>
      <c r="F487" s="28"/>
      <c r="G487" s="28"/>
      <c r="H487" s="28"/>
      <c r="I487" s="28"/>
      <c r="J487" s="28"/>
      <c r="K487" s="28">
        <v>306</v>
      </c>
      <c r="L487" s="21">
        <v>330</v>
      </c>
    </row>
    <row r="488" spans="1:12" x14ac:dyDescent="0.25">
      <c r="A488" s="1831"/>
      <c r="B488" s="1573"/>
      <c r="C488" s="1561" t="s">
        <v>353</v>
      </c>
      <c r="D488" s="1128"/>
      <c r="E488" s="44"/>
      <c r="F488" s="44"/>
      <c r="G488" s="44"/>
      <c r="H488" s="44"/>
      <c r="I488" s="44"/>
      <c r="J488" s="44"/>
      <c r="K488" s="262">
        <f t="shared" ref="K488" si="53">K487-K486</f>
        <v>81</v>
      </c>
      <c r="L488" s="317">
        <v>102</v>
      </c>
    </row>
    <row r="489" spans="1:12" ht="16.5" thickBot="1" x14ac:dyDescent="0.3">
      <c r="A489" s="1831"/>
      <c r="B489" s="1574"/>
      <c r="C489" s="1177" t="s">
        <v>270</v>
      </c>
      <c r="D489" s="1178"/>
      <c r="E489" s="441"/>
      <c r="F489" s="441"/>
      <c r="G489" s="441"/>
      <c r="H489" s="441"/>
      <c r="I489" s="441"/>
      <c r="J489" s="441"/>
      <c r="K489" s="165">
        <f t="shared" ref="K489" si="54">K487/K485*100</f>
        <v>57.627118644067799</v>
      </c>
      <c r="L489" s="166">
        <v>59.13978494623656</v>
      </c>
    </row>
    <row r="490" spans="1:12" x14ac:dyDescent="0.25">
      <c r="A490" s="1831"/>
      <c r="B490" s="1572" t="s">
        <v>488</v>
      </c>
      <c r="C490" s="1205" t="s">
        <v>489</v>
      </c>
      <c r="D490" s="1206"/>
      <c r="E490" s="40"/>
      <c r="F490" s="40">
        <v>99</v>
      </c>
      <c r="G490" s="40">
        <v>88</v>
      </c>
      <c r="H490" s="40">
        <v>113</v>
      </c>
      <c r="I490" s="40"/>
      <c r="J490" s="40"/>
      <c r="K490" s="40">
        <v>122</v>
      </c>
      <c r="L490" s="1072">
        <v>34</v>
      </c>
    </row>
    <row r="491" spans="1:12" x14ac:dyDescent="0.25">
      <c r="A491" s="1831"/>
      <c r="B491" s="1573"/>
      <c r="C491" s="1174" t="s">
        <v>490</v>
      </c>
      <c r="D491" s="1110"/>
      <c r="E491" s="157"/>
      <c r="F491" s="44">
        <v>4</v>
      </c>
      <c r="G491" s="44">
        <v>3</v>
      </c>
      <c r="H491" s="44">
        <v>3</v>
      </c>
      <c r="I491" s="44"/>
      <c r="J491" s="44"/>
      <c r="K491" s="44">
        <v>3</v>
      </c>
      <c r="L491" s="1072">
        <v>1</v>
      </c>
    </row>
    <row r="492" spans="1:12" ht="16.5" thickBot="1" x14ac:dyDescent="0.3">
      <c r="A492" s="1831"/>
      <c r="B492" s="1574"/>
      <c r="C492" s="1224" t="s">
        <v>491</v>
      </c>
      <c r="D492" s="1225"/>
      <c r="E492" s="203"/>
      <c r="F492" s="161">
        <f>F491/F490*100</f>
        <v>4.0404040404040407</v>
      </c>
      <c r="G492" s="161">
        <f t="shared" ref="G492:H492" si="55">G491/G490*100</f>
        <v>3.4090909090909087</v>
      </c>
      <c r="H492" s="161">
        <f t="shared" si="55"/>
        <v>2.6548672566371683</v>
      </c>
      <c r="I492" s="203"/>
      <c r="J492" s="203"/>
      <c r="K492" s="161">
        <f>K491/K490*100</f>
        <v>2.459016393442623</v>
      </c>
      <c r="L492" s="859">
        <v>2.9411764705882351</v>
      </c>
    </row>
    <row r="493" spans="1:12" ht="16.5" thickBot="1" x14ac:dyDescent="0.3">
      <c r="A493" s="739" t="s">
        <v>248</v>
      </c>
      <c r="B493" s="852" t="s">
        <v>249</v>
      </c>
      <c r="C493" s="1681"/>
      <c r="D493" s="1681"/>
      <c r="E493" s="774">
        <v>2005</v>
      </c>
      <c r="F493" s="774">
        <v>2010</v>
      </c>
      <c r="G493" s="774">
        <v>2015</v>
      </c>
      <c r="H493" s="774">
        <v>2020</v>
      </c>
      <c r="I493" s="774">
        <v>2021</v>
      </c>
      <c r="J493" s="774">
        <v>2022</v>
      </c>
      <c r="K493" s="774">
        <v>2023</v>
      </c>
      <c r="L493" s="616">
        <v>2024</v>
      </c>
    </row>
    <row r="494" spans="1:12" ht="15" customHeight="1" x14ac:dyDescent="0.25">
      <c r="A494" s="1828" t="s">
        <v>492</v>
      </c>
      <c r="B494" s="1624" t="s">
        <v>493</v>
      </c>
      <c r="C494" s="1251" t="s">
        <v>459</v>
      </c>
      <c r="D494" s="1206"/>
      <c r="E494" s="36"/>
      <c r="F494" s="195">
        <v>905</v>
      </c>
      <c r="G494" s="195">
        <v>987</v>
      </c>
      <c r="H494" s="195">
        <v>1217</v>
      </c>
      <c r="I494" s="195">
        <v>1821</v>
      </c>
      <c r="J494" s="195">
        <v>1987</v>
      </c>
      <c r="K494" s="195">
        <v>2149</v>
      </c>
      <c r="L494" s="20">
        <v>2074</v>
      </c>
    </row>
    <row r="495" spans="1:12" x14ac:dyDescent="0.25">
      <c r="A495" s="1829"/>
      <c r="B495" s="1625"/>
      <c r="C495" s="1160" t="s">
        <v>436</v>
      </c>
      <c r="D495" s="28" t="s">
        <v>494</v>
      </c>
      <c r="E495" s="28"/>
      <c r="F495" s="96">
        <v>386</v>
      </c>
      <c r="G495" s="96">
        <v>396</v>
      </c>
      <c r="H495" s="96">
        <v>612</v>
      </c>
      <c r="I495" s="96">
        <v>978</v>
      </c>
      <c r="J495" s="96">
        <v>1010</v>
      </c>
      <c r="K495" s="96">
        <v>1093</v>
      </c>
      <c r="L495" s="21">
        <v>1031</v>
      </c>
    </row>
    <row r="496" spans="1:12" x14ac:dyDescent="0.25">
      <c r="A496" s="1829"/>
      <c r="B496" s="1625"/>
      <c r="C496" s="1160"/>
      <c r="D496" s="28" t="s">
        <v>495</v>
      </c>
      <c r="E496" s="28"/>
      <c r="F496" s="96">
        <v>70</v>
      </c>
      <c r="G496" s="96">
        <v>103</v>
      </c>
      <c r="H496" s="96">
        <v>75</v>
      </c>
      <c r="I496" s="96">
        <v>141</v>
      </c>
      <c r="J496" s="96">
        <v>131</v>
      </c>
      <c r="K496" s="96">
        <v>157</v>
      </c>
      <c r="L496" s="21">
        <v>174</v>
      </c>
    </row>
    <row r="497" spans="1:12" x14ac:dyDescent="0.25">
      <c r="A497" s="1829"/>
      <c r="B497" s="1625"/>
      <c r="C497" s="1160" t="s">
        <v>437</v>
      </c>
      <c r="D497" s="28" t="s">
        <v>496</v>
      </c>
      <c r="E497" s="28"/>
      <c r="F497" s="96">
        <v>130</v>
      </c>
      <c r="G497" s="96">
        <v>132</v>
      </c>
      <c r="H497" s="96">
        <v>187</v>
      </c>
      <c r="I497" s="96">
        <v>263</v>
      </c>
      <c r="J497" s="96">
        <v>336</v>
      </c>
      <c r="K497" s="96">
        <v>356</v>
      </c>
      <c r="L497" s="21">
        <v>331</v>
      </c>
    </row>
    <row r="498" spans="1:12" ht="16.5" thickBot="1" x14ac:dyDescent="0.3">
      <c r="A498" s="1829"/>
      <c r="B498" s="1625"/>
      <c r="C498" s="1519"/>
      <c r="D498" s="110" t="s">
        <v>497</v>
      </c>
      <c r="E498" s="110"/>
      <c r="F498" s="360">
        <v>95</v>
      </c>
      <c r="G498" s="360">
        <v>152</v>
      </c>
      <c r="H498" s="360">
        <v>86</v>
      </c>
      <c r="I498" s="360">
        <v>179</v>
      </c>
      <c r="J498" s="360">
        <v>168</v>
      </c>
      <c r="K498" s="360">
        <v>196</v>
      </c>
      <c r="L498" s="53">
        <v>182</v>
      </c>
    </row>
    <row r="499" spans="1:12" x14ac:dyDescent="0.25">
      <c r="A499" s="1829"/>
      <c r="B499" s="1625"/>
      <c r="C499" s="1263" t="s">
        <v>353</v>
      </c>
      <c r="D499" s="36" t="s">
        <v>498</v>
      </c>
      <c r="E499" s="36"/>
      <c r="F499" s="81">
        <f t="shared" ref="F499:L499" si="56">+F497-F495</f>
        <v>-256</v>
      </c>
      <c r="G499" s="81">
        <f t="shared" si="56"/>
        <v>-264</v>
      </c>
      <c r="H499" s="81">
        <f t="shared" si="56"/>
        <v>-425</v>
      </c>
      <c r="I499" s="81">
        <f t="shared" si="56"/>
        <v>-715</v>
      </c>
      <c r="J499" s="81">
        <f t="shared" si="56"/>
        <v>-674</v>
      </c>
      <c r="K499" s="81">
        <f t="shared" si="56"/>
        <v>-737</v>
      </c>
      <c r="L499" s="81">
        <f t="shared" si="56"/>
        <v>-700</v>
      </c>
    </row>
    <row r="500" spans="1:12" x14ac:dyDescent="0.25">
      <c r="A500" s="1829"/>
      <c r="B500" s="1625"/>
      <c r="C500" s="1256"/>
      <c r="D500" s="44" t="s">
        <v>499</v>
      </c>
      <c r="E500" s="28"/>
      <c r="F500" s="79">
        <f t="shared" ref="F500:L500" si="57">F498-F496</f>
        <v>25</v>
      </c>
      <c r="G500" s="79">
        <f t="shared" si="57"/>
        <v>49</v>
      </c>
      <c r="H500" s="79">
        <f t="shared" si="57"/>
        <v>11</v>
      </c>
      <c r="I500" s="79">
        <f t="shared" si="57"/>
        <v>38</v>
      </c>
      <c r="J500" s="79">
        <f t="shared" si="57"/>
        <v>37</v>
      </c>
      <c r="K500" s="79">
        <f t="shared" si="57"/>
        <v>39</v>
      </c>
      <c r="L500" s="79">
        <f t="shared" si="57"/>
        <v>8</v>
      </c>
    </row>
    <row r="501" spans="1:12" ht="16.5" customHeight="1" x14ac:dyDescent="0.25">
      <c r="A501" s="1829"/>
      <c r="B501" s="1625"/>
      <c r="C501" s="1256" t="s">
        <v>270</v>
      </c>
      <c r="D501" s="44" t="s">
        <v>500</v>
      </c>
      <c r="E501" s="28"/>
      <c r="F501" s="263">
        <f>+F497/(F497+F495)*100</f>
        <v>25.193798449612402</v>
      </c>
      <c r="G501" s="263">
        <f t="shared" ref="G501:L502" si="58">+G497/(G497+G495)*100</f>
        <v>25</v>
      </c>
      <c r="H501" s="263">
        <f t="shared" si="58"/>
        <v>23.404255319148938</v>
      </c>
      <c r="I501" s="263">
        <f t="shared" si="58"/>
        <v>21.19258662369057</v>
      </c>
      <c r="J501" s="263">
        <f t="shared" si="58"/>
        <v>24.962852897473997</v>
      </c>
      <c r="K501" s="263">
        <f t="shared" si="58"/>
        <v>24.568668046928916</v>
      </c>
      <c r="L501" s="263">
        <f t="shared" si="58"/>
        <v>24.302496328928047</v>
      </c>
    </row>
    <row r="502" spans="1:12" ht="16.5" thickBot="1" x14ac:dyDescent="0.3">
      <c r="A502" s="1830"/>
      <c r="B502" s="1626"/>
      <c r="C502" s="1257"/>
      <c r="D502" s="203" t="s">
        <v>501</v>
      </c>
      <c r="E502" s="33"/>
      <c r="F502" s="230">
        <f>+F498/(F498+F496)*100</f>
        <v>57.575757575757578</v>
      </c>
      <c r="G502" s="230">
        <f t="shared" si="58"/>
        <v>59.607843137254903</v>
      </c>
      <c r="H502" s="230">
        <f t="shared" si="58"/>
        <v>53.41614906832298</v>
      </c>
      <c r="I502" s="230">
        <f t="shared" si="58"/>
        <v>55.937499999999993</v>
      </c>
      <c r="J502" s="230">
        <f t="shared" si="58"/>
        <v>56.187290969899664</v>
      </c>
      <c r="K502" s="230">
        <f t="shared" si="58"/>
        <v>55.524079320113316</v>
      </c>
      <c r="L502" s="230">
        <f t="shared" si="58"/>
        <v>51.123595505617978</v>
      </c>
    </row>
  </sheetData>
  <mergeCells count="236">
    <mergeCell ref="A362:A483"/>
    <mergeCell ref="C501:C502"/>
    <mergeCell ref="A494:A502"/>
    <mergeCell ref="B494:B502"/>
    <mergeCell ref="C493:D493"/>
    <mergeCell ref="C494:D494"/>
    <mergeCell ref="C484:D484"/>
    <mergeCell ref="A485:A492"/>
    <mergeCell ref="B485:B489"/>
    <mergeCell ref="C485:D485"/>
    <mergeCell ref="C486:D486"/>
    <mergeCell ref="C487:D487"/>
    <mergeCell ref="C489:D489"/>
    <mergeCell ref="B490:B492"/>
    <mergeCell ref="C490:D490"/>
    <mergeCell ref="C492:D492"/>
    <mergeCell ref="C488:D488"/>
    <mergeCell ref="C491:D491"/>
    <mergeCell ref="C495:C496"/>
    <mergeCell ref="C497:C498"/>
    <mergeCell ref="C499:C500"/>
    <mergeCell ref="C427:D427"/>
    <mergeCell ref="C428:D428"/>
    <mergeCell ref="C429:D429"/>
    <mergeCell ref="B326:B335"/>
    <mergeCell ref="C326:C330"/>
    <mergeCell ref="B336:B340"/>
    <mergeCell ref="C336:D336"/>
    <mergeCell ref="C337:D337"/>
    <mergeCell ref="C338:D338"/>
    <mergeCell ref="C339:D339"/>
    <mergeCell ref="C340:D340"/>
    <mergeCell ref="C371:D371"/>
    <mergeCell ref="C341:D341"/>
    <mergeCell ref="B362:B370"/>
    <mergeCell ref="C362:C364"/>
    <mergeCell ref="C365:C367"/>
    <mergeCell ref="C368:D368"/>
    <mergeCell ref="C369:D369"/>
    <mergeCell ref="C370:D370"/>
    <mergeCell ref="C357:D357"/>
    <mergeCell ref="A342:A349"/>
    <mergeCell ref="B342:B345"/>
    <mergeCell ref="C342:D342"/>
    <mergeCell ref="C343:D343"/>
    <mergeCell ref="C344:D344"/>
    <mergeCell ref="C345:D345"/>
    <mergeCell ref="B346:B349"/>
    <mergeCell ref="C346:D346"/>
    <mergeCell ref="C347:D347"/>
    <mergeCell ref="C348:D348"/>
    <mergeCell ref="C349:D349"/>
    <mergeCell ref="C61:D61"/>
    <mergeCell ref="B62:B315"/>
    <mergeCell ref="C62:C64"/>
    <mergeCell ref="C65:C68"/>
    <mergeCell ref="C69:C72"/>
    <mergeCell ref="C73:C76"/>
    <mergeCell ref="A317:A340"/>
    <mergeCell ref="B317:B321"/>
    <mergeCell ref="C317:D317"/>
    <mergeCell ref="C318:D318"/>
    <mergeCell ref="C319:D319"/>
    <mergeCell ref="C320:D320"/>
    <mergeCell ref="C321:D321"/>
    <mergeCell ref="C322:D322"/>
    <mergeCell ref="C323:D323"/>
    <mergeCell ref="C324:D324"/>
    <mergeCell ref="C325:D325"/>
    <mergeCell ref="C331:C335"/>
    <mergeCell ref="B322:B325"/>
    <mergeCell ref="C217:C220"/>
    <mergeCell ref="C77:C80"/>
    <mergeCell ref="C81:C84"/>
    <mergeCell ref="C316:D316"/>
    <mergeCell ref="C85:C88"/>
    <mergeCell ref="C53:D53"/>
    <mergeCell ref="C54:D54"/>
    <mergeCell ref="C55:D55"/>
    <mergeCell ref="B56:B60"/>
    <mergeCell ref="C56:D56"/>
    <mergeCell ref="C57:D57"/>
    <mergeCell ref="C58:D58"/>
    <mergeCell ref="C59:D59"/>
    <mergeCell ref="C60:D60"/>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89:C92"/>
    <mergeCell ref="C93:C96"/>
    <mergeCell ref="C97:C100"/>
    <mergeCell ref="C101:C104"/>
    <mergeCell ref="C105:C108"/>
    <mergeCell ref="C109:C112"/>
    <mergeCell ref="C185:C188"/>
    <mergeCell ref="C189:C192"/>
    <mergeCell ref="C193:C196"/>
    <mergeCell ref="C197:C200"/>
    <mergeCell ref="C113:C116"/>
    <mergeCell ref="C117:C120"/>
    <mergeCell ref="C121:C124"/>
    <mergeCell ref="C125:C128"/>
    <mergeCell ref="C129:C132"/>
    <mergeCell ref="C133:C136"/>
    <mergeCell ref="C137:C140"/>
    <mergeCell ref="C141:C144"/>
    <mergeCell ref="C145:C148"/>
    <mergeCell ref="C293:C296"/>
    <mergeCell ref="C297:C300"/>
    <mergeCell ref="C301:C304"/>
    <mergeCell ref="C305:C308"/>
    <mergeCell ref="C149:C152"/>
    <mergeCell ref="C153:C156"/>
    <mergeCell ref="C157:C160"/>
    <mergeCell ref="C161:C164"/>
    <mergeCell ref="C165:C168"/>
    <mergeCell ref="C169:C172"/>
    <mergeCell ref="C289:C292"/>
    <mergeCell ref="C221:C224"/>
    <mergeCell ref="C225:C228"/>
    <mergeCell ref="C229:C232"/>
    <mergeCell ref="C233:C236"/>
    <mergeCell ref="C237:C240"/>
    <mergeCell ref="C241:C244"/>
    <mergeCell ref="C245:C248"/>
    <mergeCell ref="C249:C252"/>
    <mergeCell ref="C253:C256"/>
    <mergeCell ref="C173:C176"/>
    <mergeCell ref="C177:C180"/>
    <mergeCell ref="C181:C184"/>
    <mergeCell ref="C285:C288"/>
    <mergeCell ref="C309:C312"/>
    <mergeCell ref="C313:D313"/>
    <mergeCell ref="C314:D314"/>
    <mergeCell ref="C315:D315"/>
    <mergeCell ref="A47:A315"/>
    <mergeCell ref="B47:B51"/>
    <mergeCell ref="C47:D47"/>
    <mergeCell ref="C48:D48"/>
    <mergeCell ref="C49:D49"/>
    <mergeCell ref="C50:D50"/>
    <mergeCell ref="C51:D51"/>
    <mergeCell ref="B52:B55"/>
    <mergeCell ref="C52:D52"/>
    <mergeCell ref="C257:C260"/>
    <mergeCell ref="C261:C264"/>
    <mergeCell ref="C265:C268"/>
    <mergeCell ref="C269:C272"/>
    <mergeCell ref="C273:C276"/>
    <mergeCell ref="C277:C280"/>
    <mergeCell ref="C281:C284"/>
    <mergeCell ref="C201:C204"/>
    <mergeCell ref="C205:C208"/>
    <mergeCell ref="C209:C212"/>
    <mergeCell ref="C213:C216"/>
    <mergeCell ref="C412:C415"/>
    <mergeCell ref="C408:C411"/>
    <mergeCell ref="B428:B474"/>
    <mergeCell ref="B372:B426"/>
    <mergeCell ref="C372:D372"/>
    <mergeCell ref="C373:D373"/>
    <mergeCell ref="C374:D374"/>
    <mergeCell ref="C375:D375"/>
    <mergeCell ref="C432:C435"/>
    <mergeCell ref="C436:C439"/>
    <mergeCell ref="C440:C443"/>
    <mergeCell ref="C376:C379"/>
    <mergeCell ref="C380:C383"/>
    <mergeCell ref="C384:C387"/>
    <mergeCell ref="C388:C391"/>
    <mergeCell ref="C424:C426"/>
    <mergeCell ref="C416:C419"/>
    <mergeCell ref="C420:C423"/>
    <mergeCell ref="C479:D479"/>
    <mergeCell ref="C392:C395"/>
    <mergeCell ref="C396:C399"/>
    <mergeCell ref="C400:C403"/>
    <mergeCell ref="C404:C407"/>
    <mergeCell ref="B476:B483"/>
    <mergeCell ref="C476:D476"/>
    <mergeCell ref="C477:D477"/>
    <mergeCell ref="C478:D478"/>
    <mergeCell ref="C480:D480"/>
    <mergeCell ref="C481:D481"/>
    <mergeCell ref="C482:D482"/>
    <mergeCell ref="C483:D483"/>
    <mergeCell ref="C431:D431"/>
    <mergeCell ref="C472:C474"/>
    <mergeCell ref="C444:C447"/>
    <mergeCell ref="C430:D430"/>
    <mergeCell ref="C448:C451"/>
    <mergeCell ref="C452:C455"/>
    <mergeCell ref="C475:D475"/>
    <mergeCell ref="C456:C459"/>
    <mergeCell ref="C460:C463"/>
    <mergeCell ref="C464:C467"/>
    <mergeCell ref="C468:C471"/>
    <mergeCell ref="A351:A360"/>
    <mergeCell ref="B351:B360"/>
    <mergeCell ref="C354:C356"/>
    <mergeCell ref="C350:D350"/>
    <mergeCell ref="C358:D358"/>
    <mergeCell ref="C359:D359"/>
    <mergeCell ref="C360:D360"/>
    <mergeCell ref="C361:D361"/>
    <mergeCell ref="C351:C353"/>
  </mergeCells>
  <conditionalFormatting sqref="E50 G50:L50">
    <cfRule type="cellIs" dxfId="639" priority="31" operator="lessThan">
      <formula>1</formula>
    </cfRule>
    <cfRule type="cellIs" dxfId="638" priority="28" operator="lessThan">
      <formula>1</formula>
    </cfRule>
    <cfRule type="cellIs" dxfId="637" priority="29" operator="greaterThan">
      <formula>1</formula>
    </cfRule>
    <cfRule type="cellIs" dxfId="636" priority="30" operator="greaterThan">
      <formula>1</formula>
    </cfRule>
    <cfRule type="cellIs" dxfId="635" priority="32" operator="greaterThan">
      <formula>1</formula>
    </cfRule>
  </conditionalFormatting>
  <conditionalFormatting sqref="E51 G51:L51">
    <cfRule type="cellIs" dxfId="634" priority="33" operator="greaterThan">
      <formula>50</formula>
    </cfRule>
    <cfRule type="cellIs" dxfId="633" priority="34" operator="lessThan">
      <formula>50</formula>
    </cfRule>
  </conditionalFormatting>
  <conditionalFormatting sqref="E349:F349">
    <cfRule type="cellIs" dxfId="632" priority="183" operator="lessThan">
      <formula>0</formula>
    </cfRule>
    <cfRule type="cellIs" dxfId="631" priority="184" operator="greaterThan">
      <formula>0</formula>
    </cfRule>
  </conditionalFormatting>
  <conditionalFormatting sqref="E39:L39">
    <cfRule type="cellIs" dxfId="630" priority="428" operator="greaterThan">
      <formula>1</formula>
    </cfRule>
    <cfRule type="cellIs" dxfId="629" priority="427" operator="lessThan">
      <formula>1</formula>
    </cfRule>
    <cfRule type="cellIs" dxfId="628" priority="426" operator="greaterThan">
      <formula>1</formula>
    </cfRule>
    <cfRule type="cellIs" dxfId="627" priority="425" operator="greaterThan">
      <formula>1</formula>
    </cfRule>
  </conditionalFormatting>
  <conditionalFormatting sqref="E40:L40">
    <cfRule type="cellIs" dxfId="626" priority="430" operator="greaterThan">
      <formula>50</formula>
    </cfRule>
    <cfRule type="cellIs" dxfId="625" priority="429" operator="lessThan">
      <formula>50</formula>
    </cfRule>
    <cfRule type="cellIs" dxfId="624" priority="424" operator="greaterThan">
      <formula>50</formula>
    </cfRule>
  </conditionalFormatting>
  <conditionalFormatting sqref="E44:L44">
    <cfRule type="cellIs" dxfId="623" priority="422" operator="lessThan">
      <formula>1</formula>
    </cfRule>
    <cfRule type="cellIs" dxfId="622" priority="423" operator="greaterThan">
      <formula>1</formula>
    </cfRule>
    <cfRule type="cellIs" dxfId="621" priority="421" operator="greaterThan">
      <formula>1</formula>
    </cfRule>
    <cfRule type="cellIs" dxfId="620" priority="420" operator="greaterThan">
      <formula>1</formula>
    </cfRule>
  </conditionalFormatting>
  <conditionalFormatting sqref="E45:L45">
    <cfRule type="cellIs" dxfId="619" priority="419" operator="greaterThan">
      <formula>50</formula>
    </cfRule>
    <cfRule type="cellIs" dxfId="618" priority="418" operator="lessThan">
      <formula>50</formula>
    </cfRule>
    <cfRule type="cellIs" dxfId="617" priority="417" operator="greaterThan">
      <formula>50</formula>
    </cfRule>
  </conditionalFormatting>
  <conditionalFormatting sqref="F360:H360 J360:K360">
    <cfRule type="cellIs" dxfId="616" priority="25" operator="lessThan">
      <formula>0</formula>
    </cfRule>
    <cfRule type="cellIs" dxfId="615" priority="26" operator="greaterThan">
      <formula>0</formula>
    </cfRule>
  </conditionalFormatting>
  <conditionalFormatting sqref="F370:K370">
    <cfRule type="cellIs" dxfId="614" priority="179" operator="lessThan">
      <formula>0</formula>
    </cfRule>
  </conditionalFormatting>
  <conditionalFormatting sqref="F320:L321">
    <cfRule type="cellIs" dxfId="613" priority="202" operator="lessThan">
      <formula>1</formula>
    </cfRule>
  </conditionalFormatting>
  <conditionalFormatting sqref="F499:L499">
    <cfRule type="cellIs" dxfId="612" priority="13" operator="lessThan">
      <formula>0</formula>
    </cfRule>
  </conditionalFormatting>
  <conditionalFormatting sqref="F500:L502">
    <cfRule type="cellIs" dxfId="611" priority="11" operator="greaterThan">
      <formula>0</formula>
    </cfRule>
  </conditionalFormatting>
  <conditionalFormatting sqref="F502:L502">
    <cfRule type="cellIs" dxfId="610" priority="16" operator="lessThan">
      <formula>0</formula>
    </cfRule>
    <cfRule type="cellIs" dxfId="609" priority="15" operator="greaterThan">
      <formula>0</formula>
    </cfRule>
  </conditionalFormatting>
  <conditionalFormatting sqref="G325:L325">
    <cfRule type="cellIs" dxfId="608" priority="208" operator="greaterThan">
      <formula>0</formula>
    </cfRule>
    <cfRule type="cellIs" dxfId="607" priority="209" operator="lessThan">
      <formula>1</formula>
    </cfRule>
  </conditionalFormatting>
  <conditionalFormatting sqref="H479:J479">
    <cfRule type="cellIs" dxfId="606" priority="2" operator="greaterThan">
      <formula>0</formula>
    </cfRule>
  </conditionalFormatting>
  <conditionalFormatting sqref="H59:K59">
    <cfRule type="cellIs" dxfId="605" priority="290" operator="greaterThan">
      <formula>0</formula>
    </cfRule>
  </conditionalFormatting>
  <conditionalFormatting sqref="H60:K60">
    <cfRule type="cellIs" dxfId="604" priority="292" operator="greaterThan">
      <formula>50</formula>
    </cfRule>
    <cfRule type="cellIs" dxfId="603" priority="289" operator="greaterThan">
      <formula>50</formula>
    </cfRule>
    <cfRule type="cellIs" dxfId="602" priority="288" operator="lessThan">
      <formula>50</formula>
    </cfRule>
    <cfRule type="cellIs" dxfId="601" priority="291" operator="lessThan">
      <formula>50</formula>
    </cfRule>
  </conditionalFormatting>
  <conditionalFormatting sqref="H339:K339">
    <cfRule type="cellIs" dxfId="600" priority="211" operator="lessThan">
      <formula>0</formula>
    </cfRule>
    <cfRule type="cellIs" dxfId="599" priority="215" operator="greaterThan">
      <formula>0</formula>
    </cfRule>
    <cfRule type="cellIs" dxfId="598" priority="216" operator="lessThan">
      <formula>0</formula>
    </cfRule>
    <cfRule type="cellIs" dxfId="597" priority="217" operator="greaterThan">
      <formula>0</formula>
    </cfRule>
  </conditionalFormatting>
  <conditionalFormatting sqref="H340:K340">
    <cfRule type="cellIs" dxfId="596" priority="210" operator="lessThan">
      <formula>50</formula>
    </cfRule>
    <cfRule type="cellIs" dxfId="595" priority="214" operator="greaterThan">
      <formula>50</formula>
    </cfRule>
    <cfRule type="cellIs" dxfId="594" priority="189" operator="greaterThan">
      <formula>50</formula>
    </cfRule>
  </conditionalFormatting>
  <conditionalFormatting sqref="H479:K479">
    <cfRule type="cellIs" dxfId="593" priority="1" operator="lessThan">
      <formula>0</formula>
    </cfRule>
  </conditionalFormatting>
  <conditionalFormatting sqref="H480:K480">
    <cfRule type="cellIs" dxfId="592" priority="3" operator="lessThan">
      <formula>50</formula>
    </cfRule>
    <cfRule type="cellIs" dxfId="591" priority="4" operator="greaterThan">
      <formula>50</formula>
    </cfRule>
  </conditionalFormatting>
  <conditionalFormatting sqref="H55:L55">
    <cfRule type="cellIs" dxfId="590" priority="293" operator="greaterThan">
      <formula>0</formula>
    </cfRule>
  </conditionalFormatting>
  <conditionalFormatting sqref="I329:I330">
    <cfRule type="cellIs" dxfId="589" priority="197" operator="greaterThan">
      <formula>50</formula>
    </cfRule>
  </conditionalFormatting>
  <conditionalFormatting sqref="I329:L329">
    <cfRule type="cellIs" dxfId="588" priority="204" operator="greaterThan">
      <formula>0</formula>
    </cfRule>
    <cfRule type="cellIs" dxfId="587" priority="205" operator="lessThan">
      <formula>1</formula>
    </cfRule>
  </conditionalFormatting>
  <conditionalFormatting sqref="I330:L330">
    <cfRule type="cellIs" dxfId="586" priority="206" operator="lessThan">
      <formula>50</formula>
    </cfRule>
    <cfRule type="cellIs" dxfId="585" priority="203" operator="greaterThan">
      <formula>50</formula>
    </cfRule>
  </conditionalFormatting>
  <conditionalFormatting sqref="I334:L334">
    <cfRule type="cellIs" dxfId="584" priority="212" operator="greaterThan">
      <formula>0</formula>
    </cfRule>
    <cfRule type="cellIs" dxfId="583" priority="213" operator="lessThan">
      <formula>1</formula>
    </cfRule>
    <cfRule type="cellIs" dxfId="582" priority="192" operator="greaterThan">
      <formula>0</formula>
    </cfRule>
  </conditionalFormatting>
  <conditionalFormatting sqref="I335:L335">
    <cfRule type="cellIs" dxfId="581" priority="190" operator="greaterThan">
      <formula>50</formula>
    </cfRule>
  </conditionalFormatting>
  <conditionalFormatting sqref="J329:L329">
    <cfRule type="cellIs" dxfId="580" priority="195" operator="greaterThan">
      <formula>0</formula>
    </cfRule>
  </conditionalFormatting>
  <conditionalFormatting sqref="J330:L330">
    <cfRule type="cellIs" dxfId="579" priority="194" operator="greaterThan">
      <formula>50</formula>
    </cfRule>
  </conditionalFormatting>
  <conditionalFormatting sqref="K489">
    <cfRule type="cellIs" dxfId="578" priority="8" operator="lessThan">
      <formula>50</formula>
    </cfRule>
    <cfRule type="cellIs" dxfId="577" priority="9" operator="lessThan">
      <formula>50</formula>
    </cfRule>
    <cfRule type="cellIs" dxfId="576" priority="10" operator="greaterThan">
      <formula>50</formula>
    </cfRule>
  </conditionalFormatting>
  <hyperlinks>
    <hyperlink ref="M1" location="INDICADORES!A1" display="INDICADORES" xr:uid="{6C3D1CA7-C8C2-4164-8AC5-65709ACB720D}"/>
    <hyperlink ref="O1" location="DISTRITOS!A1" display="DISTRITOS" xr:uid="{14276D16-8068-4E39-AFAF-51F334878C55}"/>
  </hyperlinks>
  <pageMargins left="0.7" right="0.7" top="0.75" bottom="0.75" header="0.3" footer="0.3"/>
  <pageSetup paperSize="9" orientation="portrait" verticalDpi="0" r:id="rId1"/>
  <ignoredErrors>
    <ignoredError sqref="F354:J35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F8794-CF7B-4E6A-A62D-F099DF3D16C7}">
  <sheetPr codeName="Hoja16">
    <tabColor theme="8" tint="-0.249977111117893"/>
  </sheetPr>
  <dimension ref="A1:O498"/>
  <sheetViews>
    <sheetView showGridLines="0" topLeftCell="D1" zoomScale="80" zoomScaleNormal="80" workbookViewId="0">
      <pane ySplit="2" topLeftCell="A38" activePane="bottomLeft" state="frozen"/>
      <selection activeCell="C3" activeCellId="1" sqref="K60 C3:K3"/>
      <selection pane="bottomLeft" activeCell="L485" sqref="L485"/>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4.5703125" style="11" customWidth="1"/>
    <col min="14" max="14" width="4.42578125" style="11" customWidth="1"/>
    <col min="15" max="15" width="14.5703125" style="11" customWidth="1"/>
    <col min="16" max="16384" width="11.42578125" style="11"/>
  </cols>
  <sheetData>
    <row r="1" spans="1:15" ht="30" customHeight="1" thickTop="1" thickBot="1" x14ac:dyDescent="0.3">
      <c r="A1" s="1020" t="s">
        <v>579</v>
      </c>
      <c r="B1" s="1020"/>
      <c r="C1" s="1020"/>
      <c r="D1" s="1020"/>
      <c r="E1" s="1020"/>
      <c r="F1" s="1020"/>
      <c r="G1" s="1020"/>
      <c r="H1" s="1020"/>
      <c r="I1" s="1020"/>
      <c r="J1" s="1020"/>
      <c r="K1" s="1020"/>
      <c r="M1" s="479" t="s">
        <v>246</v>
      </c>
      <c r="N1" s="480"/>
      <c r="O1" s="481" t="s">
        <v>247</v>
      </c>
    </row>
    <row r="2" spans="1:15" ht="18" customHeight="1" thickTop="1" thickBot="1" x14ac:dyDescent="0.3">
      <c r="A2" s="861" t="s">
        <v>248</v>
      </c>
      <c r="B2" s="860" t="s">
        <v>249</v>
      </c>
      <c r="C2" s="1833"/>
      <c r="D2" s="1834"/>
      <c r="E2" s="862">
        <v>2005</v>
      </c>
      <c r="F2" s="616">
        <v>2010</v>
      </c>
      <c r="G2" s="616">
        <v>2015</v>
      </c>
      <c r="H2" s="616">
        <v>2020</v>
      </c>
      <c r="I2" s="863">
        <v>2021</v>
      </c>
      <c r="J2" s="864">
        <v>2022</v>
      </c>
      <c r="K2" s="616">
        <v>2023</v>
      </c>
      <c r="L2" s="865">
        <v>2024</v>
      </c>
    </row>
    <row r="3" spans="1:15" s="64" customFormat="1" x14ac:dyDescent="0.25">
      <c r="A3" s="1835" t="s">
        <v>26</v>
      </c>
      <c r="B3" s="1838" t="s">
        <v>568</v>
      </c>
      <c r="C3" s="1842" t="s">
        <v>251</v>
      </c>
      <c r="D3" s="1843"/>
      <c r="E3" s="866">
        <v>241587</v>
      </c>
      <c r="F3" s="866">
        <v>244038</v>
      </c>
      <c r="G3" s="866">
        <v>226135</v>
      </c>
      <c r="H3" s="866">
        <v>240867</v>
      </c>
      <c r="I3" s="866">
        <v>239057</v>
      </c>
      <c r="J3" s="866">
        <v>235638</v>
      </c>
      <c r="K3" s="866">
        <v>241603</v>
      </c>
      <c r="L3" s="867">
        <v>253048</v>
      </c>
    </row>
    <row r="4" spans="1:15" x14ac:dyDescent="0.25">
      <c r="A4" s="1836"/>
      <c r="B4" s="1839"/>
      <c r="C4" s="1844" t="s">
        <v>257</v>
      </c>
      <c r="D4" s="1845"/>
      <c r="E4" s="854">
        <v>116959</v>
      </c>
      <c r="F4" s="854">
        <v>117729</v>
      </c>
      <c r="G4" s="854">
        <v>107356</v>
      </c>
      <c r="H4" s="854">
        <v>114235</v>
      </c>
      <c r="I4" s="854">
        <v>113355</v>
      </c>
      <c r="J4" s="854">
        <v>111748</v>
      </c>
      <c r="K4" s="854">
        <v>114542</v>
      </c>
      <c r="L4" s="868">
        <v>120530</v>
      </c>
    </row>
    <row r="5" spans="1:15" x14ac:dyDescent="0.25">
      <c r="A5" s="1836"/>
      <c r="B5" s="1839"/>
      <c r="C5" s="1844" t="s">
        <v>263</v>
      </c>
      <c r="D5" s="1845"/>
      <c r="E5" s="854">
        <v>124628</v>
      </c>
      <c r="F5" s="854">
        <v>126309</v>
      </c>
      <c r="G5" s="854">
        <v>118779</v>
      </c>
      <c r="H5" s="854">
        <v>126632</v>
      </c>
      <c r="I5" s="854">
        <v>125702</v>
      </c>
      <c r="J5" s="854">
        <v>123890</v>
      </c>
      <c r="K5" s="854">
        <v>127061</v>
      </c>
      <c r="L5" s="868">
        <v>132518</v>
      </c>
    </row>
    <row r="6" spans="1:15" x14ac:dyDescent="0.25">
      <c r="A6" s="1836"/>
      <c r="B6" s="1840"/>
      <c r="C6" s="1846" t="s">
        <v>269</v>
      </c>
      <c r="D6" s="1847"/>
      <c r="E6" s="855">
        <f>+E5-E4</f>
        <v>7669</v>
      </c>
      <c r="F6" s="855">
        <f t="shared" ref="F6:L6" si="0">+F5-F4</f>
        <v>8580</v>
      </c>
      <c r="G6" s="855">
        <f t="shared" si="0"/>
        <v>11423</v>
      </c>
      <c r="H6" s="855">
        <f t="shared" si="0"/>
        <v>12397</v>
      </c>
      <c r="I6" s="855">
        <f t="shared" si="0"/>
        <v>12347</v>
      </c>
      <c r="J6" s="855">
        <f t="shared" si="0"/>
        <v>12142</v>
      </c>
      <c r="K6" s="855">
        <f t="shared" si="0"/>
        <v>12519</v>
      </c>
      <c r="L6" s="869">
        <f t="shared" si="0"/>
        <v>11988</v>
      </c>
    </row>
    <row r="7" spans="1:15" ht="16.5" thickBot="1" x14ac:dyDescent="0.3">
      <c r="A7" s="1836"/>
      <c r="B7" s="1841"/>
      <c r="C7" s="1848" t="s">
        <v>270</v>
      </c>
      <c r="D7" s="1849"/>
      <c r="E7" s="870">
        <f>E5/E3*100</f>
        <v>51.587212888110699</v>
      </c>
      <c r="F7" s="870">
        <f t="shared" ref="F7:L7" si="1">F5/F3*100</f>
        <v>51.757922946426369</v>
      </c>
      <c r="G7" s="870">
        <f t="shared" si="1"/>
        <v>52.525703672584953</v>
      </c>
      <c r="H7" s="870">
        <f t="shared" si="1"/>
        <v>52.573411882906328</v>
      </c>
      <c r="I7" s="870">
        <f t="shared" si="1"/>
        <v>52.582438497931463</v>
      </c>
      <c r="J7" s="870">
        <f t="shared" si="1"/>
        <v>52.576409577402629</v>
      </c>
      <c r="K7" s="870">
        <f t="shared" si="1"/>
        <v>52.590820478222547</v>
      </c>
      <c r="L7" s="871">
        <f t="shared" si="1"/>
        <v>52.368720558945334</v>
      </c>
    </row>
    <row r="8" spans="1:15" x14ac:dyDescent="0.25">
      <c r="A8" s="1836"/>
      <c r="B8" s="1850" t="s">
        <v>569</v>
      </c>
      <c r="C8" s="1853" t="s">
        <v>257</v>
      </c>
      <c r="D8" s="872" t="s">
        <v>272</v>
      </c>
      <c r="E8" s="866">
        <v>116959</v>
      </c>
      <c r="F8" s="866">
        <v>117729</v>
      </c>
      <c r="G8" s="866">
        <v>107356</v>
      </c>
      <c r="H8" s="866">
        <v>114235</v>
      </c>
      <c r="I8" s="866">
        <v>113355</v>
      </c>
      <c r="J8" s="866">
        <v>111748</v>
      </c>
      <c r="K8" s="866">
        <v>114542</v>
      </c>
      <c r="L8" s="873">
        <v>120530</v>
      </c>
    </row>
    <row r="9" spans="1:15" x14ac:dyDescent="0.25">
      <c r="A9" s="1836"/>
      <c r="B9" s="1851"/>
      <c r="C9" s="1854"/>
      <c r="D9" s="857" t="s">
        <v>275</v>
      </c>
      <c r="E9" s="854">
        <v>19006</v>
      </c>
      <c r="F9" s="854">
        <v>18893</v>
      </c>
      <c r="G9" s="854">
        <v>16980</v>
      </c>
      <c r="H9" s="854">
        <v>16981</v>
      </c>
      <c r="I9" s="854">
        <v>16654</v>
      </c>
      <c r="J9" s="854">
        <v>16294</v>
      </c>
      <c r="K9" s="854">
        <v>16524</v>
      </c>
      <c r="L9" s="868">
        <v>15878</v>
      </c>
    </row>
    <row r="10" spans="1:15" x14ac:dyDescent="0.25">
      <c r="A10" s="1836"/>
      <c r="B10" s="1851"/>
      <c r="C10" s="1854"/>
      <c r="D10" s="857" t="s">
        <v>282</v>
      </c>
      <c r="E10" s="854">
        <v>80527</v>
      </c>
      <c r="F10" s="854">
        <v>82036</v>
      </c>
      <c r="G10" s="854">
        <v>73778</v>
      </c>
      <c r="H10" s="854">
        <v>80587</v>
      </c>
      <c r="I10" s="854">
        <v>80337</v>
      </c>
      <c r="J10" s="854">
        <v>78957</v>
      </c>
      <c r="K10" s="854">
        <v>81238</v>
      </c>
      <c r="L10" s="868">
        <v>87190</v>
      </c>
    </row>
    <row r="11" spans="1:15" x14ac:dyDescent="0.25">
      <c r="A11" s="1836"/>
      <c r="B11" s="1851"/>
      <c r="C11" s="1854"/>
      <c r="D11" s="857" t="s">
        <v>288</v>
      </c>
      <c r="E11" s="854">
        <v>17425</v>
      </c>
      <c r="F11" s="854">
        <v>16799</v>
      </c>
      <c r="G11" s="854">
        <v>16598</v>
      </c>
      <c r="H11" s="854">
        <v>16667</v>
      </c>
      <c r="I11" s="854">
        <v>16364</v>
      </c>
      <c r="J11" s="854">
        <v>16497</v>
      </c>
      <c r="K11" s="854">
        <v>16780</v>
      </c>
      <c r="L11" s="868">
        <v>17462</v>
      </c>
    </row>
    <row r="12" spans="1:15" x14ac:dyDescent="0.25">
      <c r="A12" s="1836"/>
      <c r="B12" s="1851"/>
      <c r="C12" s="1854"/>
      <c r="D12" s="857" t="s">
        <v>295</v>
      </c>
      <c r="E12" s="854">
        <v>3365</v>
      </c>
      <c r="F12" s="854">
        <v>4437</v>
      </c>
      <c r="G12" s="854">
        <v>5614</v>
      </c>
      <c r="H12" s="854">
        <v>5452</v>
      </c>
      <c r="I12" s="854">
        <v>5267</v>
      </c>
      <c r="J12" s="854">
        <v>5073</v>
      </c>
      <c r="K12" s="854">
        <v>4867</v>
      </c>
      <c r="L12" s="868">
        <v>4862</v>
      </c>
    </row>
    <row r="13" spans="1:15" ht="16.5" thickBot="1" x14ac:dyDescent="0.3">
      <c r="A13" s="1836"/>
      <c r="B13" s="1851"/>
      <c r="C13" s="1855"/>
      <c r="D13" s="877" t="s">
        <v>296</v>
      </c>
      <c r="E13" s="878">
        <v>1</v>
      </c>
      <c r="F13" s="878">
        <v>1</v>
      </c>
      <c r="G13" s="878">
        <v>0</v>
      </c>
      <c r="H13" s="878">
        <v>0</v>
      </c>
      <c r="I13" s="878">
        <v>0</v>
      </c>
      <c r="J13" s="878">
        <v>0</v>
      </c>
      <c r="K13" s="878">
        <v>0</v>
      </c>
      <c r="L13" s="879">
        <v>0</v>
      </c>
    </row>
    <row r="14" spans="1:15" x14ac:dyDescent="0.25">
      <c r="A14" s="1836"/>
      <c r="B14" s="1851"/>
      <c r="C14" s="1853" t="s">
        <v>263</v>
      </c>
      <c r="D14" s="872" t="s">
        <v>272</v>
      </c>
      <c r="E14" s="866">
        <v>124628</v>
      </c>
      <c r="F14" s="866">
        <v>126309</v>
      </c>
      <c r="G14" s="866">
        <v>118779</v>
      </c>
      <c r="H14" s="866">
        <v>126632</v>
      </c>
      <c r="I14" s="866">
        <v>125702</v>
      </c>
      <c r="J14" s="866">
        <v>123890</v>
      </c>
      <c r="K14" s="866">
        <v>127061</v>
      </c>
      <c r="L14" s="873">
        <v>132518</v>
      </c>
    </row>
    <row r="15" spans="1:15" x14ac:dyDescent="0.25">
      <c r="A15" s="1836"/>
      <c r="B15" s="1851"/>
      <c r="C15" s="1854"/>
      <c r="D15" s="857" t="s">
        <v>275</v>
      </c>
      <c r="E15" s="854">
        <v>17690</v>
      </c>
      <c r="F15" s="854">
        <v>17784</v>
      </c>
      <c r="G15" s="854">
        <v>15930</v>
      </c>
      <c r="H15" s="854">
        <v>16097</v>
      </c>
      <c r="I15" s="854">
        <v>15768</v>
      </c>
      <c r="J15" s="854">
        <v>15359</v>
      </c>
      <c r="K15" s="854">
        <v>15699</v>
      </c>
      <c r="L15" s="868">
        <v>15187</v>
      </c>
    </row>
    <row r="16" spans="1:15" x14ac:dyDescent="0.25">
      <c r="A16" s="1836"/>
      <c r="B16" s="1851"/>
      <c r="C16" s="1854"/>
      <c r="D16" s="857" t="s">
        <v>282</v>
      </c>
      <c r="E16" s="854">
        <v>80271</v>
      </c>
      <c r="F16" s="854">
        <v>82144</v>
      </c>
      <c r="G16" s="854">
        <v>76880</v>
      </c>
      <c r="H16" s="854">
        <v>84932</v>
      </c>
      <c r="I16" s="854">
        <v>84593</v>
      </c>
      <c r="J16" s="854">
        <v>83168</v>
      </c>
      <c r="K16" s="854">
        <v>85649</v>
      </c>
      <c r="L16" s="868">
        <v>91014</v>
      </c>
    </row>
    <row r="17" spans="1:13" x14ac:dyDescent="0.25">
      <c r="A17" s="1836"/>
      <c r="B17" s="1851"/>
      <c r="C17" s="1854"/>
      <c r="D17" s="857" t="s">
        <v>288</v>
      </c>
      <c r="E17" s="854">
        <v>26667</v>
      </c>
      <c r="F17" s="854">
        <v>26380</v>
      </c>
      <c r="G17" s="854">
        <v>25969</v>
      </c>
      <c r="H17" s="854">
        <v>25603</v>
      </c>
      <c r="I17" s="854">
        <v>25341</v>
      </c>
      <c r="J17" s="854">
        <v>25363</v>
      </c>
      <c r="K17" s="854">
        <v>25713</v>
      </c>
      <c r="L17" s="868">
        <v>26317</v>
      </c>
    </row>
    <row r="18" spans="1:13" x14ac:dyDescent="0.25">
      <c r="A18" s="1836"/>
      <c r="B18" s="1851"/>
      <c r="C18" s="1854"/>
      <c r="D18" s="857" t="s">
        <v>295</v>
      </c>
      <c r="E18" s="854">
        <v>6968</v>
      </c>
      <c r="F18" s="854">
        <v>8822</v>
      </c>
      <c r="G18" s="854">
        <v>10534</v>
      </c>
      <c r="H18" s="854">
        <v>10657</v>
      </c>
      <c r="I18" s="854">
        <v>10545</v>
      </c>
      <c r="J18" s="854">
        <v>10224</v>
      </c>
      <c r="K18" s="854">
        <v>9964</v>
      </c>
      <c r="L18" s="868">
        <v>9932</v>
      </c>
    </row>
    <row r="19" spans="1:13" ht="16.5" thickBot="1" x14ac:dyDescent="0.3">
      <c r="A19" s="1836"/>
      <c r="B19" s="1851"/>
      <c r="C19" s="1855"/>
      <c r="D19" s="877" t="s">
        <v>296</v>
      </c>
      <c r="E19" s="878">
        <v>0</v>
      </c>
      <c r="F19" s="878">
        <v>1</v>
      </c>
      <c r="G19" s="878">
        <v>0</v>
      </c>
      <c r="H19" s="878">
        <v>0</v>
      </c>
      <c r="I19" s="878">
        <v>0</v>
      </c>
      <c r="J19" s="878">
        <v>0</v>
      </c>
      <c r="K19" s="878">
        <v>0</v>
      </c>
      <c r="L19" s="879">
        <v>0</v>
      </c>
    </row>
    <row r="20" spans="1:13" x14ac:dyDescent="0.25">
      <c r="A20" s="1836"/>
      <c r="B20" s="1851"/>
      <c r="C20" s="1856" t="s">
        <v>269</v>
      </c>
      <c r="D20" s="880" t="s">
        <v>272</v>
      </c>
      <c r="E20" s="881">
        <f>E14-E8</f>
        <v>7669</v>
      </c>
      <c r="F20" s="881">
        <f t="shared" ref="F20:L20" si="2">F14-F8</f>
        <v>8580</v>
      </c>
      <c r="G20" s="881">
        <f t="shared" si="2"/>
        <v>11423</v>
      </c>
      <c r="H20" s="881">
        <f t="shared" si="2"/>
        <v>12397</v>
      </c>
      <c r="I20" s="881">
        <f t="shared" si="2"/>
        <v>12347</v>
      </c>
      <c r="J20" s="881">
        <f t="shared" si="2"/>
        <v>12142</v>
      </c>
      <c r="K20" s="881">
        <f t="shared" si="2"/>
        <v>12519</v>
      </c>
      <c r="L20" s="882">
        <f t="shared" si="2"/>
        <v>11988</v>
      </c>
    </row>
    <row r="21" spans="1:13" x14ac:dyDescent="0.25">
      <c r="A21" s="1836"/>
      <c r="B21" s="1851"/>
      <c r="C21" s="1857"/>
      <c r="D21" s="858" t="s">
        <v>275</v>
      </c>
      <c r="E21" s="853">
        <f t="shared" ref="E21:L24" si="3">E15-E9</f>
        <v>-1316</v>
      </c>
      <c r="F21" s="853">
        <f t="shared" si="3"/>
        <v>-1109</v>
      </c>
      <c r="G21" s="853">
        <f t="shared" si="3"/>
        <v>-1050</v>
      </c>
      <c r="H21" s="853">
        <f t="shared" si="3"/>
        <v>-884</v>
      </c>
      <c r="I21" s="853">
        <f t="shared" si="3"/>
        <v>-886</v>
      </c>
      <c r="J21" s="853">
        <f t="shared" si="3"/>
        <v>-935</v>
      </c>
      <c r="K21" s="853">
        <f t="shared" si="3"/>
        <v>-825</v>
      </c>
      <c r="L21" s="874">
        <f t="shared" si="3"/>
        <v>-691</v>
      </c>
    </row>
    <row r="22" spans="1:13" x14ac:dyDescent="0.25">
      <c r="A22" s="1836"/>
      <c r="B22" s="1851"/>
      <c r="C22" s="1857"/>
      <c r="D22" s="858" t="s">
        <v>282</v>
      </c>
      <c r="E22" s="853">
        <f t="shared" si="3"/>
        <v>-256</v>
      </c>
      <c r="F22" s="855">
        <f t="shared" si="3"/>
        <v>108</v>
      </c>
      <c r="G22" s="855">
        <f t="shared" si="3"/>
        <v>3102</v>
      </c>
      <c r="H22" s="855">
        <f t="shared" si="3"/>
        <v>4345</v>
      </c>
      <c r="I22" s="855">
        <f t="shared" si="3"/>
        <v>4256</v>
      </c>
      <c r="J22" s="855">
        <f t="shared" si="3"/>
        <v>4211</v>
      </c>
      <c r="K22" s="855">
        <f t="shared" si="3"/>
        <v>4411</v>
      </c>
      <c r="L22" s="869">
        <f t="shared" si="3"/>
        <v>3824</v>
      </c>
    </row>
    <row r="23" spans="1:13" x14ac:dyDescent="0.25">
      <c r="A23" s="1836"/>
      <c r="B23" s="1851"/>
      <c r="C23" s="1857"/>
      <c r="D23" s="858" t="s">
        <v>288</v>
      </c>
      <c r="E23" s="855">
        <f t="shared" si="3"/>
        <v>9242</v>
      </c>
      <c r="F23" s="855">
        <f t="shared" si="3"/>
        <v>9581</v>
      </c>
      <c r="G23" s="855">
        <f t="shared" si="3"/>
        <v>9371</v>
      </c>
      <c r="H23" s="855">
        <f t="shared" si="3"/>
        <v>8936</v>
      </c>
      <c r="I23" s="855">
        <f t="shared" si="3"/>
        <v>8977</v>
      </c>
      <c r="J23" s="855">
        <f t="shared" si="3"/>
        <v>8866</v>
      </c>
      <c r="K23" s="855">
        <f t="shared" si="3"/>
        <v>8933</v>
      </c>
      <c r="L23" s="869">
        <f t="shared" si="3"/>
        <v>8855</v>
      </c>
    </row>
    <row r="24" spans="1:13" ht="16.5" thickBot="1" x14ac:dyDescent="0.3">
      <c r="A24" s="1836"/>
      <c r="B24" s="1851"/>
      <c r="C24" s="1858"/>
      <c r="D24" s="883" t="s">
        <v>295</v>
      </c>
      <c r="E24" s="884">
        <f t="shared" si="3"/>
        <v>3603</v>
      </c>
      <c r="F24" s="884">
        <f t="shared" si="3"/>
        <v>4385</v>
      </c>
      <c r="G24" s="884">
        <f t="shared" si="3"/>
        <v>4920</v>
      </c>
      <c r="H24" s="884">
        <f t="shared" si="3"/>
        <v>5205</v>
      </c>
      <c r="I24" s="884">
        <f t="shared" si="3"/>
        <v>5278</v>
      </c>
      <c r="J24" s="884">
        <f t="shared" si="3"/>
        <v>5151</v>
      </c>
      <c r="K24" s="884">
        <f t="shared" si="3"/>
        <v>5097</v>
      </c>
      <c r="L24" s="885">
        <f t="shared" si="3"/>
        <v>5070</v>
      </c>
    </row>
    <row r="25" spans="1:13" ht="15" customHeight="1" x14ac:dyDescent="0.25">
      <c r="A25" s="1836"/>
      <c r="B25" s="1851"/>
      <c r="C25" s="1859" t="s">
        <v>270</v>
      </c>
      <c r="D25" s="880" t="s">
        <v>272</v>
      </c>
      <c r="E25" s="886">
        <f>E14/E3*100</f>
        <v>51.587212888110699</v>
      </c>
      <c r="F25" s="886">
        <f t="shared" ref="F25:L25" si="4">F14/F3*100</f>
        <v>51.757922946426369</v>
      </c>
      <c r="G25" s="886">
        <f t="shared" si="4"/>
        <v>52.525703672584953</v>
      </c>
      <c r="H25" s="886">
        <f t="shared" si="4"/>
        <v>52.573411882906328</v>
      </c>
      <c r="I25" s="886">
        <f t="shared" si="4"/>
        <v>52.582438497931463</v>
      </c>
      <c r="J25" s="886">
        <f t="shared" si="4"/>
        <v>52.576409577402629</v>
      </c>
      <c r="K25" s="886">
        <f t="shared" si="4"/>
        <v>52.590820478222547</v>
      </c>
      <c r="L25" s="887">
        <f t="shared" si="4"/>
        <v>52.368720558945334</v>
      </c>
    </row>
    <row r="26" spans="1:13" x14ac:dyDescent="0.25">
      <c r="A26" s="1836"/>
      <c r="B26" s="1851"/>
      <c r="C26" s="1860"/>
      <c r="D26" s="858" t="s">
        <v>275</v>
      </c>
      <c r="E26" s="859">
        <f>(E15/(E15+E9))*100</f>
        <v>48.20688903422716</v>
      </c>
      <c r="F26" s="859">
        <f t="shared" ref="F26:L27" si="5">(F15/(F15+F9))*100</f>
        <v>48.488153338604576</v>
      </c>
      <c r="G26" s="859">
        <f t="shared" si="5"/>
        <v>48.404740200546946</v>
      </c>
      <c r="H26" s="859">
        <f t="shared" si="5"/>
        <v>48.663764435576518</v>
      </c>
      <c r="I26" s="859">
        <f t="shared" si="5"/>
        <v>48.633643822096104</v>
      </c>
      <c r="J26" s="859">
        <f t="shared" si="5"/>
        <v>48.523046788614032</v>
      </c>
      <c r="K26" s="859">
        <f t="shared" si="5"/>
        <v>48.719858486174473</v>
      </c>
      <c r="L26" s="875">
        <f t="shared" si="5"/>
        <v>48.887815869950103</v>
      </c>
    </row>
    <row r="27" spans="1:13" x14ac:dyDescent="0.25">
      <c r="A27" s="1836"/>
      <c r="B27" s="1851"/>
      <c r="C27" s="1860"/>
      <c r="D27" s="858" t="s">
        <v>282</v>
      </c>
      <c r="E27" s="859">
        <f>(E16/(E16+E10))*100</f>
        <v>49.920397019863429</v>
      </c>
      <c r="F27" s="856">
        <f t="shared" si="5"/>
        <v>50.032890729686926</v>
      </c>
      <c r="G27" s="856">
        <f t="shared" si="5"/>
        <v>51.029483996867079</v>
      </c>
      <c r="H27" s="856">
        <f t="shared" si="5"/>
        <v>51.312538137615626</v>
      </c>
      <c r="I27" s="856">
        <f t="shared" si="5"/>
        <v>51.290244346086226</v>
      </c>
      <c r="J27" s="856">
        <f t="shared" si="5"/>
        <v>51.298689282960673</v>
      </c>
      <c r="K27" s="856">
        <f t="shared" si="5"/>
        <v>51.321552907056869</v>
      </c>
      <c r="L27" s="876">
        <f t="shared" si="5"/>
        <v>51.072927655944881</v>
      </c>
    </row>
    <row r="28" spans="1:13" x14ac:dyDescent="0.25">
      <c r="A28" s="1836"/>
      <c r="B28" s="1851"/>
      <c r="C28" s="1860"/>
      <c r="D28" s="858" t="s">
        <v>288</v>
      </c>
      <c r="E28" s="856">
        <f t="shared" ref="E28:L29" si="6">(E17/(E17+E11))*100</f>
        <v>60.480359248843328</v>
      </c>
      <c r="F28" s="856">
        <f t="shared" si="6"/>
        <v>61.09451353667292</v>
      </c>
      <c r="G28" s="856">
        <f t="shared" si="6"/>
        <v>61.007353113914533</v>
      </c>
      <c r="H28" s="856">
        <f t="shared" si="6"/>
        <v>60.570144310385622</v>
      </c>
      <c r="I28" s="856">
        <f t="shared" si="6"/>
        <v>60.762498501378737</v>
      </c>
      <c r="J28" s="856">
        <f t="shared" si="6"/>
        <v>60.590062111801245</v>
      </c>
      <c r="K28" s="856">
        <f t="shared" si="6"/>
        <v>60.511143011790182</v>
      </c>
      <c r="L28" s="876">
        <f t="shared" si="6"/>
        <v>60.1132963292903</v>
      </c>
    </row>
    <row r="29" spans="1:13" ht="16.5" thickBot="1" x14ac:dyDescent="0.3">
      <c r="A29" s="1836"/>
      <c r="B29" s="1852"/>
      <c r="C29" s="1861"/>
      <c r="D29" s="883" t="s">
        <v>295</v>
      </c>
      <c r="E29" s="888">
        <f t="shared" si="6"/>
        <v>67.434433368818347</v>
      </c>
      <c r="F29" s="888">
        <f t="shared" si="6"/>
        <v>66.53593785353344</v>
      </c>
      <c r="G29" s="888">
        <f t="shared" si="6"/>
        <v>65.234084716373545</v>
      </c>
      <c r="H29" s="888">
        <f t="shared" si="6"/>
        <v>66.155565211993292</v>
      </c>
      <c r="I29" s="888">
        <f t="shared" si="6"/>
        <v>66.689855805717173</v>
      </c>
      <c r="J29" s="888">
        <f t="shared" si="6"/>
        <v>66.836634634242003</v>
      </c>
      <c r="K29" s="888">
        <f t="shared" si="6"/>
        <v>67.183601914907968</v>
      </c>
      <c r="L29" s="889">
        <f t="shared" si="6"/>
        <v>67.135325131810191</v>
      </c>
    </row>
    <row r="30" spans="1:13" ht="17.25" thickTop="1" thickBot="1" x14ac:dyDescent="0.3">
      <c r="A30" s="1836"/>
      <c r="B30" s="463" t="s">
        <v>249</v>
      </c>
      <c r="C30" s="1422"/>
      <c r="D30" s="1422"/>
      <c r="E30" s="616">
        <v>2005</v>
      </c>
      <c r="F30" s="616">
        <v>2010</v>
      </c>
      <c r="G30" s="616">
        <v>2015</v>
      </c>
      <c r="H30" s="616">
        <v>2020</v>
      </c>
      <c r="I30" s="616">
        <v>2021</v>
      </c>
      <c r="J30" s="616">
        <v>2022</v>
      </c>
      <c r="K30" s="616">
        <v>2023</v>
      </c>
      <c r="L30" s="616">
        <v>2024</v>
      </c>
      <c r="M30" s="482"/>
    </row>
    <row r="31" spans="1:13" x14ac:dyDescent="0.25">
      <c r="A31" s="1836"/>
      <c r="B31" s="1194" t="s">
        <v>570</v>
      </c>
      <c r="C31" s="1210" t="s">
        <v>272</v>
      </c>
      <c r="D31" s="1541"/>
      <c r="E31" s="81">
        <v>35695</v>
      </c>
      <c r="F31" s="81">
        <v>48659</v>
      </c>
      <c r="G31" s="81">
        <v>32253</v>
      </c>
      <c r="H31" s="81">
        <v>47560</v>
      </c>
      <c r="I31" s="81">
        <v>49051</v>
      </c>
      <c r="J31" s="81">
        <v>47656</v>
      </c>
      <c r="K31" s="81">
        <v>54022</v>
      </c>
      <c r="L31" s="82">
        <f>L32+L33</f>
        <v>62835</v>
      </c>
    </row>
    <row r="32" spans="1:13" x14ac:dyDescent="0.25">
      <c r="A32" s="1836"/>
      <c r="B32" s="1195"/>
      <c r="C32" s="1148" t="s">
        <v>257</v>
      </c>
      <c r="D32" s="1124"/>
      <c r="E32" s="80">
        <v>18609</v>
      </c>
      <c r="F32" s="80">
        <v>25150</v>
      </c>
      <c r="G32" s="80">
        <v>15861</v>
      </c>
      <c r="H32" s="80">
        <v>22924</v>
      </c>
      <c r="I32" s="80">
        <v>23735</v>
      </c>
      <c r="J32" s="80">
        <v>23146</v>
      </c>
      <c r="K32" s="80">
        <v>26285</v>
      </c>
      <c r="L32" s="83">
        <v>30870</v>
      </c>
    </row>
    <row r="33" spans="1:12" x14ac:dyDescent="0.25">
      <c r="A33" s="1836"/>
      <c r="B33" s="1195"/>
      <c r="C33" s="1148" t="s">
        <v>263</v>
      </c>
      <c r="D33" s="1124"/>
      <c r="E33" s="80">
        <v>17086</v>
      </c>
      <c r="F33" s="80">
        <v>23509</v>
      </c>
      <c r="G33" s="80">
        <v>16392</v>
      </c>
      <c r="H33" s="80">
        <v>24636</v>
      </c>
      <c r="I33" s="80">
        <v>25316</v>
      </c>
      <c r="J33" s="80">
        <v>24510</v>
      </c>
      <c r="K33" s="80">
        <v>27737</v>
      </c>
      <c r="L33" s="83">
        <v>31965</v>
      </c>
    </row>
    <row r="34" spans="1:12" x14ac:dyDescent="0.25">
      <c r="A34" s="1836"/>
      <c r="B34" s="1195"/>
      <c r="C34" s="1190" t="s">
        <v>269</v>
      </c>
      <c r="D34" s="1112"/>
      <c r="E34" s="157">
        <f t="shared" ref="E34:L34" si="7">+E33-E32</f>
        <v>-1523</v>
      </c>
      <c r="F34" s="157">
        <f t="shared" si="7"/>
        <v>-1641</v>
      </c>
      <c r="G34" s="363">
        <f t="shared" si="7"/>
        <v>531</v>
      </c>
      <c r="H34" s="363">
        <f t="shared" si="7"/>
        <v>1712</v>
      </c>
      <c r="I34" s="363">
        <f t="shared" si="7"/>
        <v>1581</v>
      </c>
      <c r="J34" s="363">
        <f t="shared" si="7"/>
        <v>1364</v>
      </c>
      <c r="K34" s="363">
        <f t="shared" si="7"/>
        <v>1452</v>
      </c>
      <c r="L34" s="365">
        <f t="shared" si="7"/>
        <v>1095</v>
      </c>
    </row>
    <row r="35" spans="1:12" ht="16.5" thickBot="1" x14ac:dyDescent="0.3">
      <c r="A35" s="1836"/>
      <c r="B35" s="1595"/>
      <c r="C35" s="1169" t="s">
        <v>270</v>
      </c>
      <c r="D35" s="1126"/>
      <c r="E35" s="161">
        <f>E33/E31*100</f>
        <v>47.866647989914554</v>
      </c>
      <c r="F35" s="161">
        <f t="shared" ref="F35:L35" si="8">F33/F31*100</f>
        <v>48.313775457777595</v>
      </c>
      <c r="G35" s="366">
        <f t="shared" si="8"/>
        <v>50.823179239140551</v>
      </c>
      <c r="H35" s="366">
        <f t="shared" si="8"/>
        <v>51.799831791421354</v>
      </c>
      <c r="I35" s="366">
        <f t="shared" si="8"/>
        <v>51.611587939083812</v>
      </c>
      <c r="J35" s="366">
        <f t="shared" si="8"/>
        <v>51.431089474567734</v>
      </c>
      <c r="K35" s="366">
        <f t="shared" si="8"/>
        <v>51.343896930880007</v>
      </c>
      <c r="L35" s="367">
        <f t="shared" si="8"/>
        <v>50.871329672952967</v>
      </c>
    </row>
    <row r="36" spans="1:12" x14ac:dyDescent="0.25">
      <c r="A36" s="1836"/>
      <c r="B36" s="1194" t="s">
        <v>342</v>
      </c>
      <c r="C36" s="1146" t="s">
        <v>343</v>
      </c>
      <c r="D36" s="1147"/>
      <c r="E36" s="195">
        <f>E37+E38</f>
        <v>9671</v>
      </c>
      <c r="F36" s="195">
        <f t="shared" ref="F36:L36" si="9">F37+F38</f>
        <v>10315</v>
      </c>
      <c r="G36" s="195">
        <f t="shared" si="9"/>
        <v>10839</v>
      </c>
      <c r="H36" s="195">
        <f t="shared" si="9"/>
        <v>10742</v>
      </c>
      <c r="I36" s="195">
        <f t="shared" si="9"/>
        <v>10953</v>
      </c>
      <c r="J36" s="195">
        <f t="shared" si="9"/>
        <v>11018</v>
      </c>
      <c r="K36" s="195">
        <f t="shared" si="9"/>
        <v>11105</v>
      </c>
      <c r="L36" s="196">
        <f t="shared" si="9"/>
        <v>11449</v>
      </c>
    </row>
    <row r="37" spans="1:12" x14ac:dyDescent="0.25">
      <c r="A37" s="1836"/>
      <c r="B37" s="1195"/>
      <c r="C37" s="1148" t="s">
        <v>344</v>
      </c>
      <c r="D37" s="1124"/>
      <c r="E37" s="80">
        <v>1808</v>
      </c>
      <c r="F37" s="80">
        <v>2024</v>
      </c>
      <c r="G37" s="80">
        <v>2274</v>
      </c>
      <c r="H37" s="80">
        <v>2459</v>
      </c>
      <c r="I37" s="80">
        <v>2537</v>
      </c>
      <c r="J37" s="80">
        <v>2606</v>
      </c>
      <c r="K37" s="80">
        <v>2653</v>
      </c>
      <c r="L37" s="83">
        <v>2828</v>
      </c>
    </row>
    <row r="38" spans="1:12" x14ac:dyDescent="0.25">
      <c r="A38" s="1836"/>
      <c r="B38" s="1195"/>
      <c r="C38" s="1148" t="s">
        <v>345</v>
      </c>
      <c r="D38" s="1124"/>
      <c r="E38" s="80">
        <v>7863</v>
      </c>
      <c r="F38" s="80">
        <v>8291</v>
      </c>
      <c r="G38" s="80">
        <v>8565</v>
      </c>
      <c r="H38" s="80">
        <v>8283</v>
      </c>
      <c r="I38" s="80">
        <v>8416</v>
      </c>
      <c r="J38" s="80">
        <v>8412</v>
      </c>
      <c r="K38" s="80">
        <v>8452</v>
      </c>
      <c r="L38" s="83">
        <v>8621</v>
      </c>
    </row>
    <row r="39" spans="1:12" x14ac:dyDescent="0.25">
      <c r="A39" s="1836"/>
      <c r="B39" s="1195"/>
      <c r="C39" s="1190" t="s">
        <v>269</v>
      </c>
      <c r="D39" s="1112"/>
      <c r="E39" s="157">
        <f>E38-E37</f>
        <v>6055</v>
      </c>
      <c r="F39" s="157">
        <f t="shared" ref="F39:L39" si="10">F38-F37</f>
        <v>6267</v>
      </c>
      <c r="G39" s="157">
        <f t="shared" si="10"/>
        <v>6291</v>
      </c>
      <c r="H39" s="157">
        <f t="shared" si="10"/>
        <v>5824</v>
      </c>
      <c r="I39" s="157">
        <f t="shared" si="10"/>
        <v>5879</v>
      </c>
      <c r="J39" s="157">
        <f t="shared" si="10"/>
        <v>5806</v>
      </c>
      <c r="K39" s="157">
        <f t="shared" si="10"/>
        <v>5799</v>
      </c>
      <c r="L39" s="160">
        <f t="shared" si="10"/>
        <v>5793</v>
      </c>
    </row>
    <row r="40" spans="1:12" ht="16.5" thickBot="1" x14ac:dyDescent="0.3">
      <c r="A40" s="1836"/>
      <c r="B40" s="1595"/>
      <c r="C40" s="1169" t="s">
        <v>346</v>
      </c>
      <c r="D40" s="1126"/>
      <c r="E40" s="161">
        <f t="shared" ref="E40:L40" si="11">E38/E36*100</f>
        <v>81.304932271740256</v>
      </c>
      <c r="F40" s="161">
        <f t="shared" si="11"/>
        <v>80.378090159961218</v>
      </c>
      <c r="G40" s="161">
        <f t="shared" si="11"/>
        <v>79.020204815942435</v>
      </c>
      <c r="H40" s="161">
        <f t="shared" si="11"/>
        <v>77.108545894619255</v>
      </c>
      <c r="I40" s="161">
        <f t="shared" si="11"/>
        <v>76.837396147174289</v>
      </c>
      <c r="J40" s="161">
        <f t="shared" si="11"/>
        <v>76.347794518061349</v>
      </c>
      <c r="K40" s="161">
        <f t="shared" si="11"/>
        <v>76.109860423232774</v>
      </c>
      <c r="L40" s="162">
        <f t="shared" si="11"/>
        <v>75.299152764433572</v>
      </c>
    </row>
    <row r="41" spans="1:12" ht="15" customHeight="1" x14ac:dyDescent="0.25">
      <c r="A41" s="1836"/>
      <c r="B41" s="1194" t="s">
        <v>134</v>
      </c>
      <c r="C41" s="1205" t="s">
        <v>348</v>
      </c>
      <c r="D41" s="1206"/>
      <c r="E41" s="195">
        <f>E42+E43</f>
        <v>1706</v>
      </c>
      <c r="F41" s="195">
        <f t="shared" ref="F41:L41" si="12">F42+F43</f>
        <v>1910</v>
      </c>
      <c r="G41" s="195">
        <f t="shared" si="12"/>
        <v>2166</v>
      </c>
      <c r="H41" s="195">
        <f t="shared" si="12"/>
        <v>2155</v>
      </c>
      <c r="I41" s="195">
        <f t="shared" si="12"/>
        <v>2142</v>
      </c>
      <c r="J41" s="195">
        <f t="shared" si="12"/>
        <v>2251</v>
      </c>
      <c r="K41" s="195">
        <f t="shared" si="12"/>
        <v>2349</v>
      </c>
      <c r="L41" s="196">
        <f t="shared" si="12"/>
        <v>2482</v>
      </c>
    </row>
    <row r="42" spans="1:12" x14ac:dyDescent="0.25">
      <c r="A42" s="1836"/>
      <c r="B42" s="1195"/>
      <c r="C42" s="1148" t="s">
        <v>349</v>
      </c>
      <c r="D42" s="1124"/>
      <c r="E42" s="80">
        <v>281</v>
      </c>
      <c r="F42" s="80">
        <v>302</v>
      </c>
      <c r="G42" s="80">
        <v>285</v>
      </c>
      <c r="H42" s="80">
        <v>263</v>
      </c>
      <c r="I42" s="80">
        <v>261</v>
      </c>
      <c r="J42" s="80">
        <v>258</v>
      </c>
      <c r="K42" s="80">
        <v>260</v>
      </c>
      <c r="L42" s="83">
        <v>262</v>
      </c>
    </row>
    <row r="43" spans="1:12" x14ac:dyDescent="0.25">
      <c r="A43" s="1836"/>
      <c r="B43" s="1195"/>
      <c r="C43" s="1148" t="s">
        <v>350</v>
      </c>
      <c r="D43" s="1124"/>
      <c r="E43" s="80">
        <v>1425</v>
      </c>
      <c r="F43" s="80">
        <v>1608</v>
      </c>
      <c r="G43" s="80">
        <v>1881</v>
      </c>
      <c r="H43" s="80">
        <v>1892</v>
      </c>
      <c r="I43" s="80">
        <v>1881</v>
      </c>
      <c r="J43" s="80">
        <v>1993</v>
      </c>
      <c r="K43" s="80">
        <v>2089</v>
      </c>
      <c r="L43" s="83">
        <v>2220</v>
      </c>
    </row>
    <row r="44" spans="1:12" x14ac:dyDescent="0.25">
      <c r="A44" s="1836"/>
      <c r="B44" s="1195"/>
      <c r="C44" s="1190" t="s">
        <v>269</v>
      </c>
      <c r="D44" s="1112"/>
      <c r="E44" s="157">
        <f>E43-E42</f>
        <v>1144</v>
      </c>
      <c r="F44" s="157">
        <f t="shared" ref="F44:L44" si="13">F43-F42</f>
        <v>1306</v>
      </c>
      <c r="G44" s="157">
        <f t="shared" si="13"/>
        <v>1596</v>
      </c>
      <c r="H44" s="157">
        <f t="shared" si="13"/>
        <v>1629</v>
      </c>
      <c r="I44" s="157">
        <f t="shared" si="13"/>
        <v>1620</v>
      </c>
      <c r="J44" s="157">
        <f t="shared" si="13"/>
        <v>1735</v>
      </c>
      <c r="K44" s="157">
        <f t="shared" si="13"/>
        <v>1829</v>
      </c>
      <c r="L44" s="160">
        <f t="shared" si="13"/>
        <v>1958</v>
      </c>
    </row>
    <row r="45" spans="1:12" x14ac:dyDescent="0.25">
      <c r="A45" s="1837"/>
      <c r="B45" s="1755"/>
      <c r="C45" s="1177" t="s">
        <v>351</v>
      </c>
      <c r="D45" s="1178"/>
      <c r="E45" s="165">
        <f t="shared" ref="E45:L45" si="14">E43/E41*100</f>
        <v>83.528722157092616</v>
      </c>
      <c r="F45" s="165">
        <f t="shared" si="14"/>
        <v>84.188481675392666</v>
      </c>
      <c r="G45" s="165">
        <f t="shared" si="14"/>
        <v>86.842105263157904</v>
      </c>
      <c r="H45" s="165">
        <f t="shared" si="14"/>
        <v>87.795823665893266</v>
      </c>
      <c r="I45" s="165">
        <f t="shared" si="14"/>
        <v>87.815126050420162</v>
      </c>
      <c r="J45" s="165">
        <f t="shared" si="14"/>
        <v>88.538427365615277</v>
      </c>
      <c r="K45" s="165">
        <f t="shared" si="14"/>
        <v>88.931460195828009</v>
      </c>
      <c r="L45" s="166">
        <f t="shared" si="14"/>
        <v>89.443996776792915</v>
      </c>
    </row>
    <row r="46" spans="1:12" ht="16.5" thickBot="1" x14ac:dyDescent="0.3">
      <c r="A46" s="338" t="s">
        <v>248</v>
      </c>
      <c r="B46" s="463" t="s">
        <v>249</v>
      </c>
      <c r="C46" s="1422"/>
      <c r="D46" s="1422"/>
      <c r="E46" s="616">
        <v>2005</v>
      </c>
      <c r="F46" s="616">
        <v>2010</v>
      </c>
      <c r="G46" s="616">
        <v>2015</v>
      </c>
      <c r="H46" s="616">
        <v>2020</v>
      </c>
      <c r="I46" s="616">
        <v>2021</v>
      </c>
      <c r="J46" s="616">
        <v>2022</v>
      </c>
      <c r="K46" s="616">
        <v>2023</v>
      </c>
      <c r="L46" s="616">
        <v>2024</v>
      </c>
    </row>
    <row r="47" spans="1:12" x14ac:dyDescent="0.25">
      <c r="A47" s="1814" t="s">
        <v>38</v>
      </c>
      <c r="B47" s="1683" t="s">
        <v>352</v>
      </c>
      <c r="C47" s="1147" t="s">
        <v>251</v>
      </c>
      <c r="D47" s="1147"/>
      <c r="E47" s="195">
        <v>10156</v>
      </c>
      <c r="F47" s="195">
        <v>22974</v>
      </c>
      <c r="G47" s="195">
        <v>22746</v>
      </c>
      <c r="H47" s="195">
        <v>21417</v>
      </c>
      <c r="I47" s="195">
        <v>21644</v>
      </c>
      <c r="J47" s="195">
        <v>16244</v>
      </c>
      <c r="K47" s="195">
        <v>15657</v>
      </c>
      <c r="L47" s="82">
        <v>14924</v>
      </c>
    </row>
    <row r="48" spans="1:12" x14ac:dyDescent="0.25">
      <c r="A48" s="1815"/>
      <c r="B48" s="1684"/>
      <c r="C48" s="1124" t="s">
        <v>257</v>
      </c>
      <c r="D48" s="1124"/>
      <c r="E48" s="96">
        <v>4167</v>
      </c>
      <c r="F48" s="96">
        <v>12412</v>
      </c>
      <c r="G48" s="96">
        <v>11392</v>
      </c>
      <c r="H48" s="96">
        <v>9858</v>
      </c>
      <c r="I48" s="96">
        <v>9702</v>
      </c>
      <c r="J48" s="96">
        <v>7068</v>
      </c>
      <c r="K48" s="96">
        <v>6727</v>
      </c>
      <c r="L48" s="83">
        <v>6377</v>
      </c>
    </row>
    <row r="49" spans="1:12" x14ac:dyDescent="0.25">
      <c r="A49" s="1815"/>
      <c r="B49" s="1684"/>
      <c r="C49" s="1124" t="s">
        <v>263</v>
      </c>
      <c r="D49" s="1124"/>
      <c r="E49" s="96">
        <v>5989</v>
      </c>
      <c r="F49" s="96">
        <v>10562</v>
      </c>
      <c r="G49" s="96">
        <v>11354</v>
      </c>
      <c r="H49" s="96">
        <v>11559</v>
      </c>
      <c r="I49" s="96">
        <v>11942</v>
      </c>
      <c r="J49" s="96">
        <v>9176</v>
      </c>
      <c r="K49" s="96">
        <v>8930</v>
      </c>
      <c r="L49" s="83">
        <v>8547</v>
      </c>
    </row>
    <row r="50" spans="1:12" x14ac:dyDescent="0.25">
      <c r="A50" s="1815"/>
      <c r="B50" s="1684"/>
      <c r="C50" s="1112" t="s">
        <v>353</v>
      </c>
      <c r="D50" s="1112"/>
      <c r="E50" s="157">
        <f t="shared" ref="E50:L50" si="15">+E49-E48</f>
        <v>1822</v>
      </c>
      <c r="F50" s="363">
        <f t="shared" si="15"/>
        <v>-1850</v>
      </c>
      <c r="G50" s="363">
        <f t="shared" si="15"/>
        <v>-38</v>
      </c>
      <c r="H50" s="157">
        <f t="shared" si="15"/>
        <v>1701</v>
      </c>
      <c r="I50" s="157">
        <f t="shared" si="15"/>
        <v>2240</v>
      </c>
      <c r="J50" s="157">
        <f t="shared" si="15"/>
        <v>2108</v>
      </c>
      <c r="K50" s="157">
        <f t="shared" si="15"/>
        <v>2203</v>
      </c>
      <c r="L50" s="160">
        <f t="shared" si="15"/>
        <v>2170</v>
      </c>
    </row>
    <row r="51" spans="1:12" ht="16.5" thickBot="1" x14ac:dyDescent="0.3">
      <c r="A51" s="1815"/>
      <c r="B51" s="1754"/>
      <c r="C51" s="1126" t="s">
        <v>270</v>
      </c>
      <c r="D51" s="1126"/>
      <c r="E51" s="161">
        <f>E49/E47*100</f>
        <v>58.970066955494296</v>
      </c>
      <c r="F51" s="366">
        <f t="shared" ref="F51:L51" si="16">F49/F47*100</f>
        <v>45.973709410638115</v>
      </c>
      <c r="G51" s="366">
        <f t="shared" si="16"/>
        <v>49.916468829684341</v>
      </c>
      <c r="H51" s="161">
        <f t="shared" si="16"/>
        <v>53.97114441798572</v>
      </c>
      <c r="I51" s="161">
        <f t="shared" si="16"/>
        <v>55.174644243208284</v>
      </c>
      <c r="J51" s="161">
        <f t="shared" si="16"/>
        <v>56.488549618320619</v>
      </c>
      <c r="K51" s="161">
        <f t="shared" si="16"/>
        <v>57.035191926933635</v>
      </c>
      <c r="L51" s="162">
        <f t="shared" si="16"/>
        <v>57.270168855534706</v>
      </c>
    </row>
    <row r="52" spans="1:12" s="64" customFormat="1" x14ac:dyDescent="0.25">
      <c r="A52" s="1815"/>
      <c r="B52" s="1683" t="s">
        <v>146</v>
      </c>
      <c r="C52" s="1147" t="s">
        <v>251</v>
      </c>
      <c r="D52" s="1147"/>
      <c r="E52" s="40"/>
      <c r="F52" s="40"/>
      <c r="G52" s="40"/>
      <c r="H52" s="40">
        <v>13.34</v>
      </c>
      <c r="I52" s="40">
        <v>11.2</v>
      </c>
      <c r="J52" s="40">
        <v>9.2200000000000006</v>
      </c>
      <c r="K52" s="40">
        <v>8.6</v>
      </c>
      <c r="L52" s="325">
        <v>8.58</v>
      </c>
    </row>
    <row r="53" spans="1:12" x14ac:dyDescent="0.25">
      <c r="A53" s="1815"/>
      <c r="B53" s="1684"/>
      <c r="C53" s="1124" t="s">
        <v>257</v>
      </c>
      <c r="D53" s="1124"/>
      <c r="E53" s="28"/>
      <c r="F53" s="28"/>
      <c r="G53" s="28"/>
      <c r="H53" s="28">
        <v>12.53</v>
      </c>
      <c r="I53" s="28">
        <v>10.35</v>
      </c>
      <c r="J53" s="28">
        <v>8.3800000000000008</v>
      </c>
      <c r="K53" s="28">
        <v>7.67</v>
      </c>
      <c r="L53" s="21">
        <v>7.47</v>
      </c>
    </row>
    <row r="54" spans="1:12" x14ac:dyDescent="0.25">
      <c r="A54" s="1815"/>
      <c r="B54" s="1684"/>
      <c r="C54" s="1223" t="s">
        <v>263</v>
      </c>
      <c r="D54" s="1223"/>
      <c r="E54" s="28"/>
      <c r="F54" s="28"/>
      <c r="G54" s="28"/>
      <c r="H54" s="28">
        <v>14.11</v>
      </c>
      <c r="I54" s="28">
        <v>12.02</v>
      </c>
      <c r="J54" s="28">
        <v>10.02</v>
      </c>
      <c r="K54" s="28">
        <v>9.5</v>
      </c>
      <c r="L54" s="21">
        <v>9.66</v>
      </c>
    </row>
    <row r="55" spans="1:12" ht="16.5" thickBot="1" x14ac:dyDescent="0.3">
      <c r="A55" s="1815"/>
      <c r="B55" s="1754"/>
      <c r="C55" s="1225" t="s">
        <v>354</v>
      </c>
      <c r="D55" s="1225"/>
      <c r="E55" s="33"/>
      <c r="F55" s="33"/>
      <c r="G55" s="33"/>
      <c r="H55" s="34">
        <f>+H54-H53</f>
        <v>1.58</v>
      </c>
      <c r="I55" s="34">
        <f>+I54-I53</f>
        <v>1.67</v>
      </c>
      <c r="J55" s="34">
        <f>+J54-J53</f>
        <v>1.6399999999999988</v>
      </c>
      <c r="K55" s="34">
        <f>+K54-K53</f>
        <v>1.83</v>
      </c>
      <c r="L55" s="35">
        <f>+L54-L53</f>
        <v>2.1900000000000004</v>
      </c>
    </row>
    <row r="56" spans="1:12" x14ac:dyDescent="0.25">
      <c r="A56" s="1779"/>
      <c r="B56" s="1862" t="s">
        <v>151</v>
      </c>
      <c r="C56" s="1863" t="s">
        <v>251</v>
      </c>
      <c r="D56" s="1863"/>
      <c r="E56" s="122"/>
      <c r="F56" s="122"/>
      <c r="G56" s="122"/>
      <c r="H56" s="220">
        <v>1340</v>
      </c>
      <c r="I56" s="220">
        <v>1568</v>
      </c>
      <c r="J56" s="220">
        <v>1782</v>
      </c>
      <c r="K56" s="220">
        <v>1685</v>
      </c>
      <c r="L56" s="122"/>
    </row>
    <row r="57" spans="1:12" x14ac:dyDescent="0.25">
      <c r="A57" s="1779"/>
      <c r="B57" s="1710"/>
      <c r="C57" s="1230" t="s">
        <v>257</v>
      </c>
      <c r="D57" s="1230"/>
      <c r="E57" s="28"/>
      <c r="F57" s="28"/>
      <c r="G57" s="28"/>
      <c r="H57" s="96">
        <v>483</v>
      </c>
      <c r="I57" s="96">
        <v>588</v>
      </c>
      <c r="J57" s="96">
        <v>630</v>
      </c>
      <c r="K57" s="96">
        <v>618</v>
      </c>
      <c r="L57" s="28"/>
    </row>
    <row r="58" spans="1:12" x14ac:dyDescent="0.25">
      <c r="A58" s="1779"/>
      <c r="B58" s="1710"/>
      <c r="C58" s="1124" t="s">
        <v>263</v>
      </c>
      <c r="D58" s="1124"/>
      <c r="E58" s="28"/>
      <c r="F58" s="28"/>
      <c r="G58" s="28"/>
      <c r="H58" s="96">
        <v>857</v>
      </c>
      <c r="I58" s="96">
        <v>980</v>
      </c>
      <c r="J58" s="96">
        <v>1152</v>
      </c>
      <c r="K58" s="96">
        <v>1067</v>
      </c>
      <c r="L58" s="28"/>
    </row>
    <row r="59" spans="1:12" x14ac:dyDescent="0.25">
      <c r="A59" s="1779"/>
      <c r="B59" s="1710"/>
      <c r="C59" s="1112" t="s">
        <v>353</v>
      </c>
      <c r="D59" s="1112"/>
      <c r="E59" s="28"/>
      <c r="F59" s="28"/>
      <c r="G59" s="28"/>
      <c r="H59" s="44">
        <f>+H58-H57</f>
        <v>374</v>
      </c>
      <c r="I59" s="44">
        <f>+I58-I57</f>
        <v>392</v>
      </c>
      <c r="J59" s="44">
        <f>+J58-J57</f>
        <v>522</v>
      </c>
      <c r="K59" s="44">
        <f>+K58-K57</f>
        <v>449</v>
      </c>
      <c r="L59" s="28"/>
    </row>
    <row r="60" spans="1:12" x14ac:dyDescent="0.25">
      <c r="A60" s="1779"/>
      <c r="B60" s="1710"/>
      <c r="C60" s="1128" t="s">
        <v>270</v>
      </c>
      <c r="D60" s="1128"/>
      <c r="E60" s="28"/>
      <c r="F60" s="28"/>
      <c r="G60" s="28"/>
      <c r="H60" s="158">
        <f>H58/H56*100</f>
        <v>63.955223880597011</v>
      </c>
      <c r="I60" s="158">
        <f>I58/I56*100</f>
        <v>62.5</v>
      </c>
      <c r="J60" s="158">
        <f>J58/J56*100</f>
        <v>64.646464646464651</v>
      </c>
      <c r="K60" s="158">
        <f>K58/K56*100</f>
        <v>63.323442136498521</v>
      </c>
      <c r="L60" s="28"/>
    </row>
    <row r="61" spans="1:12" x14ac:dyDescent="0.25">
      <c r="A61" s="1779"/>
      <c r="B61" s="735" t="s">
        <v>249</v>
      </c>
      <c r="C61" s="1642"/>
      <c r="D61" s="1642"/>
      <c r="E61" s="621"/>
      <c r="F61" s="621">
        <v>2011</v>
      </c>
      <c r="G61" s="621"/>
      <c r="H61" s="621"/>
      <c r="I61" s="621">
        <v>2021</v>
      </c>
      <c r="J61" s="621"/>
      <c r="K61" s="621"/>
      <c r="L61" s="616">
        <v>2024</v>
      </c>
    </row>
    <row r="62" spans="1:12" x14ac:dyDescent="0.25">
      <c r="A62" s="1779"/>
      <c r="B62" s="1710" t="s">
        <v>156</v>
      </c>
      <c r="C62" s="1676" t="s">
        <v>355</v>
      </c>
      <c r="D62" s="814" t="s">
        <v>251</v>
      </c>
      <c r="E62" s="92"/>
      <c r="F62" s="79">
        <v>91650</v>
      </c>
      <c r="G62" s="93"/>
      <c r="H62" s="93"/>
      <c r="I62" s="79">
        <v>94473</v>
      </c>
      <c r="J62" s="28"/>
      <c r="K62" s="28"/>
      <c r="L62" s="28"/>
    </row>
    <row r="63" spans="1:12" ht="15" customHeight="1" x14ac:dyDescent="0.25">
      <c r="A63" s="1779"/>
      <c r="B63" s="1710"/>
      <c r="C63" s="1676"/>
      <c r="D63" s="28" t="s">
        <v>257</v>
      </c>
      <c r="E63" s="94"/>
      <c r="F63" s="80">
        <v>46925</v>
      </c>
      <c r="G63" s="95"/>
      <c r="H63" s="95"/>
      <c r="I63" s="80">
        <v>47967</v>
      </c>
      <c r="J63" s="28"/>
      <c r="K63" s="28"/>
      <c r="L63" s="28"/>
    </row>
    <row r="64" spans="1:12" x14ac:dyDescent="0.25">
      <c r="A64" s="1779"/>
      <c r="B64" s="1710"/>
      <c r="C64" s="1676"/>
      <c r="D64" s="28" t="s">
        <v>263</v>
      </c>
      <c r="E64" s="94"/>
      <c r="F64" s="80">
        <v>44720</v>
      </c>
      <c r="G64" s="95"/>
      <c r="H64" s="95"/>
      <c r="I64" s="80">
        <v>46509</v>
      </c>
      <c r="J64" s="28"/>
      <c r="K64" s="28"/>
      <c r="L64" s="28"/>
    </row>
    <row r="65" spans="1:12" hidden="1" x14ac:dyDescent="0.25">
      <c r="A65" s="1779"/>
      <c r="B65" s="1710"/>
      <c r="C65" s="1403" t="s">
        <v>356</v>
      </c>
      <c r="D65" s="144" t="s">
        <v>251</v>
      </c>
      <c r="E65" s="94"/>
      <c r="F65" s="80">
        <v>405</v>
      </c>
      <c r="G65" s="95"/>
      <c r="H65" s="95"/>
      <c r="I65" s="96"/>
      <c r="J65" s="28"/>
      <c r="K65" s="28"/>
      <c r="L65" s="28"/>
    </row>
    <row r="66" spans="1:12" hidden="1" x14ac:dyDescent="0.25">
      <c r="A66" s="1779"/>
      <c r="B66" s="1710"/>
      <c r="C66" s="1403"/>
      <c r="D66" s="28" t="s">
        <v>257</v>
      </c>
      <c r="E66" s="94"/>
      <c r="F66" s="80">
        <v>380</v>
      </c>
      <c r="G66" s="95"/>
      <c r="H66" s="95"/>
      <c r="I66" s="96"/>
      <c r="J66" s="28"/>
      <c r="K66" s="28"/>
      <c r="L66" s="28"/>
    </row>
    <row r="67" spans="1:12" hidden="1" x14ac:dyDescent="0.25">
      <c r="A67" s="1779"/>
      <c r="B67" s="1710"/>
      <c r="C67" s="1403"/>
      <c r="D67" s="28" t="s">
        <v>263</v>
      </c>
      <c r="E67" s="94"/>
      <c r="F67" s="80">
        <v>25</v>
      </c>
      <c r="G67" s="95"/>
      <c r="H67" s="95"/>
      <c r="I67" s="96"/>
      <c r="J67" s="28"/>
      <c r="K67" s="28"/>
      <c r="L67" s="28"/>
    </row>
    <row r="68" spans="1:12" hidden="1" x14ac:dyDescent="0.25">
      <c r="A68" s="1779"/>
      <c r="B68" s="1710"/>
      <c r="C68" s="1403"/>
      <c r="D68" s="28" t="s">
        <v>357</v>
      </c>
      <c r="E68" s="94"/>
      <c r="F68" s="97">
        <f>F67/F65*100</f>
        <v>6.1728395061728394</v>
      </c>
      <c r="G68" s="94"/>
      <c r="H68" s="94"/>
      <c r="I68" s="28"/>
      <c r="J68" s="28"/>
      <c r="K68" s="28"/>
      <c r="L68" s="28"/>
    </row>
    <row r="69" spans="1:12" ht="14.85" hidden="1" customHeight="1" x14ac:dyDescent="0.25">
      <c r="A69" s="1779"/>
      <c r="B69" s="1710"/>
      <c r="C69" s="1403" t="s">
        <v>358</v>
      </c>
      <c r="D69" s="144" t="s">
        <v>251</v>
      </c>
      <c r="E69" s="94"/>
      <c r="F69" s="80">
        <v>240</v>
      </c>
      <c r="G69" s="80"/>
      <c r="H69" s="80"/>
      <c r="I69" s="80">
        <v>84</v>
      </c>
      <c r="J69" s="28"/>
      <c r="K69" s="28"/>
      <c r="L69" s="28"/>
    </row>
    <row r="70" spans="1:12" hidden="1" x14ac:dyDescent="0.25">
      <c r="A70" s="1779"/>
      <c r="B70" s="1710"/>
      <c r="C70" s="1403"/>
      <c r="D70" s="28" t="s">
        <v>257</v>
      </c>
      <c r="E70" s="94"/>
      <c r="F70" s="80">
        <v>180</v>
      </c>
      <c r="G70" s="80"/>
      <c r="H70" s="80"/>
      <c r="I70" s="80">
        <v>57</v>
      </c>
      <c r="J70" s="28"/>
      <c r="K70" s="28"/>
      <c r="L70" s="28"/>
    </row>
    <row r="71" spans="1:12" hidden="1" x14ac:dyDescent="0.25">
      <c r="A71" s="1779"/>
      <c r="B71" s="1710"/>
      <c r="C71" s="1403"/>
      <c r="D71" s="28" t="s">
        <v>263</v>
      </c>
      <c r="E71" s="94"/>
      <c r="F71" s="80">
        <v>60</v>
      </c>
      <c r="G71" s="80"/>
      <c r="H71" s="80"/>
      <c r="I71" s="80">
        <v>27</v>
      </c>
      <c r="J71" s="28"/>
      <c r="K71" s="28"/>
      <c r="L71" s="28"/>
    </row>
    <row r="72" spans="1:12" hidden="1" x14ac:dyDescent="0.25">
      <c r="A72" s="1779"/>
      <c r="B72" s="1710"/>
      <c r="C72" s="1403"/>
      <c r="D72" s="28" t="s">
        <v>357</v>
      </c>
      <c r="E72" s="94"/>
      <c r="F72" s="97">
        <f>F71/F69*100</f>
        <v>25</v>
      </c>
      <c r="G72" s="94"/>
      <c r="H72" s="94"/>
      <c r="I72" s="97">
        <f>I71/I69*100</f>
        <v>32.142857142857146</v>
      </c>
      <c r="J72" s="28"/>
      <c r="K72" s="28"/>
      <c r="L72" s="28"/>
    </row>
    <row r="73" spans="1:12" hidden="1" x14ac:dyDescent="0.25">
      <c r="A73" s="1779"/>
      <c r="B73" s="1710"/>
      <c r="C73" s="1403" t="s">
        <v>359</v>
      </c>
      <c r="D73" s="144" t="s">
        <v>251</v>
      </c>
      <c r="E73" s="94"/>
      <c r="F73" s="80">
        <v>630</v>
      </c>
      <c r="G73" s="80"/>
      <c r="H73" s="80"/>
      <c r="I73" s="80">
        <v>567</v>
      </c>
      <c r="J73" s="28"/>
      <c r="K73" s="28"/>
      <c r="L73" s="28"/>
    </row>
    <row r="74" spans="1:12" hidden="1" x14ac:dyDescent="0.25">
      <c r="A74" s="1779"/>
      <c r="B74" s="1710"/>
      <c r="C74" s="1403"/>
      <c r="D74" s="28" t="s">
        <v>257</v>
      </c>
      <c r="E74" s="94"/>
      <c r="F74" s="80">
        <v>390</v>
      </c>
      <c r="G74" s="80"/>
      <c r="H74" s="80"/>
      <c r="I74" s="80">
        <v>339</v>
      </c>
      <c r="J74" s="28"/>
      <c r="K74" s="28"/>
      <c r="L74" s="28"/>
    </row>
    <row r="75" spans="1:12" hidden="1" x14ac:dyDescent="0.25">
      <c r="A75" s="1779"/>
      <c r="B75" s="1710"/>
      <c r="C75" s="1403"/>
      <c r="D75" s="28" t="s">
        <v>263</v>
      </c>
      <c r="E75" s="94"/>
      <c r="F75" s="80">
        <v>240</v>
      </c>
      <c r="G75" s="80"/>
      <c r="H75" s="80"/>
      <c r="I75" s="80">
        <v>228</v>
      </c>
      <c r="J75" s="28"/>
      <c r="K75" s="28"/>
      <c r="L75" s="28"/>
    </row>
    <row r="76" spans="1:12" hidden="1" x14ac:dyDescent="0.25">
      <c r="A76" s="1779"/>
      <c r="B76" s="1710"/>
      <c r="C76" s="1403"/>
      <c r="D76" s="28" t="s">
        <v>357</v>
      </c>
      <c r="E76" s="94"/>
      <c r="F76" s="97">
        <f>F75/F73*100</f>
        <v>38.095238095238095</v>
      </c>
      <c r="G76" s="94"/>
      <c r="H76" s="94"/>
      <c r="I76" s="98">
        <f>I75/I73*100</f>
        <v>40.211640211640209</v>
      </c>
      <c r="J76" s="28"/>
      <c r="K76" s="28"/>
      <c r="L76" s="28"/>
    </row>
    <row r="77" spans="1:12" hidden="1" x14ac:dyDescent="0.25">
      <c r="A77" s="1779"/>
      <c r="B77" s="1710"/>
      <c r="C77" s="1403" t="s">
        <v>360</v>
      </c>
      <c r="D77" s="144" t="s">
        <v>251</v>
      </c>
      <c r="E77" s="94"/>
      <c r="F77" s="80">
        <v>950</v>
      </c>
      <c r="G77" s="80"/>
      <c r="H77" s="80"/>
      <c r="I77" s="80">
        <v>342</v>
      </c>
      <c r="J77" s="28"/>
      <c r="K77" s="28"/>
      <c r="L77" s="28"/>
    </row>
    <row r="78" spans="1:12" hidden="1" x14ac:dyDescent="0.25">
      <c r="A78" s="1779"/>
      <c r="B78" s="1710"/>
      <c r="C78" s="1403"/>
      <c r="D78" s="28" t="s">
        <v>257</v>
      </c>
      <c r="E78" s="94"/>
      <c r="F78" s="80">
        <v>660</v>
      </c>
      <c r="G78" s="80"/>
      <c r="H78" s="80"/>
      <c r="I78" s="80">
        <v>258</v>
      </c>
      <c r="J78" s="28"/>
      <c r="K78" s="28"/>
      <c r="L78" s="28"/>
    </row>
    <row r="79" spans="1:12" hidden="1" x14ac:dyDescent="0.25">
      <c r="A79" s="1779"/>
      <c r="B79" s="1710"/>
      <c r="C79" s="1403"/>
      <c r="D79" s="28" t="s">
        <v>263</v>
      </c>
      <c r="E79" s="94"/>
      <c r="F79" s="80">
        <v>290</v>
      </c>
      <c r="G79" s="80"/>
      <c r="H79" s="80"/>
      <c r="I79" s="80">
        <v>87</v>
      </c>
      <c r="J79" s="28"/>
      <c r="K79" s="28"/>
      <c r="L79" s="28"/>
    </row>
    <row r="80" spans="1:12" hidden="1" x14ac:dyDescent="0.25">
      <c r="A80" s="1779"/>
      <c r="B80" s="1710"/>
      <c r="C80" s="1403"/>
      <c r="D80" s="28" t="s">
        <v>357</v>
      </c>
      <c r="E80" s="94"/>
      <c r="F80" s="97">
        <f>F79/F77*100</f>
        <v>30.526315789473685</v>
      </c>
      <c r="G80" s="94"/>
      <c r="H80" s="94"/>
      <c r="I80" s="97">
        <f>I79/I77*100</f>
        <v>25.438596491228072</v>
      </c>
      <c r="J80" s="28"/>
      <c r="K80" s="28"/>
      <c r="L80" s="28"/>
    </row>
    <row r="81" spans="1:12" hidden="1" x14ac:dyDescent="0.25">
      <c r="A81" s="1779"/>
      <c r="B81" s="1710"/>
      <c r="C81" s="1403" t="s">
        <v>361</v>
      </c>
      <c r="D81" s="144" t="s">
        <v>251</v>
      </c>
      <c r="E81" s="94"/>
      <c r="F81" s="80">
        <v>160</v>
      </c>
      <c r="G81" s="80"/>
      <c r="H81" s="80"/>
      <c r="I81" s="80">
        <v>285</v>
      </c>
      <c r="J81" s="28"/>
      <c r="K81" s="28"/>
      <c r="L81" s="28"/>
    </row>
    <row r="82" spans="1:12" hidden="1" x14ac:dyDescent="0.25">
      <c r="A82" s="1779"/>
      <c r="B82" s="1710"/>
      <c r="C82" s="1403"/>
      <c r="D82" s="28" t="s">
        <v>257</v>
      </c>
      <c r="E82" s="94"/>
      <c r="F82" s="80">
        <v>85</v>
      </c>
      <c r="G82" s="80"/>
      <c r="H82" s="80"/>
      <c r="I82" s="80">
        <v>189</v>
      </c>
      <c r="J82" s="28"/>
      <c r="K82" s="28"/>
      <c r="L82" s="28"/>
    </row>
    <row r="83" spans="1:12" hidden="1" x14ac:dyDescent="0.25">
      <c r="A83" s="1779"/>
      <c r="B83" s="1710"/>
      <c r="C83" s="1403"/>
      <c r="D83" s="28" t="s">
        <v>263</v>
      </c>
      <c r="E83" s="94"/>
      <c r="F83" s="80">
        <v>75</v>
      </c>
      <c r="G83" s="80"/>
      <c r="H83" s="80"/>
      <c r="I83" s="80">
        <v>96</v>
      </c>
      <c r="J83" s="28"/>
      <c r="K83" s="28"/>
      <c r="L83" s="28"/>
    </row>
    <row r="84" spans="1:12" hidden="1" x14ac:dyDescent="0.25">
      <c r="A84" s="1779"/>
      <c r="B84" s="1710"/>
      <c r="C84" s="1403"/>
      <c r="D84" s="28" t="s">
        <v>357</v>
      </c>
      <c r="E84" s="94"/>
      <c r="F84" s="98">
        <f>(F83/F81)*100</f>
        <v>46.875</v>
      </c>
      <c r="G84" s="94"/>
      <c r="H84" s="94"/>
      <c r="I84" s="97">
        <f>I83/I81*100</f>
        <v>33.684210526315788</v>
      </c>
      <c r="J84" s="28"/>
      <c r="K84" s="28"/>
      <c r="L84" s="28"/>
    </row>
    <row r="85" spans="1:12" hidden="1" x14ac:dyDescent="0.25">
      <c r="A85" s="1779"/>
      <c r="B85" s="1710"/>
      <c r="C85" s="1403" t="s">
        <v>362</v>
      </c>
      <c r="D85" s="144" t="s">
        <v>251</v>
      </c>
      <c r="E85" s="94"/>
      <c r="F85" s="80">
        <v>145</v>
      </c>
      <c r="G85" s="80"/>
      <c r="H85" s="80"/>
      <c r="I85" s="80">
        <v>282</v>
      </c>
      <c r="J85" s="28"/>
      <c r="K85" s="28"/>
      <c r="L85" s="28"/>
    </row>
    <row r="86" spans="1:12" ht="15" hidden="1" customHeight="1" x14ac:dyDescent="0.25">
      <c r="A86" s="1779"/>
      <c r="B86" s="1710"/>
      <c r="C86" s="1403"/>
      <c r="D86" s="28" t="s">
        <v>257</v>
      </c>
      <c r="E86" s="94"/>
      <c r="F86" s="80">
        <v>135</v>
      </c>
      <c r="G86" s="80"/>
      <c r="H86" s="80"/>
      <c r="I86" s="80">
        <v>180</v>
      </c>
      <c r="J86" s="28"/>
      <c r="K86" s="28"/>
      <c r="L86" s="28"/>
    </row>
    <row r="87" spans="1:12" hidden="1" x14ac:dyDescent="0.25">
      <c r="A87" s="1779"/>
      <c r="B87" s="1710"/>
      <c r="C87" s="1403"/>
      <c r="D87" s="28" t="s">
        <v>263</v>
      </c>
      <c r="E87" s="94"/>
      <c r="F87" s="80">
        <v>15</v>
      </c>
      <c r="G87" s="80"/>
      <c r="H87" s="80"/>
      <c r="I87" s="80">
        <v>99</v>
      </c>
      <c r="J87" s="28"/>
      <c r="K87" s="28"/>
      <c r="L87" s="28"/>
    </row>
    <row r="88" spans="1:12" hidden="1" x14ac:dyDescent="0.25">
      <c r="A88" s="1779"/>
      <c r="B88" s="1710"/>
      <c r="C88" s="1403"/>
      <c r="D88" s="28" t="s">
        <v>357</v>
      </c>
      <c r="E88" s="94"/>
      <c r="F88" s="97">
        <f>(F87/F85)*100</f>
        <v>10.344827586206897</v>
      </c>
      <c r="G88" s="94"/>
      <c r="H88" s="94"/>
      <c r="I88" s="97">
        <f>I87/I85*100</f>
        <v>35.106382978723403</v>
      </c>
      <c r="J88" s="28"/>
      <c r="K88" s="28"/>
      <c r="L88" s="28"/>
    </row>
    <row r="89" spans="1:12" hidden="1" x14ac:dyDescent="0.25">
      <c r="A89" s="1779"/>
      <c r="B89" s="1710"/>
      <c r="C89" s="1403" t="s">
        <v>363</v>
      </c>
      <c r="D89" s="144" t="s">
        <v>251</v>
      </c>
      <c r="E89" s="94"/>
      <c r="F89" s="80">
        <v>1335</v>
      </c>
      <c r="G89" s="80"/>
      <c r="H89" s="80"/>
      <c r="I89" s="80">
        <v>1899</v>
      </c>
      <c r="J89" s="28"/>
      <c r="K89" s="28"/>
      <c r="L89" s="28"/>
    </row>
    <row r="90" spans="1:12" hidden="1" x14ac:dyDescent="0.25">
      <c r="A90" s="1779"/>
      <c r="B90" s="1710"/>
      <c r="C90" s="1403"/>
      <c r="D90" s="28" t="s">
        <v>257</v>
      </c>
      <c r="E90" s="94"/>
      <c r="F90" s="80">
        <v>240</v>
      </c>
      <c r="G90" s="80"/>
      <c r="H90" s="80"/>
      <c r="I90" s="80">
        <v>423</v>
      </c>
      <c r="J90" s="28"/>
      <c r="K90" s="28"/>
      <c r="L90" s="28"/>
    </row>
    <row r="91" spans="1:12" hidden="1" x14ac:dyDescent="0.25">
      <c r="A91" s="1779"/>
      <c r="B91" s="1710"/>
      <c r="C91" s="1403"/>
      <c r="D91" s="28" t="s">
        <v>263</v>
      </c>
      <c r="E91" s="94"/>
      <c r="F91" s="80">
        <v>1095</v>
      </c>
      <c r="G91" s="80"/>
      <c r="H91" s="80"/>
      <c r="I91" s="80">
        <v>1473</v>
      </c>
      <c r="J91" s="28"/>
      <c r="K91" s="28"/>
      <c r="L91" s="28"/>
    </row>
    <row r="92" spans="1:12" hidden="1" x14ac:dyDescent="0.25">
      <c r="A92" s="1779"/>
      <c r="B92" s="1710"/>
      <c r="C92" s="1403"/>
      <c r="D92" s="28" t="s">
        <v>357</v>
      </c>
      <c r="E92" s="94"/>
      <c r="F92" s="99">
        <f>(F91/F89)*100</f>
        <v>82.022471910112358</v>
      </c>
      <c r="G92" s="94"/>
      <c r="H92" s="94"/>
      <c r="I92" s="99">
        <f>I91/I89*100</f>
        <v>77.567140600315952</v>
      </c>
      <c r="J92" s="28"/>
      <c r="K92" s="28"/>
      <c r="L92" s="28"/>
    </row>
    <row r="93" spans="1:12" hidden="1" x14ac:dyDescent="0.25">
      <c r="A93" s="1779"/>
      <c r="B93" s="1710"/>
      <c r="C93" s="1403" t="s">
        <v>364</v>
      </c>
      <c r="D93" s="144" t="s">
        <v>251</v>
      </c>
      <c r="E93" s="94"/>
      <c r="F93" s="80">
        <v>2590</v>
      </c>
      <c r="G93" s="80"/>
      <c r="H93" s="80"/>
      <c r="I93" s="80">
        <v>2610</v>
      </c>
      <c r="J93" s="28"/>
      <c r="K93" s="28"/>
      <c r="L93" s="28"/>
    </row>
    <row r="94" spans="1:12" ht="14.85" hidden="1" customHeight="1" x14ac:dyDescent="0.25">
      <c r="A94" s="1779"/>
      <c r="B94" s="1710"/>
      <c r="C94" s="1403"/>
      <c r="D94" s="28" t="s">
        <v>257</v>
      </c>
      <c r="E94" s="94"/>
      <c r="F94" s="80">
        <v>660</v>
      </c>
      <c r="G94" s="80"/>
      <c r="H94" s="80"/>
      <c r="I94" s="80">
        <v>744</v>
      </c>
      <c r="J94" s="28"/>
      <c r="K94" s="28"/>
      <c r="L94" s="28"/>
    </row>
    <row r="95" spans="1:12" hidden="1" x14ac:dyDescent="0.25">
      <c r="A95" s="1779"/>
      <c r="B95" s="1710"/>
      <c r="C95" s="1403"/>
      <c r="D95" s="28" t="s">
        <v>263</v>
      </c>
      <c r="E95" s="94"/>
      <c r="F95" s="80">
        <v>1930</v>
      </c>
      <c r="G95" s="80"/>
      <c r="H95" s="80"/>
      <c r="I95" s="80">
        <v>1866</v>
      </c>
      <c r="J95" s="28"/>
      <c r="K95" s="28"/>
      <c r="L95" s="28"/>
    </row>
    <row r="96" spans="1:12" hidden="1" x14ac:dyDescent="0.25">
      <c r="A96" s="1779"/>
      <c r="B96" s="1710"/>
      <c r="C96" s="1403"/>
      <c r="D96" s="28" t="s">
        <v>357</v>
      </c>
      <c r="E96" s="94"/>
      <c r="F96" s="99">
        <f>(F95/F93)*100</f>
        <v>74.517374517374506</v>
      </c>
      <c r="G96" s="94"/>
      <c r="H96" s="94"/>
      <c r="I96" s="99">
        <f>I95/I93*100</f>
        <v>71.494252873563212</v>
      </c>
      <c r="J96" s="28"/>
      <c r="K96" s="28"/>
      <c r="L96" s="28"/>
    </row>
    <row r="97" spans="1:12" hidden="1" x14ac:dyDescent="0.25">
      <c r="A97" s="1779"/>
      <c r="B97" s="1710"/>
      <c r="C97" s="1403" t="s">
        <v>365</v>
      </c>
      <c r="D97" s="144" t="s">
        <v>251</v>
      </c>
      <c r="E97" s="94"/>
      <c r="F97" s="80">
        <v>355</v>
      </c>
      <c r="G97" s="80"/>
      <c r="H97" s="80"/>
      <c r="I97" s="80">
        <v>816</v>
      </c>
      <c r="J97" s="28"/>
      <c r="K97" s="28"/>
      <c r="L97" s="28"/>
    </row>
    <row r="98" spans="1:12" hidden="1" x14ac:dyDescent="0.25">
      <c r="A98" s="1779"/>
      <c r="B98" s="1710"/>
      <c r="C98" s="1403"/>
      <c r="D98" s="28" t="s">
        <v>257</v>
      </c>
      <c r="E98" s="94"/>
      <c r="F98" s="80">
        <v>125</v>
      </c>
      <c r="G98" s="80"/>
      <c r="H98" s="80"/>
      <c r="I98" s="80">
        <v>282</v>
      </c>
      <c r="J98" s="28"/>
      <c r="K98" s="28"/>
      <c r="L98" s="28"/>
    </row>
    <row r="99" spans="1:12" hidden="1" x14ac:dyDescent="0.25">
      <c r="A99" s="1779"/>
      <c r="B99" s="1710"/>
      <c r="C99" s="1403"/>
      <c r="D99" s="28" t="s">
        <v>263</v>
      </c>
      <c r="E99" s="94"/>
      <c r="F99" s="80">
        <v>225</v>
      </c>
      <c r="G99" s="80"/>
      <c r="H99" s="80"/>
      <c r="I99" s="80">
        <v>534</v>
      </c>
      <c r="J99" s="28"/>
      <c r="K99" s="28"/>
      <c r="L99" s="28"/>
    </row>
    <row r="100" spans="1:12" hidden="1" x14ac:dyDescent="0.25">
      <c r="A100" s="1779"/>
      <c r="B100" s="1710"/>
      <c r="C100" s="1403"/>
      <c r="D100" s="28" t="s">
        <v>357</v>
      </c>
      <c r="E100" s="94"/>
      <c r="F100" s="99">
        <f>F99/F97*100</f>
        <v>63.380281690140848</v>
      </c>
      <c r="G100" s="94"/>
      <c r="H100" s="94"/>
      <c r="I100" s="99">
        <f>I99/I97*100</f>
        <v>65.441176470588232</v>
      </c>
      <c r="J100" s="28"/>
      <c r="K100" s="28"/>
      <c r="L100" s="28"/>
    </row>
    <row r="101" spans="1:12" hidden="1" x14ac:dyDescent="0.25">
      <c r="A101" s="1779"/>
      <c r="B101" s="1710"/>
      <c r="C101" s="1403" t="s">
        <v>366</v>
      </c>
      <c r="D101" s="144" t="s">
        <v>251</v>
      </c>
      <c r="E101" s="94"/>
      <c r="F101" s="80">
        <v>2085</v>
      </c>
      <c r="G101" s="80"/>
      <c r="H101" s="80"/>
      <c r="I101" s="80">
        <v>1344</v>
      </c>
      <c r="J101" s="28"/>
      <c r="K101" s="28"/>
      <c r="L101" s="28"/>
    </row>
    <row r="102" spans="1:12" hidden="1" x14ac:dyDescent="0.25">
      <c r="A102" s="1779"/>
      <c r="B102" s="1710"/>
      <c r="C102" s="1403"/>
      <c r="D102" s="28" t="s">
        <v>257</v>
      </c>
      <c r="E102" s="94"/>
      <c r="F102" s="80">
        <v>1395</v>
      </c>
      <c r="G102" s="80"/>
      <c r="H102" s="80"/>
      <c r="I102" s="80">
        <v>915</v>
      </c>
      <c r="J102" s="28"/>
      <c r="K102" s="28"/>
      <c r="L102" s="28"/>
    </row>
    <row r="103" spans="1:12" hidden="1" x14ac:dyDescent="0.25">
      <c r="A103" s="1779"/>
      <c r="B103" s="1710"/>
      <c r="C103" s="1403"/>
      <c r="D103" s="28" t="s">
        <v>263</v>
      </c>
      <c r="E103" s="94"/>
      <c r="F103" s="80">
        <v>690</v>
      </c>
      <c r="G103" s="80"/>
      <c r="H103" s="80"/>
      <c r="I103" s="80">
        <v>426</v>
      </c>
      <c r="J103" s="28"/>
      <c r="K103" s="28"/>
      <c r="L103" s="28"/>
    </row>
    <row r="104" spans="1:12" hidden="1" x14ac:dyDescent="0.25">
      <c r="A104" s="1779"/>
      <c r="B104" s="1710"/>
      <c r="C104" s="1403"/>
      <c r="D104" s="28" t="s">
        <v>357</v>
      </c>
      <c r="E104" s="94"/>
      <c r="F104" s="97">
        <f>(F103/F101)*100</f>
        <v>33.093525179856115</v>
      </c>
      <c r="G104" s="94"/>
      <c r="H104" s="94"/>
      <c r="I104" s="97">
        <f>I103/I101*100</f>
        <v>31.696428571428569</v>
      </c>
      <c r="J104" s="28"/>
      <c r="K104" s="28"/>
      <c r="L104" s="28"/>
    </row>
    <row r="105" spans="1:12" hidden="1" x14ac:dyDescent="0.25">
      <c r="A105" s="1779"/>
      <c r="B105" s="1710"/>
      <c r="C105" s="1403" t="s">
        <v>367</v>
      </c>
      <c r="D105" s="144" t="s">
        <v>251</v>
      </c>
      <c r="E105" s="94"/>
      <c r="F105" s="80">
        <v>305</v>
      </c>
      <c r="G105" s="80"/>
      <c r="H105" s="80"/>
      <c r="I105" s="80">
        <v>375</v>
      </c>
      <c r="J105" s="96"/>
      <c r="K105" s="28"/>
      <c r="L105" s="28"/>
    </row>
    <row r="106" spans="1:12" hidden="1" x14ac:dyDescent="0.25">
      <c r="A106" s="1779"/>
      <c r="B106" s="1710"/>
      <c r="C106" s="1403"/>
      <c r="D106" s="28" t="s">
        <v>257</v>
      </c>
      <c r="E106" s="94"/>
      <c r="F106" s="80">
        <v>125</v>
      </c>
      <c r="G106" s="80"/>
      <c r="H106" s="80"/>
      <c r="I106" s="80">
        <v>156</v>
      </c>
      <c r="J106" s="96"/>
      <c r="K106" s="28"/>
      <c r="L106" s="28"/>
    </row>
    <row r="107" spans="1:12" hidden="1" x14ac:dyDescent="0.25">
      <c r="A107" s="1779"/>
      <c r="B107" s="1710"/>
      <c r="C107" s="1403"/>
      <c r="D107" s="28" t="s">
        <v>263</v>
      </c>
      <c r="E107" s="94"/>
      <c r="F107" s="80">
        <v>180</v>
      </c>
      <c r="G107" s="80"/>
      <c r="H107" s="80"/>
      <c r="I107" s="80">
        <v>216</v>
      </c>
      <c r="J107" s="96"/>
      <c r="K107" s="28"/>
      <c r="L107" s="28"/>
    </row>
    <row r="108" spans="1:12" hidden="1" x14ac:dyDescent="0.25">
      <c r="A108" s="1779"/>
      <c r="B108" s="1710"/>
      <c r="C108" s="1403"/>
      <c r="D108" s="28" t="s">
        <v>357</v>
      </c>
      <c r="E108" s="94"/>
      <c r="F108" s="98">
        <f>(F107/F105)*100</f>
        <v>59.016393442622949</v>
      </c>
      <c r="G108" s="94"/>
      <c r="H108" s="94"/>
      <c r="I108" s="98">
        <f>I107/I105*100</f>
        <v>57.599999999999994</v>
      </c>
      <c r="J108" s="96"/>
      <c r="K108" s="28"/>
      <c r="L108" s="28"/>
    </row>
    <row r="109" spans="1:12" hidden="1" x14ac:dyDescent="0.25">
      <c r="A109" s="1779"/>
      <c r="B109" s="1710"/>
      <c r="C109" s="1403" t="s">
        <v>368</v>
      </c>
      <c r="D109" s="144" t="s">
        <v>251</v>
      </c>
      <c r="E109" s="94"/>
      <c r="F109" s="80">
        <v>900</v>
      </c>
      <c r="G109" s="80"/>
      <c r="H109" s="80"/>
      <c r="I109" s="80">
        <v>1722</v>
      </c>
      <c r="J109" s="96"/>
      <c r="K109" s="28"/>
      <c r="L109" s="28"/>
    </row>
    <row r="110" spans="1:12" hidden="1" x14ac:dyDescent="0.25">
      <c r="A110" s="1779"/>
      <c r="B110" s="1710"/>
      <c r="C110" s="1403"/>
      <c r="D110" s="28" t="s">
        <v>257</v>
      </c>
      <c r="E110" s="94"/>
      <c r="F110" s="80">
        <v>435</v>
      </c>
      <c r="G110" s="80"/>
      <c r="H110" s="80"/>
      <c r="I110" s="80">
        <v>750</v>
      </c>
      <c r="J110" s="96"/>
      <c r="K110" s="28"/>
      <c r="L110" s="28"/>
    </row>
    <row r="111" spans="1:12" hidden="1" x14ac:dyDescent="0.25">
      <c r="A111" s="1779"/>
      <c r="B111" s="1710"/>
      <c r="C111" s="1403"/>
      <c r="D111" s="28" t="s">
        <v>263</v>
      </c>
      <c r="E111" s="94"/>
      <c r="F111" s="80">
        <v>465</v>
      </c>
      <c r="G111" s="80"/>
      <c r="H111" s="80"/>
      <c r="I111" s="80">
        <v>972</v>
      </c>
      <c r="J111" s="96"/>
      <c r="K111" s="28"/>
      <c r="L111" s="28"/>
    </row>
    <row r="112" spans="1:12" hidden="1" x14ac:dyDescent="0.25">
      <c r="A112" s="1779"/>
      <c r="B112" s="1710"/>
      <c r="C112" s="1403"/>
      <c r="D112" s="28" t="s">
        <v>357</v>
      </c>
      <c r="E112" s="94"/>
      <c r="F112" s="98">
        <f>F111/F109*100</f>
        <v>51.666666666666671</v>
      </c>
      <c r="G112" s="94"/>
      <c r="H112" s="94"/>
      <c r="I112" s="98">
        <f>I111/I109*100</f>
        <v>56.445993031358888</v>
      </c>
      <c r="J112" s="96"/>
      <c r="K112" s="28"/>
      <c r="L112" s="28"/>
    </row>
    <row r="113" spans="1:12" hidden="1" x14ac:dyDescent="0.25">
      <c r="A113" s="1779"/>
      <c r="B113" s="1710"/>
      <c r="C113" s="1403" t="s">
        <v>369</v>
      </c>
      <c r="D113" s="144" t="s">
        <v>251</v>
      </c>
      <c r="E113" s="94"/>
      <c r="F113" s="80">
        <v>710</v>
      </c>
      <c r="G113" s="80"/>
      <c r="H113" s="80"/>
      <c r="I113" s="80">
        <v>1380</v>
      </c>
      <c r="J113" s="96"/>
      <c r="K113" s="28"/>
      <c r="L113" s="28"/>
    </row>
    <row r="114" spans="1:12" hidden="1" x14ac:dyDescent="0.25">
      <c r="A114" s="1779"/>
      <c r="B114" s="1710"/>
      <c r="C114" s="1403"/>
      <c r="D114" s="28" t="s">
        <v>257</v>
      </c>
      <c r="E114" s="94"/>
      <c r="F114" s="80">
        <v>500</v>
      </c>
      <c r="G114" s="80"/>
      <c r="H114" s="80"/>
      <c r="I114" s="80">
        <v>1038</v>
      </c>
      <c r="J114" s="96"/>
      <c r="K114" s="28"/>
      <c r="L114" s="28"/>
    </row>
    <row r="115" spans="1:12" hidden="1" x14ac:dyDescent="0.25">
      <c r="A115" s="1779"/>
      <c r="B115" s="1710"/>
      <c r="C115" s="1403"/>
      <c r="D115" s="28" t="s">
        <v>263</v>
      </c>
      <c r="E115" s="94"/>
      <c r="F115" s="80">
        <v>210</v>
      </c>
      <c r="G115" s="80"/>
      <c r="H115" s="80"/>
      <c r="I115" s="80">
        <v>342</v>
      </c>
      <c r="J115" s="96"/>
      <c r="K115" s="28"/>
      <c r="L115" s="28"/>
    </row>
    <row r="116" spans="1:12" hidden="1" x14ac:dyDescent="0.25">
      <c r="A116" s="1779"/>
      <c r="B116" s="1710"/>
      <c r="C116" s="1403"/>
      <c r="D116" s="28" t="s">
        <v>357</v>
      </c>
      <c r="E116" s="94"/>
      <c r="F116" s="97">
        <f>(F115/F113)*100</f>
        <v>29.577464788732392</v>
      </c>
      <c r="G116" s="94"/>
      <c r="H116" s="94"/>
      <c r="I116" s="97">
        <f>I115/I113*100</f>
        <v>24.782608695652176</v>
      </c>
      <c r="J116" s="96"/>
      <c r="K116" s="28"/>
      <c r="L116" s="28"/>
    </row>
    <row r="117" spans="1:12" hidden="1" x14ac:dyDescent="0.25">
      <c r="A117" s="1779"/>
      <c r="B117" s="1710"/>
      <c r="C117" s="1403" t="s">
        <v>370</v>
      </c>
      <c r="D117" s="144" t="s">
        <v>251</v>
      </c>
      <c r="E117" s="94"/>
      <c r="F117" s="80">
        <v>1050</v>
      </c>
      <c r="G117" s="80"/>
      <c r="H117" s="80"/>
      <c r="I117" s="80">
        <v>834</v>
      </c>
      <c r="J117" s="96"/>
      <c r="K117" s="28"/>
      <c r="L117" s="28"/>
    </row>
    <row r="118" spans="1:12" hidden="1" x14ac:dyDescent="0.25">
      <c r="A118" s="1779"/>
      <c r="B118" s="1710"/>
      <c r="C118" s="1403"/>
      <c r="D118" s="28" t="s">
        <v>257</v>
      </c>
      <c r="E118" s="94"/>
      <c r="F118" s="80">
        <v>340</v>
      </c>
      <c r="G118" s="80"/>
      <c r="H118" s="80"/>
      <c r="I118" s="80">
        <v>219</v>
      </c>
      <c r="J118" s="96"/>
      <c r="K118" s="28"/>
      <c r="L118" s="28"/>
    </row>
    <row r="119" spans="1:12" hidden="1" x14ac:dyDescent="0.25">
      <c r="A119" s="1779"/>
      <c r="B119" s="1710"/>
      <c r="C119" s="1403"/>
      <c r="D119" s="28" t="s">
        <v>263</v>
      </c>
      <c r="E119" s="94"/>
      <c r="F119" s="80">
        <v>710</v>
      </c>
      <c r="G119" s="80"/>
      <c r="H119" s="80"/>
      <c r="I119" s="80">
        <v>618</v>
      </c>
      <c r="J119" s="96"/>
      <c r="K119" s="28"/>
      <c r="L119" s="28"/>
    </row>
    <row r="120" spans="1:12" hidden="1" x14ac:dyDescent="0.25">
      <c r="A120" s="1779"/>
      <c r="B120" s="1710"/>
      <c r="C120" s="1403"/>
      <c r="D120" s="28" t="s">
        <v>357</v>
      </c>
      <c r="E120" s="94"/>
      <c r="F120" s="99">
        <f>(F119/F117)*100</f>
        <v>67.61904761904762</v>
      </c>
      <c r="G120" s="94"/>
      <c r="H120" s="94"/>
      <c r="I120" s="99">
        <f>I119/I117*100</f>
        <v>74.100719424460422</v>
      </c>
      <c r="J120" s="96"/>
      <c r="K120" s="28"/>
      <c r="L120" s="28"/>
    </row>
    <row r="121" spans="1:12" hidden="1" x14ac:dyDescent="0.25">
      <c r="A121" s="1779"/>
      <c r="B121" s="1710"/>
      <c r="C121" s="1403" t="s">
        <v>371</v>
      </c>
      <c r="D121" s="144" t="s">
        <v>251</v>
      </c>
      <c r="E121" s="94"/>
      <c r="F121" s="80">
        <v>40</v>
      </c>
      <c r="G121" s="80"/>
      <c r="H121" s="80"/>
      <c r="I121" s="80">
        <v>858</v>
      </c>
      <c r="J121" s="96"/>
      <c r="K121" s="28"/>
      <c r="L121" s="28"/>
    </row>
    <row r="122" spans="1:12" hidden="1" x14ac:dyDescent="0.25">
      <c r="A122" s="1779"/>
      <c r="B122" s="1710"/>
      <c r="C122" s="1403"/>
      <c r="D122" s="28" t="s">
        <v>257</v>
      </c>
      <c r="E122" s="94"/>
      <c r="F122" s="80">
        <v>25</v>
      </c>
      <c r="G122" s="80"/>
      <c r="H122" s="80"/>
      <c r="I122" s="80">
        <v>459</v>
      </c>
      <c r="J122" s="96"/>
      <c r="K122" s="28"/>
      <c r="L122" s="28"/>
    </row>
    <row r="123" spans="1:12" hidden="1" x14ac:dyDescent="0.25">
      <c r="A123" s="1779"/>
      <c r="B123" s="1710"/>
      <c r="C123" s="1403"/>
      <c r="D123" s="28" t="s">
        <v>263</v>
      </c>
      <c r="E123" s="94"/>
      <c r="F123" s="80">
        <v>15</v>
      </c>
      <c r="G123" s="80"/>
      <c r="H123" s="80"/>
      <c r="I123" s="80">
        <v>399</v>
      </c>
      <c r="J123" s="96"/>
      <c r="K123" s="28"/>
      <c r="L123" s="28"/>
    </row>
    <row r="124" spans="1:12" hidden="1" x14ac:dyDescent="0.25">
      <c r="A124" s="1779"/>
      <c r="B124" s="1710"/>
      <c r="C124" s="1403"/>
      <c r="D124" s="28" t="s">
        <v>357</v>
      </c>
      <c r="E124" s="94"/>
      <c r="F124" s="97">
        <f>(F123/F121)*100</f>
        <v>37.5</v>
      </c>
      <c r="G124" s="94"/>
      <c r="H124" s="94"/>
      <c r="I124" s="98">
        <f>I123/I121*100</f>
        <v>46.503496503496507</v>
      </c>
      <c r="J124" s="96"/>
      <c r="K124" s="28"/>
      <c r="L124" s="28"/>
    </row>
    <row r="125" spans="1:12" hidden="1" x14ac:dyDescent="0.25">
      <c r="A125" s="1779"/>
      <c r="B125" s="1710"/>
      <c r="C125" s="1403" t="s">
        <v>372</v>
      </c>
      <c r="D125" s="144" t="s">
        <v>251</v>
      </c>
      <c r="E125" s="94"/>
      <c r="F125" s="80">
        <v>2650</v>
      </c>
      <c r="G125" s="80"/>
      <c r="H125" s="80"/>
      <c r="I125" s="80">
        <v>1245</v>
      </c>
      <c r="J125" s="96"/>
      <c r="K125" s="28"/>
      <c r="L125" s="28"/>
    </row>
    <row r="126" spans="1:12" ht="14.85" hidden="1" customHeight="1" x14ac:dyDescent="0.25">
      <c r="A126" s="1779"/>
      <c r="B126" s="1710"/>
      <c r="C126" s="1403"/>
      <c r="D126" s="28" t="s">
        <v>257</v>
      </c>
      <c r="E126" s="94"/>
      <c r="F126" s="80">
        <v>2055</v>
      </c>
      <c r="G126" s="80"/>
      <c r="H126" s="80"/>
      <c r="I126" s="80">
        <v>963</v>
      </c>
      <c r="J126" s="96"/>
      <c r="K126" s="28"/>
      <c r="L126" s="28"/>
    </row>
    <row r="127" spans="1:12" hidden="1" x14ac:dyDescent="0.25">
      <c r="A127" s="1779"/>
      <c r="B127" s="1710"/>
      <c r="C127" s="1403"/>
      <c r="D127" s="28" t="s">
        <v>263</v>
      </c>
      <c r="E127" s="94"/>
      <c r="F127" s="80">
        <v>595</v>
      </c>
      <c r="G127" s="80"/>
      <c r="H127" s="80"/>
      <c r="I127" s="80">
        <v>282</v>
      </c>
      <c r="J127" s="96"/>
      <c r="K127" s="28"/>
      <c r="L127" s="28"/>
    </row>
    <row r="128" spans="1:12" hidden="1" x14ac:dyDescent="0.25">
      <c r="A128" s="1779"/>
      <c r="B128" s="1710"/>
      <c r="C128" s="1403"/>
      <c r="D128" s="28" t="s">
        <v>357</v>
      </c>
      <c r="E128" s="94"/>
      <c r="F128" s="97">
        <f>(F127/F125)*100</f>
        <v>22.452830188679247</v>
      </c>
      <c r="G128" s="94"/>
      <c r="H128" s="94"/>
      <c r="I128" s="97">
        <f>I127/I125*100</f>
        <v>22.650602409638555</v>
      </c>
      <c r="J128" s="96"/>
      <c r="K128" s="28"/>
      <c r="L128" s="28"/>
    </row>
    <row r="129" spans="1:12" hidden="1" x14ac:dyDescent="0.25">
      <c r="A129" s="1779"/>
      <c r="B129" s="1710"/>
      <c r="C129" s="1403" t="s">
        <v>373</v>
      </c>
      <c r="D129" s="144" t="s">
        <v>251</v>
      </c>
      <c r="E129" s="94"/>
      <c r="F129" s="80">
        <v>870</v>
      </c>
      <c r="G129" s="80"/>
      <c r="H129" s="80"/>
      <c r="I129" s="80">
        <v>342</v>
      </c>
      <c r="J129" s="96"/>
      <c r="K129" s="28"/>
      <c r="L129" s="28"/>
    </row>
    <row r="130" spans="1:12" hidden="1" x14ac:dyDescent="0.25">
      <c r="A130" s="1779"/>
      <c r="B130" s="1710"/>
      <c r="C130" s="1403"/>
      <c r="D130" s="28" t="s">
        <v>257</v>
      </c>
      <c r="E130" s="94"/>
      <c r="F130" s="80">
        <v>770</v>
      </c>
      <c r="G130" s="80"/>
      <c r="H130" s="80"/>
      <c r="I130" s="80">
        <v>318</v>
      </c>
      <c r="J130" s="96"/>
      <c r="K130" s="28"/>
      <c r="L130" s="28"/>
    </row>
    <row r="131" spans="1:12" hidden="1" x14ac:dyDescent="0.25">
      <c r="A131" s="1779"/>
      <c r="B131" s="1710"/>
      <c r="C131" s="1403"/>
      <c r="D131" s="28" t="s">
        <v>263</v>
      </c>
      <c r="E131" s="94"/>
      <c r="F131" s="80">
        <v>100</v>
      </c>
      <c r="G131" s="80"/>
      <c r="H131" s="80"/>
      <c r="I131" s="80">
        <v>21</v>
      </c>
      <c r="J131" s="96"/>
      <c r="K131" s="28"/>
      <c r="L131" s="28"/>
    </row>
    <row r="132" spans="1:12" hidden="1" x14ac:dyDescent="0.25">
      <c r="A132" s="1779"/>
      <c r="B132" s="1710"/>
      <c r="C132" s="1403"/>
      <c r="D132" s="28" t="s">
        <v>357</v>
      </c>
      <c r="E132" s="94"/>
      <c r="F132" s="97">
        <f>(F131/F129)*100</f>
        <v>11.494252873563218</v>
      </c>
      <c r="G132" s="94"/>
      <c r="H132" s="94"/>
      <c r="I132" s="97">
        <f>I131/I129*100</f>
        <v>6.140350877192982</v>
      </c>
      <c r="J132" s="96"/>
      <c r="K132" s="28"/>
      <c r="L132" s="28"/>
    </row>
    <row r="133" spans="1:12" hidden="1" x14ac:dyDescent="0.25">
      <c r="A133" s="1779"/>
      <c r="B133" s="1710"/>
      <c r="C133" s="1403" t="s">
        <v>374</v>
      </c>
      <c r="D133" s="144" t="s">
        <v>251</v>
      </c>
      <c r="E133" s="94"/>
      <c r="F133" s="80">
        <v>570</v>
      </c>
      <c r="G133" s="80"/>
      <c r="H133" s="80"/>
      <c r="I133" s="80">
        <v>621</v>
      </c>
      <c r="J133" s="96"/>
      <c r="K133" s="28"/>
      <c r="L133" s="28"/>
    </row>
    <row r="134" spans="1:12" hidden="1" x14ac:dyDescent="0.25">
      <c r="A134" s="1779"/>
      <c r="B134" s="1710"/>
      <c r="C134" s="1403"/>
      <c r="D134" s="28" t="s">
        <v>257</v>
      </c>
      <c r="E134" s="94"/>
      <c r="F134" s="80">
        <v>200</v>
      </c>
      <c r="G134" s="80"/>
      <c r="H134" s="80"/>
      <c r="I134" s="80">
        <v>186</v>
      </c>
      <c r="J134" s="96"/>
      <c r="K134" s="28"/>
      <c r="L134" s="28"/>
    </row>
    <row r="135" spans="1:12" hidden="1" x14ac:dyDescent="0.25">
      <c r="A135" s="1779"/>
      <c r="B135" s="1710"/>
      <c r="C135" s="1403"/>
      <c r="D135" s="28" t="s">
        <v>263</v>
      </c>
      <c r="E135" s="94"/>
      <c r="F135" s="80">
        <v>375</v>
      </c>
      <c r="G135" s="80"/>
      <c r="H135" s="80"/>
      <c r="I135" s="80">
        <v>432</v>
      </c>
      <c r="J135" s="96"/>
      <c r="K135" s="28"/>
      <c r="L135" s="28"/>
    </row>
    <row r="136" spans="1:12" hidden="1" x14ac:dyDescent="0.25">
      <c r="A136" s="1779"/>
      <c r="B136" s="1710"/>
      <c r="C136" s="1403"/>
      <c r="D136" s="28" t="s">
        <v>357</v>
      </c>
      <c r="E136" s="94"/>
      <c r="F136" s="99">
        <f>(F135/F133)*100</f>
        <v>65.789473684210535</v>
      </c>
      <c r="G136" s="94"/>
      <c r="H136" s="94"/>
      <c r="I136" s="99">
        <f>I135/I133*100</f>
        <v>69.565217391304344</v>
      </c>
      <c r="J136" s="96"/>
      <c r="K136" s="28"/>
      <c r="L136" s="28"/>
    </row>
    <row r="137" spans="1:12" hidden="1" x14ac:dyDescent="0.25">
      <c r="A137" s="1779"/>
      <c r="B137" s="1710"/>
      <c r="C137" s="1403" t="s">
        <v>375</v>
      </c>
      <c r="D137" s="144" t="s">
        <v>251</v>
      </c>
      <c r="E137" s="94"/>
      <c r="F137" s="80">
        <v>90</v>
      </c>
      <c r="G137" s="80"/>
      <c r="H137" s="80"/>
      <c r="I137" s="80">
        <v>96</v>
      </c>
      <c r="J137" s="96"/>
      <c r="K137" s="28"/>
      <c r="L137" s="28"/>
    </row>
    <row r="138" spans="1:12" ht="14.85" hidden="1" customHeight="1" x14ac:dyDescent="0.25">
      <c r="A138" s="1779"/>
      <c r="B138" s="1710"/>
      <c r="C138" s="1403"/>
      <c r="D138" s="28" t="s">
        <v>257</v>
      </c>
      <c r="E138" s="94"/>
      <c r="F138" s="80">
        <v>45</v>
      </c>
      <c r="G138" s="80"/>
      <c r="H138" s="80"/>
      <c r="I138" s="80">
        <v>30</v>
      </c>
      <c r="J138" s="96"/>
      <c r="K138" s="28"/>
      <c r="L138" s="28"/>
    </row>
    <row r="139" spans="1:12" hidden="1" x14ac:dyDescent="0.25">
      <c r="A139" s="1779"/>
      <c r="B139" s="1710"/>
      <c r="C139" s="1403"/>
      <c r="D139" s="28" t="s">
        <v>263</v>
      </c>
      <c r="E139" s="94"/>
      <c r="F139" s="80">
        <v>45</v>
      </c>
      <c r="G139" s="80"/>
      <c r="H139" s="80"/>
      <c r="I139" s="80">
        <v>66</v>
      </c>
      <c r="J139" s="96"/>
      <c r="K139" s="28"/>
      <c r="L139" s="28"/>
    </row>
    <row r="140" spans="1:12" hidden="1" x14ac:dyDescent="0.25">
      <c r="A140" s="1779"/>
      <c r="B140" s="1710"/>
      <c r="C140" s="1403"/>
      <c r="D140" s="28" t="s">
        <v>357</v>
      </c>
      <c r="E140" s="94"/>
      <c r="F140" s="98">
        <f>(F139/F137)*100</f>
        <v>50</v>
      </c>
      <c r="G140" s="94"/>
      <c r="H140" s="94"/>
      <c r="I140" s="99">
        <f>I139/I137*100</f>
        <v>68.75</v>
      </c>
      <c r="J140" s="96"/>
      <c r="K140" s="28"/>
      <c r="L140" s="28"/>
    </row>
    <row r="141" spans="1:12" hidden="1" x14ac:dyDescent="0.25">
      <c r="A141" s="1779"/>
      <c r="B141" s="1710"/>
      <c r="C141" s="1403" t="s">
        <v>376</v>
      </c>
      <c r="D141" s="144" t="s">
        <v>251</v>
      </c>
      <c r="E141" s="94"/>
      <c r="F141" s="80">
        <v>1930</v>
      </c>
      <c r="G141" s="80"/>
      <c r="H141" s="80"/>
      <c r="I141" s="80">
        <v>2016</v>
      </c>
      <c r="J141" s="96"/>
      <c r="K141" s="28"/>
      <c r="L141" s="28"/>
    </row>
    <row r="142" spans="1:12" ht="14.85" hidden="1" customHeight="1" x14ac:dyDescent="0.25">
      <c r="A142" s="1779"/>
      <c r="B142" s="1710"/>
      <c r="C142" s="1403"/>
      <c r="D142" s="28" t="s">
        <v>257</v>
      </c>
      <c r="E142" s="94"/>
      <c r="F142" s="80">
        <v>1360</v>
      </c>
      <c r="G142" s="80"/>
      <c r="H142" s="80"/>
      <c r="I142" s="80">
        <v>1197</v>
      </c>
      <c r="J142" s="96"/>
      <c r="K142" s="28"/>
      <c r="L142" s="28"/>
    </row>
    <row r="143" spans="1:12" hidden="1" x14ac:dyDescent="0.25">
      <c r="A143" s="1779"/>
      <c r="B143" s="1710"/>
      <c r="C143" s="1403"/>
      <c r="D143" s="28" t="s">
        <v>263</v>
      </c>
      <c r="E143" s="94"/>
      <c r="F143" s="80">
        <v>570</v>
      </c>
      <c r="G143" s="80"/>
      <c r="H143" s="80"/>
      <c r="I143" s="80">
        <v>819</v>
      </c>
      <c r="J143" s="96"/>
      <c r="K143" s="28"/>
      <c r="L143" s="28"/>
    </row>
    <row r="144" spans="1:12" hidden="1" x14ac:dyDescent="0.25">
      <c r="A144" s="1779"/>
      <c r="B144" s="1710"/>
      <c r="C144" s="1403"/>
      <c r="D144" s="28" t="s">
        <v>357</v>
      </c>
      <c r="E144" s="94"/>
      <c r="F144" s="97">
        <f>(F143/F141)*100</f>
        <v>29.533678756476682</v>
      </c>
      <c r="G144" s="94"/>
      <c r="H144" s="94"/>
      <c r="I144" s="98">
        <f>I143/I141*100</f>
        <v>40.625</v>
      </c>
      <c r="J144" s="96"/>
      <c r="K144" s="28"/>
      <c r="L144" s="28"/>
    </row>
    <row r="145" spans="1:12" hidden="1" x14ac:dyDescent="0.25">
      <c r="A145" s="1779"/>
      <c r="B145" s="1710"/>
      <c r="C145" s="1403" t="s">
        <v>377</v>
      </c>
      <c r="D145" s="144" t="s">
        <v>251</v>
      </c>
      <c r="E145" s="94"/>
      <c r="F145" s="80">
        <v>2080</v>
      </c>
      <c r="G145" s="80"/>
      <c r="H145" s="80"/>
      <c r="I145" s="80">
        <v>1797</v>
      </c>
      <c r="J145" s="96"/>
      <c r="K145" s="28"/>
      <c r="L145" s="28"/>
    </row>
    <row r="146" spans="1:12" hidden="1" x14ac:dyDescent="0.25">
      <c r="A146" s="1779"/>
      <c r="B146" s="1710"/>
      <c r="C146" s="1403"/>
      <c r="D146" s="28" t="s">
        <v>257</v>
      </c>
      <c r="E146" s="94"/>
      <c r="F146" s="80">
        <v>585</v>
      </c>
      <c r="G146" s="80"/>
      <c r="H146" s="80"/>
      <c r="I146" s="80">
        <v>627</v>
      </c>
      <c r="J146" s="96"/>
      <c r="K146" s="28"/>
      <c r="L146" s="28"/>
    </row>
    <row r="147" spans="1:12" hidden="1" x14ac:dyDescent="0.25">
      <c r="A147" s="1779"/>
      <c r="B147" s="1710"/>
      <c r="C147" s="1403"/>
      <c r="D147" s="28" t="s">
        <v>263</v>
      </c>
      <c r="E147" s="94"/>
      <c r="F147" s="80">
        <v>1495</v>
      </c>
      <c r="G147" s="80"/>
      <c r="H147" s="80"/>
      <c r="I147" s="80">
        <v>1170</v>
      </c>
      <c r="J147" s="96"/>
      <c r="K147" s="28"/>
      <c r="L147" s="28"/>
    </row>
    <row r="148" spans="1:12" hidden="1" x14ac:dyDescent="0.25">
      <c r="A148" s="1779"/>
      <c r="B148" s="1710"/>
      <c r="C148" s="1403"/>
      <c r="D148" s="28" t="s">
        <v>357</v>
      </c>
      <c r="E148" s="94"/>
      <c r="F148" s="99">
        <f>(F147/F145)*100</f>
        <v>71.875</v>
      </c>
      <c r="G148" s="94"/>
      <c r="H148" s="94"/>
      <c r="I148" s="99">
        <f>I147/I145*100</f>
        <v>65.108514190317194</v>
      </c>
      <c r="J148" s="96"/>
      <c r="K148" s="28"/>
      <c r="L148" s="28"/>
    </row>
    <row r="149" spans="1:12" hidden="1" x14ac:dyDescent="0.25">
      <c r="A149" s="1779"/>
      <c r="B149" s="1710"/>
      <c r="C149" s="1403" t="s">
        <v>378</v>
      </c>
      <c r="D149" s="144" t="s">
        <v>251</v>
      </c>
      <c r="E149" s="94"/>
      <c r="F149" s="80">
        <v>935</v>
      </c>
      <c r="G149" s="80"/>
      <c r="H149" s="80"/>
      <c r="I149" s="80">
        <v>1287</v>
      </c>
      <c r="J149" s="96"/>
      <c r="K149" s="28"/>
      <c r="L149" s="28"/>
    </row>
    <row r="150" spans="1:12" hidden="1" x14ac:dyDescent="0.25">
      <c r="A150" s="1779"/>
      <c r="B150" s="1710"/>
      <c r="C150" s="1403"/>
      <c r="D150" s="28" t="s">
        <v>257</v>
      </c>
      <c r="E150" s="94"/>
      <c r="F150" s="80">
        <v>555</v>
      </c>
      <c r="G150" s="80"/>
      <c r="H150" s="80"/>
      <c r="I150" s="80">
        <v>627</v>
      </c>
      <c r="J150" s="96"/>
      <c r="K150" s="28"/>
      <c r="L150" s="28"/>
    </row>
    <row r="151" spans="1:12" hidden="1" x14ac:dyDescent="0.25">
      <c r="A151" s="1779"/>
      <c r="B151" s="1710"/>
      <c r="C151" s="1403"/>
      <c r="D151" s="28" t="s">
        <v>263</v>
      </c>
      <c r="E151" s="94"/>
      <c r="F151" s="80">
        <v>375</v>
      </c>
      <c r="G151" s="80"/>
      <c r="H151" s="80"/>
      <c r="I151" s="80">
        <v>660</v>
      </c>
      <c r="J151" s="96"/>
      <c r="K151" s="28"/>
      <c r="L151" s="28"/>
    </row>
    <row r="152" spans="1:12" hidden="1" x14ac:dyDescent="0.25">
      <c r="A152" s="1779"/>
      <c r="B152" s="1710"/>
      <c r="C152" s="1403"/>
      <c r="D152" s="28" t="s">
        <v>357</v>
      </c>
      <c r="E152" s="94"/>
      <c r="F152" s="98">
        <f>(F151/F149)*100</f>
        <v>40.106951871657756</v>
      </c>
      <c r="G152" s="94"/>
      <c r="H152" s="94"/>
      <c r="I152" s="98">
        <f>I151/I149*100</f>
        <v>51.282051282051277</v>
      </c>
      <c r="J152" s="96"/>
      <c r="K152" s="28"/>
      <c r="L152" s="28"/>
    </row>
    <row r="153" spans="1:12" hidden="1" x14ac:dyDescent="0.25">
      <c r="A153" s="1779"/>
      <c r="B153" s="1710"/>
      <c r="C153" s="1403" t="s">
        <v>379</v>
      </c>
      <c r="D153" s="144" t="s">
        <v>251</v>
      </c>
      <c r="E153" s="94"/>
      <c r="F153" s="80">
        <v>2460</v>
      </c>
      <c r="G153" s="80"/>
      <c r="H153" s="80"/>
      <c r="I153" s="80">
        <v>1689</v>
      </c>
      <c r="J153" s="96"/>
      <c r="K153" s="28"/>
      <c r="L153" s="28"/>
    </row>
    <row r="154" spans="1:12" hidden="1" x14ac:dyDescent="0.25">
      <c r="A154" s="1779"/>
      <c r="B154" s="1710"/>
      <c r="C154" s="1403"/>
      <c r="D154" s="28" t="s">
        <v>257</v>
      </c>
      <c r="E154" s="94"/>
      <c r="F154" s="80">
        <v>2025</v>
      </c>
      <c r="G154" s="80"/>
      <c r="H154" s="80"/>
      <c r="I154" s="80">
        <v>1269</v>
      </c>
      <c r="J154" s="96"/>
      <c r="K154" s="28"/>
      <c r="L154" s="28"/>
    </row>
    <row r="155" spans="1:12" hidden="1" x14ac:dyDescent="0.25">
      <c r="A155" s="1779"/>
      <c r="B155" s="1710"/>
      <c r="C155" s="1403"/>
      <c r="D155" s="28" t="s">
        <v>263</v>
      </c>
      <c r="E155" s="94"/>
      <c r="F155" s="80">
        <v>435</v>
      </c>
      <c r="G155" s="80"/>
      <c r="H155" s="80"/>
      <c r="I155" s="80">
        <v>417</v>
      </c>
      <c r="J155" s="96"/>
      <c r="K155" s="28"/>
      <c r="L155" s="28"/>
    </row>
    <row r="156" spans="1:12" hidden="1" x14ac:dyDescent="0.25">
      <c r="A156" s="1779"/>
      <c r="B156" s="1710"/>
      <c r="C156" s="1403"/>
      <c r="D156" s="28" t="s">
        <v>357</v>
      </c>
      <c r="E156" s="94"/>
      <c r="F156" s="97">
        <f>(F155/F153)*100</f>
        <v>17.682926829268293</v>
      </c>
      <c r="G156" s="94"/>
      <c r="H156" s="94"/>
      <c r="I156" s="97">
        <f>I155/I153*100</f>
        <v>24.68916518650089</v>
      </c>
      <c r="J156" s="96"/>
      <c r="K156" s="28"/>
      <c r="L156" s="28"/>
    </row>
    <row r="157" spans="1:12" ht="14.85" hidden="1" customHeight="1" x14ac:dyDescent="0.25">
      <c r="A157" s="1779"/>
      <c r="B157" s="1710"/>
      <c r="C157" s="1403" t="s">
        <v>380</v>
      </c>
      <c r="D157" s="144" t="s">
        <v>251</v>
      </c>
      <c r="E157" s="94"/>
      <c r="F157" s="80">
        <v>4035</v>
      </c>
      <c r="G157" s="80"/>
      <c r="H157" s="80"/>
      <c r="I157" s="80">
        <v>1608</v>
      </c>
      <c r="J157" s="96"/>
      <c r="K157" s="28"/>
      <c r="L157" s="28"/>
    </row>
    <row r="158" spans="1:12" hidden="1" x14ac:dyDescent="0.25">
      <c r="A158" s="1779"/>
      <c r="B158" s="1710"/>
      <c r="C158" s="1403"/>
      <c r="D158" s="28" t="s">
        <v>257</v>
      </c>
      <c r="E158" s="94"/>
      <c r="F158" s="80">
        <v>1765</v>
      </c>
      <c r="G158" s="80"/>
      <c r="H158" s="80"/>
      <c r="I158" s="80">
        <v>909</v>
      </c>
      <c r="J158" s="96"/>
      <c r="K158" s="28"/>
      <c r="L158" s="28"/>
    </row>
    <row r="159" spans="1:12" hidden="1" x14ac:dyDescent="0.25">
      <c r="A159" s="1779"/>
      <c r="B159" s="1710"/>
      <c r="C159" s="1403"/>
      <c r="D159" s="28" t="s">
        <v>263</v>
      </c>
      <c r="E159" s="94"/>
      <c r="F159" s="80">
        <v>2270</v>
      </c>
      <c r="G159" s="80"/>
      <c r="H159" s="80"/>
      <c r="I159" s="80">
        <v>699</v>
      </c>
      <c r="J159" s="96"/>
      <c r="K159" s="28"/>
      <c r="L159" s="28"/>
    </row>
    <row r="160" spans="1:12" hidden="1" x14ac:dyDescent="0.25">
      <c r="A160" s="1779"/>
      <c r="B160" s="1710"/>
      <c r="C160" s="1403"/>
      <c r="D160" s="28" t="s">
        <v>357</v>
      </c>
      <c r="E160" s="94"/>
      <c r="F160" s="98">
        <f>(F159/F157)*100</f>
        <v>56.257744733581163</v>
      </c>
      <c r="G160" s="94"/>
      <c r="H160" s="94"/>
      <c r="I160" s="98">
        <f>I159/I157*100</f>
        <v>43.470149253731343</v>
      </c>
      <c r="J160" s="96"/>
      <c r="K160" s="28"/>
      <c r="L160" s="28"/>
    </row>
    <row r="161" spans="1:12" hidden="1" x14ac:dyDescent="0.25">
      <c r="A161" s="1779"/>
      <c r="B161" s="1710"/>
      <c r="C161" s="1403" t="s">
        <v>381</v>
      </c>
      <c r="D161" s="144" t="s">
        <v>251</v>
      </c>
      <c r="E161" s="94"/>
      <c r="F161" s="80">
        <v>485</v>
      </c>
      <c r="G161" s="80"/>
      <c r="H161" s="80"/>
      <c r="I161" s="80">
        <v>831</v>
      </c>
      <c r="J161" s="28"/>
      <c r="K161" s="28"/>
      <c r="L161" s="28"/>
    </row>
    <row r="162" spans="1:12" ht="14.85" hidden="1" customHeight="1" x14ac:dyDescent="0.25">
      <c r="A162" s="1779"/>
      <c r="B162" s="1710"/>
      <c r="C162" s="1403"/>
      <c r="D162" s="28" t="s">
        <v>257</v>
      </c>
      <c r="E162" s="94"/>
      <c r="F162" s="80">
        <v>200</v>
      </c>
      <c r="G162" s="80"/>
      <c r="H162" s="80"/>
      <c r="I162" s="80">
        <v>411</v>
      </c>
      <c r="J162" s="28"/>
      <c r="K162" s="28"/>
      <c r="L162" s="28"/>
    </row>
    <row r="163" spans="1:12" hidden="1" x14ac:dyDescent="0.25">
      <c r="A163" s="1779"/>
      <c r="B163" s="1710"/>
      <c r="C163" s="1403"/>
      <c r="D163" s="28" t="s">
        <v>263</v>
      </c>
      <c r="E163" s="94"/>
      <c r="F163" s="80">
        <v>285</v>
      </c>
      <c r="G163" s="80"/>
      <c r="H163" s="80"/>
      <c r="I163" s="80">
        <v>420</v>
      </c>
      <c r="J163" s="28"/>
      <c r="K163" s="28"/>
      <c r="L163" s="28"/>
    </row>
    <row r="164" spans="1:12" hidden="1" x14ac:dyDescent="0.25">
      <c r="A164" s="1779"/>
      <c r="B164" s="1710"/>
      <c r="C164" s="1403"/>
      <c r="D164" s="28" t="s">
        <v>357</v>
      </c>
      <c r="E164" s="94"/>
      <c r="F164" s="98">
        <f>(F163/F161)*100</f>
        <v>58.762886597938149</v>
      </c>
      <c r="G164" s="94"/>
      <c r="H164" s="94"/>
      <c r="I164" s="98">
        <f>I163/I161*100</f>
        <v>50.541516245487358</v>
      </c>
      <c r="J164" s="28"/>
      <c r="K164" s="28"/>
      <c r="L164" s="28"/>
    </row>
    <row r="165" spans="1:12" hidden="1" x14ac:dyDescent="0.25">
      <c r="A165" s="1779"/>
      <c r="B165" s="1710"/>
      <c r="C165" s="1437" t="s">
        <v>382</v>
      </c>
      <c r="D165" s="145" t="s">
        <v>251</v>
      </c>
      <c r="E165" s="95"/>
      <c r="F165" s="80">
        <v>3450</v>
      </c>
      <c r="G165" s="80"/>
      <c r="H165" s="80"/>
      <c r="I165" s="80">
        <v>3117</v>
      </c>
      <c r="J165" s="96"/>
      <c r="K165" s="96"/>
      <c r="L165" s="96"/>
    </row>
    <row r="166" spans="1:12" hidden="1" x14ac:dyDescent="0.25">
      <c r="A166" s="1779"/>
      <c r="B166" s="1710"/>
      <c r="C166" s="1437"/>
      <c r="D166" s="96" t="s">
        <v>257</v>
      </c>
      <c r="E166" s="95"/>
      <c r="F166" s="80">
        <v>1170</v>
      </c>
      <c r="G166" s="80"/>
      <c r="H166" s="80"/>
      <c r="I166" s="80">
        <v>966</v>
      </c>
      <c r="J166" s="96"/>
      <c r="K166" s="96"/>
      <c r="L166" s="96"/>
    </row>
    <row r="167" spans="1:12" hidden="1" x14ac:dyDescent="0.25">
      <c r="A167" s="1779"/>
      <c r="B167" s="1710"/>
      <c r="C167" s="1437"/>
      <c r="D167" s="96" t="s">
        <v>263</v>
      </c>
      <c r="E167" s="95"/>
      <c r="F167" s="80">
        <v>2280</v>
      </c>
      <c r="G167" s="80"/>
      <c r="H167" s="80"/>
      <c r="I167" s="80">
        <v>2151</v>
      </c>
      <c r="J167" s="96"/>
      <c r="K167" s="96"/>
      <c r="L167" s="96"/>
    </row>
    <row r="168" spans="1:12" hidden="1" x14ac:dyDescent="0.25">
      <c r="A168" s="1779"/>
      <c r="B168" s="1710"/>
      <c r="C168" s="1437"/>
      <c r="D168" s="96" t="s">
        <v>357</v>
      </c>
      <c r="E168" s="95"/>
      <c r="F168" s="99">
        <f>(F167/F165)*100</f>
        <v>66.086956521739125</v>
      </c>
      <c r="G168" s="94"/>
      <c r="H168" s="94"/>
      <c r="I168" s="99">
        <f>I167/I165*100</f>
        <v>69.008662175168439</v>
      </c>
      <c r="J168" s="96"/>
      <c r="K168" s="96"/>
      <c r="L168" s="96"/>
    </row>
    <row r="169" spans="1:12" ht="14.85" hidden="1" customHeight="1" x14ac:dyDescent="0.25">
      <c r="A169" s="1779"/>
      <c r="B169" s="1710"/>
      <c r="C169" s="1437" t="s">
        <v>383</v>
      </c>
      <c r="D169" s="145" t="s">
        <v>251</v>
      </c>
      <c r="E169" s="95"/>
      <c r="F169" s="80">
        <v>3465</v>
      </c>
      <c r="G169" s="80"/>
      <c r="H169" s="80"/>
      <c r="I169" s="80">
        <v>2730</v>
      </c>
      <c r="J169" s="96"/>
      <c r="K169" s="96"/>
      <c r="L169" s="96"/>
    </row>
    <row r="170" spans="1:12" hidden="1" x14ac:dyDescent="0.25">
      <c r="A170" s="1779"/>
      <c r="B170" s="1710"/>
      <c r="C170" s="1437"/>
      <c r="D170" s="96" t="s">
        <v>257</v>
      </c>
      <c r="E170" s="95"/>
      <c r="F170" s="80">
        <v>900</v>
      </c>
      <c r="G170" s="80"/>
      <c r="H170" s="80"/>
      <c r="I170" s="80">
        <v>795</v>
      </c>
      <c r="J170" s="96"/>
      <c r="K170" s="96"/>
      <c r="L170" s="96"/>
    </row>
    <row r="171" spans="1:12" hidden="1" x14ac:dyDescent="0.25">
      <c r="A171" s="1779"/>
      <c r="B171" s="1710"/>
      <c r="C171" s="1437"/>
      <c r="D171" s="96" t="s">
        <v>263</v>
      </c>
      <c r="E171" s="95"/>
      <c r="F171" s="80">
        <v>2565</v>
      </c>
      <c r="G171" s="80"/>
      <c r="H171" s="80"/>
      <c r="I171" s="80">
        <v>1935</v>
      </c>
      <c r="J171" s="96"/>
      <c r="K171" s="96"/>
      <c r="L171" s="96"/>
    </row>
    <row r="172" spans="1:12" hidden="1" x14ac:dyDescent="0.25">
      <c r="A172" s="1779"/>
      <c r="B172" s="1710"/>
      <c r="C172" s="1437"/>
      <c r="D172" s="96" t="s">
        <v>357</v>
      </c>
      <c r="E172" s="95"/>
      <c r="F172" s="99">
        <f>(F171/F169)*100</f>
        <v>74.025974025974023</v>
      </c>
      <c r="G172" s="94"/>
      <c r="H172" s="94"/>
      <c r="I172" s="99">
        <f>I171/I169*100</f>
        <v>70.879120879120876</v>
      </c>
      <c r="J172" s="96"/>
      <c r="K172" s="96"/>
      <c r="L172" s="96"/>
    </row>
    <row r="173" spans="1:12" hidden="1" x14ac:dyDescent="0.25">
      <c r="A173" s="1779"/>
      <c r="B173" s="1710"/>
      <c r="C173" s="1437" t="s">
        <v>384</v>
      </c>
      <c r="D173" s="145" t="s">
        <v>251</v>
      </c>
      <c r="E173" s="95"/>
      <c r="F173" s="80">
        <v>4005</v>
      </c>
      <c r="G173" s="80"/>
      <c r="H173" s="80"/>
      <c r="I173" s="80">
        <v>2031</v>
      </c>
      <c r="J173" s="96"/>
      <c r="K173" s="96"/>
      <c r="L173" s="96"/>
    </row>
    <row r="174" spans="1:12" hidden="1" x14ac:dyDescent="0.25">
      <c r="A174" s="1779"/>
      <c r="B174" s="1710"/>
      <c r="C174" s="1437"/>
      <c r="D174" s="96" t="s">
        <v>257</v>
      </c>
      <c r="E174" s="95"/>
      <c r="F174" s="80">
        <v>1225</v>
      </c>
      <c r="G174" s="80"/>
      <c r="H174" s="80"/>
      <c r="I174" s="80">
        <v>588</v>
      </c>
      <c r="J174" s="96"/>
      <c r="K174" s="96"/>
      <c r="L174" s="96"/>
    </row>
    <row r="175" spans="1:12" hidden="1" x14ac:dyDescent="0.25">
      <c r="A175" s="1779"/>
      <c r="B175" s="1710"/>
      <c r="C175" s="1437"/>
      <c r="D175" s="96" t="s">
        <v>263</v>
      </c>
      <c r="E175" s="95"/>
      <c r="F175" s="80">
        <v>2775</v>
      </c>
      <c r="G175" s="80"/>
      <c r="H175" s="80"/>
      <c r="I175" s="80">
        <v>1443</v>
      </c>
      <c r="J175" s="96"/>
      <c r="K175" s="96"/>
      <c r="L175" s="96"/>
    </row>
    <row r="176" spans="1:12" hidden="1" x14ac:dyDescent="0.25">
      <c r="A176" s="1779"/>
      <c r="B176" s="1710"/>
      <c r="C176" s="1437"/>
      <c r="D176" s="96" t="s">
        <v>357</v>
      </c>
      <c r="E176" s="95"/>
      <c r="F176" s="99">
        <f>(F175/F173)*100</f>
        <v>69.288389513108612</v>
      </c>
      <c r="G176" s="94"/>
      <c r="H176" s="94"/>
      <c r="I176" s="99">
        <f>I175/I173*100</f>
        <v>71.04874446085671</v>
      </c>
      <c r="J176" s="96"/>
      <c r="K176" s="96"/>
      <c r="L176" s="96"/>
    </row>
    <row r="177" spans="1:12" hidden="1" x14ac:dyDescent="0.25">
      <c r="A177" s="1779"/>
      <c r="B177" s="1710"/>
      <c r="C177" s="1437" t="s">
        <v>385</v>
      </c>
      <c r="D177" s="145" t="s">
        <v>251</v>
      </c>
      <c r="E177" s="95"/>
      <c r="F177" s="80">
        <v>405</v>
      </c>
      <c r="G177" s="80"/>
      <c r="H177" s="80"/>
      <c r="I177" s="80">
        <v>906</v>
      </c>
      <c r="J177" s="96"/>
      <c r="K177" s="96"/>
      <c r="L177" s="96"/>
    </row>
    <row r="178" spans="1:12" ht="14.85" hidden="1" customHeight="1" x14ac:dyDescent="0.25">
      <c r="A178" s="1779"/>
      <c r="B178" s="1710"/>
      <c r="C178" s="1437"/>
      <c r="D178" s="96" t="s">
        <v>257</v>
      </c>
      <c r="E178" s="95"/>
      <c r="F178" s="80">
        <v>335</v>
      </c>
      <c r="G178" s="80"/>
      <c r="H178" s="80"/>
      <c r="I178" s="80">
        <v>558</v>
      </c>
      <c r="J178" s="96"/>
      <c r="K178" s="96"/>
      <c r="L178" s="96"/>
    </row>
    <row r="179" spans="1:12" hidden="1" x14ac:dyDescent="0.25">
      <c r="A179" s="1779"/>
      <c r="B179" s="1710"/>
      <c r="C179" s="1437"/>
      <c r="D179" s="96" t="s">
        <v>263</v>
      </c>
      <c r="E179" s="95"/>
      <c r="F179" s="80">
        <v>70</v>
      </c>
      <c r="G179" s="80"/>
      <c r="H179" s="80"/>
      <c r="I179" s="80">
        <v>348</v>
      </c>
      <c r="J179" s="96"/>
      <c r="K179" s="96"/>
      <c r="L179" s="96"/>
    </row>
    <row r="180" spans="1:12" hidden="1" x14ac:dyDescent="0.25">
      <c r="A180" s="1779"/>
      <c r="B180" s="1710"/>
      <c r="C180" s="1437"/>
      <c r="D180" s="96" t="s">
        <v>357</v>
      </c>
      <c r="E180" s="95"/>
      <c r="F180" s="97">
        <f>(F179/F177)*100</f>
        <v>17.283950617283949</v>
      </c>
      <c r="G180" s="94"/>
      <c r="H180" s="94"/>
      <c r="I180" s="97">
        <f>I179/I177*100</f>
        <v>38.410596026490069</v>
      </c>
      <c r="J180" s="96"/>
      <c r="K180" s="96"/>
      <c r="L180" s="96"/>
    </row>
    <row r="181" spans="1:12" hidden="1" x14ac:dyDescent="0.25">
      <c r="A181" s="1779"/>
      <c r="B181" s="1710"/>
      <c r="C181" s="1437" t="s">
        <v>386</v>
      </c>
      <c r="D181" s="145" t="s">
        <v>251</v>
      </c>
      <c r="E181" s="95"/>
      <c r="F181" s="80">
        <v>4180</v>
      </c>
      <c r="G181" s="80"/>
      <c r="H181" s="80"/>
      <c r="I181" s="80">
        <v>5427</v>
      </c>
      <c r="J181" s="96"/>
      <c r="K181" s="96"/>
      <c r="L181" s="96"/>
    </row>
    <row r="182" spans="1:12" hidden="1" x14ac:dyDescent="0.25">
      <c r="A182" s="1779"/>
      <c r="B182" s="1710"/>
      <c r="C182" s="1437"/>
      <c r="D182" s="96" t="s">
        <v>257</v>
      </c>
      <c r="E182" s="95"/>
      <c r="F182" s="80">
        <v>2505</v>
      </c>
      <c r="G182" s="80"/>
      <c r="H182" s="80"/>
      <c r="I182" s="80">
        <v>2856</v>
      </c>
      <c r="J182" s="96"/>
      <c r="K182" s="96"/>
      <c r="L182" s="96"/>
    </row>
    <row r="183" spans="1:12" hidden="1" x14ac:dyDescent="0.25">
      <c r="A183" s="1779"/>
      <c r="B183" s="1710"/>
      <c r="C183" s="1437"/>
      <c r="D183" s="96" t="s">
        <v>263</v>
      </c>
      <c r="E183" s="95"/>
      <c r="F183" s="80">
        <v>1670</v>
      </c>
      <c r="G183" s="80"/>
      <c r="H183" s="80"/>
      <c r="I183" s="80">
        <v>2571</v>
      </c>
      <c r="J183" s="96"/>
      <c r="K183" s="96"/>
      <c r="L183" s="96"/>
    </row>
    <row r="184" spans="1:12" hidden="1" x14ac:dyDescent="0.25">
      <c r="A184" s="1779"/>
      <c r="B184" s="1710"/>
      <c r="C184" s="1437"/>
      <c r="D184" s="96" t="s">
        <v>357</v>
      </c>
      <c r="E184" s="95"/>
      <c r="F184" s="97">
        <f>(F183/F181)*100</f>
        <v>39.952153110047846</v>
      </c>
      <c r="G184" s="94"/>
      <c r="H184" s="94"/>
      <c r="I184" s="98">
        <f>I183/I181*100</f>
        <v>47.374239911553346</v>
      </c>
      <c r="J184" s="96"/>
      <c r="K184" s="96"/>
      <c r="L184" s="96"/>
    </row>
    <row r="185" spans="1:12" hidden="1" x14ac:dyDescent="0.25">
      <c r="A185" s="1779"/>
      <c r="B185" s="1710"/>
      <c r="C185" s="1437" t="s">
        <v>387</v>
      </c>
      <c r="D185" s="145" t="s">
        <v>251</v>
      </c>
      <c r="E185" s="95"/>
      <c r="F185" s="80">
        <v>6980</v>
      </c>
      <c r="G185" s="80"/>
      <c r="H185" s="80"/>
      <c r="I185" s="80">
        <v>5787</v>
      </c>
      <c r="J185" s="96"/>
      <c r="K185" s="96"/>
      <c r="L185" s="96"/>
    </row>
    <row r="186" spans="1:12" hidden="1" x14ac:dyDescent="0.25">
      <c r="A186" s="1779"/>
      <c r="B186" s="1710"/>
      <c r="C186" s="1437"/>
      <c r="D186" s="96" t="s">
        <v>257</v>
      </c>
      <c r="E186" s="95"/>
      <c r="F186" s="80">
        <v>2995</v>
      </c>
      <c r="G186" s="80"/>
      <c r="H186" s="80"/>
      <c r="I186" s="80">
        <v>2631</v>
      </c>
      <c r="J186" s="96"/>
      <c r="K186" s="96"/>
      <c r="L186" s="96"/>
    </row>
    <row r="187" spans="1:12" hidden="1" x14ac:dyDescent="0.25">
      <c r="A187" s="1779"/>
      <c r="B187" s="1710"/>
      <c r="C187" s="1437"/>
      <c r="D187" s="96" t="s">
        <v>263</v>
      </c>
      <c r="E187" s="95"/>
      <c r="F187" s="80">
        <v>3990</v>
      </c>
      <c r="G187" s="80"/>
      <c r="H187" s="80"/>
      <c r="I187" s="80">
        <v>3156</v>
      </c>
      <c r="J187" s="96"/>
      <c r="K187" s="96"/>
      <c r="L187" s="96"/>
    </row>
    <row r="188" spans="1:12" hidden="1" x14ac:dyDescent="0.25">
      <c r="A188" s="1779"/>
      <c r="B188" s="1710"/>
      <c r="C188" s="1437"/>
      <c r="D188" s="96" t="s">
        <v>357</v>
      </c>
      <c r="E188" s="95"/>
      <c r="F188" s="98">
        <f>(F187/F185)*100</f>
        <v>57.163323782234954</v>
      </c>
      <c r="G188" s="94"/>
      <c r="H188" s="94"/>
      <c r="I188" s="98">
        <f>I187/I185*100</f>
        <v>54.536029030585794</v>
      </c>
      <c r="J188" s="96"/>
      <c r="K188" s="96"/>
      <c r="L188" s="96"/>
    </row>
    <row r="189" spans="1:12" hidden="1" x14ac:dyDescent="0.25">
      <c r="A189" s="1779"/>
      <c r="B189" s="1710"/>
      <c r="C189" s="1437" t="s">
        <v>388</v>
      </c>
      <c r="D189" s="145" t="s">
        <v>251</v>
      </c>
      <c r="E189" s="95"/>
      <c r="F189" s="80"/>
      <c r="G189" s="80"/>
      <c r="H189" s="80"/>
      <c r="I189" s="80">
        <v>1284</v>
      </c>
      <c r="J189" s="96"/>
      <c r="K189" s="96"/>
      <c r="L189" s="96"/>
    </row>
    <row r="190" spans="1:12" hidden="1" x14ac:dyDescent="0.25">
      <c r="A190" s="1779"/>
      <c r="B190" s="1710"/>
      <c r="C190" s="1437"/>
      <c r="D190" s="96" t="s">
        <v>257</v>
      </c>
      <c r="E190" s="95"/>
      <c r="F190" s="80"/>
      <c r="G190" s="80"/>
      <c r="H190" s="80"/>
      <c r="I190" s="80">
        <v>702</v>
      </c>
      <c r="J190" s="96"/>
      <c r="K190" s="96"/>
      <c r="L190" s="96"/>
    </row>
    <row r="191" spans="1:12" hidden="1" x14ac:dyDescent="0.25">
      <c r="A191" s="1779"/>
      <c r="B191" s="1710"/>
      <c r="C191" s="1437"/>
      <c r="D191" s="96" t="s">
        <v>263</v>
      </c>
      <c r="E191" s="95"/>
      <c r="F191" s="80"/>
      <c r="G191" s="80"/>
      <c r="H191" s="80"/>
      <c r="I191" s="80">
        <v>582</v>
      </c>
      <c r="J191" s="96"/>
      <c r="K191" s="96"/>
      <c r="L191" s="96"/>
    </row>
    <row r="192" spans="1:12" hidden="1" x14ac:dyDescent="0.25">
      <c r="A192" s="1779"/>
      <c r="B192" s="1710"/>
      <c r="C192" s="1437"/>
      <c r="D192" s="96" t="s">
        <v>357</v>
      </c>
      <c r="E192" s="95"/>
      <c r="F192" s="94"/>
      <c r="G192" s="94"/>
      <c r="H192" s="94"/>
      <c r="I192" s="98">
        <f>I191/I189*100</f>
        <v>45.32710280373832</v>
      </c>
      <c r="J192" s="96"/>
      <c r="K192" s="96"/>
      <c r="L192" s="96"/>
    </row>
    <row r="193" spans="1:12" hidden="1" x14ac:dyDescent="0.25">
      <c r="A193" s="1779"/>
      <c r="B193" s="1710"/>
      <c r="C193" s="1403" t="s">
        <v>389</v>
      </c>
      <c r="D193" s="144" t="s">
        <v>251</v>
      </c>
      <c r="E193" s="94"/>
      <c r="F193" s="80">
        <v>850</v>
      </c>
      <c r="G193" s="80"/>
      <c r="H193" s="80"/>
      <c r="I193" s="80">
        <v>1098</v>
      </c>
      <c r="J193" s="28"/>
      <c r="K193" s="28"/>
      <c r="L193" s="28"/>
    </row>
    <row r="194" spans="1:12" hidden="1" x14ac:dyDescent="0.25">
      <c r="A194" s="1779"/>
      <c r="B194" s="1710"/>
      <c r="C194" s="1403"/>
      <c r="D194" s="28" t="s">
        <v>257</v>
      </c>
      <c r="E194" s="94"/>
      <c r="F194" s="80">
        <v>460</v>
      </c>
      <c r="G194" s="80"/>
      <c r="H194" s="80"/>
      <c r="I194" s="80">
        <v>534</v>
      </c>
      <c r="J194" s="28"/>
      <c r="K194" s="28"/>
      <c r="L194" s="28"/>
    </row>
    <row r="195" spans="1:12" hidden="1" x14ac:dyDescent="0.25">
      <c r="A195" s="1779"/>
      <c r="B195" s="1710"/>
      <c r="C195" s="1403"/>
      <c r="D195" s="28" t="s">
        <v>263</v>
      </c>
      <c r="E195" s="94"/>
      <c r="F195" s="80">
        <v>390</v>
      </c>
      <c r="G195" s="80"/>
      <c r="H195" s="80"/>
      <c r="I195" s="80">
        <v>567</v>
      </c>
      <c r="J195" s="28"/>
      <c r="K195" s="28"/>
      <c r="L195" s="28"/>
    </row>
    <row r="196" spans="1:12" hidden="1" x14ac:dyDescent="0.25">
      <c r="A196" s="1779"/>
      <c r="B196" s="1710"/>
      <c r="C196" s="1403"/>
      <c r="D196" s="28" t="s">
        <v>357</v>
      </c>
      <c r="E196" s="94"/>
      <c r="F196" s="98">
        <f>(F195/F193)*100</f>
        <v>45.882352941176471</v>
      </c>
      <c r="G196" s="94"/>
      <c r="H196" s="94"/>
      <c r="I196" s="98">
        <f>I195/I193*100</f>
        <v>51.639344262295083</v>
      </c>
      <c r="J196" s="28"/>
      <c r="K196" s="28"/>
      <c r="L196" s="28"/>
    </row>
    <row r="197" spans="1:12" hidden="1" x14ac:dyDescent="0.25">
      <c r="A197" s="1779"/>
      <c r="B197" s="1710"/>
      <c r="C197" s="1403" t="s">
        <v>390</v>
      </c>
      <c r="D197" s="144" t="s">
        <v>251</v>
      </c>
      <c r="E197" s="94"/>
      <c r="F197" s="80">
        <v>1060</v>
      </c>
      <c r="G197" s="80"/>
      <c r="H197" s="80"/>
      <c r="I197" s="80">
        <v>1053</v>
      </c>
      <c r="J197" s="28"/>
      <c r="K197" s="28"/>
      <c r="L197" s="28"/>
    </row>
    <row r="198" spans="1:12" ht="14.85" hidden="1" customHeight="1" x14ac:dyDescent="0.25">
      <c r="A198" s="1779"/>
      <c r="B198" s="1710"/>
      <c r="C198" s="1403"/>
      <c r="D198" s="28" t="s">
        <v>257</v>
      </c>
      <c r="E198" s="94"/>
      <c r="F198" s="80">
        <v>220</v>
      </c>
      <c r="G198" s="80"/>
      <c r="H198" s="80"/>
      <c r="I198" s="80">
        <v>261</v>
      </c>
      <c r="J198" s="28"/>
      <c r="K198" s="28"/>
      <c r="L198" s="28"/>
    </row>
    <row r="199" spans="1:12" hidden="1" x14ac:dyDescent="0.25">
      <c r="A199" s="1779"/>
      <c r="B199" s="1710"/>
      <c r="C199" s="1403"/>
      <c r="D199" s="28" t="s">
        <v>263</v>
      </c>
      <c r="E199" s="94"/>
      <c r="F199" s="80">
        <v>840</v>
      </c>
      <c r="G199" s="80"/>
      <c r="H199" s="80"/>
      <c r="I199" s="80">
        <v>792</v>
      </c>
      <c r="J199" s="28"/>
      <c r="K199" s="28"/>
      <c r="L199" s="28"/>
    </row>
    <row r="200" spans="1:12" hidden="1" x14ac:dyDescent="0.25">
      <c r="A200" s="1779"/>
      <c r="B200" s="1710"/>
      <c r="C200" s="1403"/>
      <c r="D200" s="28" t="s">
        <v>357</v>
      </c>
      <c r="E200" s="94"/>
      <c r="F200" s="99">
        <f>(F199/F197)*100</f>
        <v>79.245283018867923</v>
      </c>
      <c r="G200" s="94"/>
      <c r="H200" s="94"/>
      <c r="I200" s="99">
        <f>I199/I197*100</f>
        <v>75.213675213675216</v>
      </c>
      <c r="J200" s="28"/>
      <c r="K200" s="28"/>
      <c r="L200" s="28"/>
    </row>
    <row r="201" spans="1:12" hidden="1" x14ac:dyDescent="0.25">
      <c r="A201" s="1779"/>
      <c r="B201" s="1710"/>
      <c r="C201" s="1403" t="s">
        <v>391</v>
      </c>
      <c r="D201" s="144" t="s">
        <v>251</v>
      </c>
      <c r="E201" s="94"/>
      <c r="F201" s="80">
        <v>1765</v>
      </c>
      <c r="G201" s="80"/>
      <c r="H201" s="80"/>
      <c r="I201" s="80">
        <v>2214</v>
      </c>
      <c r="J201" s="28"/>
      <c r="K201" s="28"/>
      <c r="L201" s="28"/>
    </row>
    <row r="202" spans="1:12" hidden="1" x14ac:dyDescent="0.25">
      <c r="A202" s="1779"/>
      <c r="B202" s="1710"/>
      <c r="C202" s="1403"/>
      <c r="D202" s="28" t="s">
        <v>257</v>
      </c>
      <c r="E202" s="94"/>
      <c r="F202" s="80">
        <v>250</v>
      </c>
      <c r="G202" s="80"/>
      <c r="H202" s="80"/>
      <c r="I202" s="80">
        <v>336</v>
      </c>
      <c r="J202" s="28"/>
      <c r="K202" s="28"/>
      <c r="L202" s="28"/>
    </row>
    <row r="203" spans="1:12" hidden="1" x14ac:dyDescent="0.25">
      <c r="A203" s="1779"/>
      <c r="B203" s="1710"/>
      <c r="C203" s="1403"/>
      <c r="D203" s="28" t="s">
        <v>263</v>
      </c>
      <c r="E203" s="94"/>
      <c r="F203" s="80">
        <v>1515</v>
      </c>
      <c r="G203" s="80"/>
      <c r="H203" s="80"/>
      <c r="I203" s="80">
        <v>1875</v>
      </c>
      <c r="J203" s="28"/>
      <c r="K203" s="28"/>
      <c r="L203" s="28"/>
    </row>
    <row r="204" spans="1:12" hidden="1" x14ac:dyDescent="0.25">
      <c r="A204" s="1779"/>
      <c r="B204" s="1710"/>
      <c r="C204" s="1403"/>
      <c r="D204" s="28" t="s">
        <v>357</v>
      </c>
      <c r="E204" s="94"/>
      <c r="F204" s="99">
        <f>(F203/F201)*100</f>
        <v>85.835694050991506</v>
      </c>
      <c r="G204" s="94"/>
      <c r="H204" s="94"/>
      <c r="I204" s="99">
        <f>I203/I201*100</f>
        <v>84.688346883468839</v>
      </c>
      <c r="J204" s="28"/>
      <c r="K204" s="28"/>
      <c r="L204" s="28"/>
    </row>
    <row r="205" spans="1:12" hidden="1" x14ac:dyDescent="0.25">
      <c r="A205" s="1779"/>
      <c r="B205" s="1710"/>
      <c r="C205" s="1403" t="s">
        <v>392</v>
      </c>
      <c r="D205" s="144" t="s">
        <v>251</v>
      </c>
      <c r="E205" s="94"/>
      <c r="F205" s="80">
        <v>1605</v>
      </c>
      <c r="G205" s="80"/>
      <c r="H205" s="80"/>
      <c r="I205" s="80">
        <v>1461</v>
      </c>
      <c r="J205" s="28"/>
      <c r="K205" s="28"/>
      <c r="L205" s="28"/>
    </row>
    <row r="206" spans="1:12" hidden="1" x14ac:dyDescent="0.25">
      <c r="A206" s="1779"/>
      <c r="B206" s="1710"/>
      <c r="C206" s="1403"/>
      <c r="D206" s="28" t="s">
        <v>257</v>
      </c>
      <c r="E206" s="94"/>
      <c r="F206" s="80">
        <v>95</v>
      </c>
      <c r="G206" s="80"/>
      <c r="H206" s="80"/>
      <c r="I206" s="80">
        <v>126</v>
      </c>
      <c r="J206" s="28"/>
      <c r="K206" s="28"/>
      <c r="L206" s="28"/>
    </row>
    <row r="207" spans="1:12" hidden="1" x14ac:dyDescent="0.25">
      <c r="A207" s="1779"/>
      <c r="B207" s="1710"/>
      <c r="C207" s="1403"/>
      <c r="D207" s="28" t="s">
        <v>263</v>
      </c>
      <c r="E207" s="94"/>
      <c r="F207" s="80">
        <v>1510</v>
      </c>
      <c r="G207" s="80"/>
      <c r="H207" s="80"/>
      <c r="I207" s="80">
        <v>1335</v>
      </c>
      <c r="J207" s="28"/>
      <c r="K207" s="28"/>
      <c r="L207" s="28"/>
    </row>
    <row r="208" spans="1:12" hidden="1" x14ac:dyDescent="0.25">
      <c r="A208" s="1779"/>
      <c r="B208" s="1710"/>
      <c r="C208" s="1403"/>
      <c r="D208" s="28" t="s">
        <v>357</v>
      </c>
      <c r="E208" s="94"/>
      <c r="F208" s="99">
        <f>(F207/F205)*100</f>
        <v>94.0809968847352</v>
      </c>
      <c r="G208" s="94"/>
      <c r="H208" s="94"/>
      <c r="I208" s="99">
        <f>I207/I205*100</f>
        <v>91.375770020533892</v>
      </c>
      <c r="J208" s="28"/>
      <c r="K208" s="28"/>
      <c r="L208" s="28"/>
    </row>
    <row r="209" spans="1:12" hidden="1" x14ac:dyDescent="0.25">
      <c r="A209" s="1779"/>
      <c r="B209" s="1710"/>
      <c r="C209" s="1403" t="s">
        <v>393</v>
      </c>
      <c r="D209" s="144" t="s">
        <v>251</v>
      </c>
      <c r="E209" s="94"/>
      <c r="F209" s="80">
        <v>2800</v>
      </c>
      <c r="G209" s="80"/>
      <c r="H209" s="80"/>
      <c r="I209" s="80">
        <v>3141</v>
      </c>
      <c r="J209" s="28"/>
      <c r="K209" s="28"/>
      <c r="L209" s="28"/>
    </row>
    <row r="210" spans="1:12" hidden="1" x14ac:dyDescent="0.25">
      <c r="A210" s="1779"/>
      <c r="B210" s="1710"/>
      <c r="C210" s="1403"/>
      <c r="D210" s="28" t="s">
        <v>257</v>
      </c>
      <c r="E210" s="94"/>
      <c r="F210" s="80">
        <v>1365</v>
      </c>
      <c r="G210" s="80"/>
      <c r="H210" s="80"/>
      <c r="I210" s="80">
        <v>1614</v>
      </c>
      <c r="J210" s="28"/>
      <c r="K210" s="28"/>
      <c r="L210" s="28"/>
    </row>
    <row r="211" spans="1:12" hidden="1" x14ac:dyDescent="0.25">
      <c r="A211" s="1779"/>
      <c r="B211" s="1710"/>
      <c r="C211" s="1403"/>
      <c r="D211" s="28" t="s">
        <v>263</v>
      </c>
      <c r="E211" s="94"/>
      <c r="F211" s="80">
        <v>1435</v>
      </c>
      <c r="G211" s="80"/>
      <c r="H211" s="80"/>
      <c r="I211" s="80">
        <v>1527</v>
      </c>
      <c r="J211" s="28"/>
      <c r="K211" s="28"/>
      <c r="L211" s="28"/>
    </row>
    <row r="212" spans="1:12" hidden="1" x14ac:dyDescent="0.25">
      <c r="A212" s="1779"/>
      <c r="B212" s="1710"/>
      <c r="C212" s="1403"/>
      <c r="D212" s="28" t="s">
        <v>357</v>
      </c>
      <c r="E212" s="94"/>
      <c r="F212" s="98">
        <f>(F211/F209)*100</f>
        <v>51.249999999999993</v>
      </c>
      <c r="G212" s="94"/>
      <c r="H212" s="94"/>
      <c r="I212" s="98">
        <f>I211/I209*100</f>
        <v>48.615090735434578</v>
      </c>
      <c r="J212" s="28"/>
      <c r="K212" s="28"/>
      <c r="L212" s="28"/>
    </row>
    <row r="213" spans="1:12" hidden="1" x14ac:dyDescent="0.25">
      <c r="A213" s="1779"/>
      <c r="B213" s="1710"/>
      <c r="C213" s="1403" t="s">
        <v>394</v>
      </c>
      <c r="D213" s="144" t="s">
        <v>251</v>
      </c>
      <c r="E213" s="94"/>
      <c r="F213" s="80">
        <v>2330</v>
      </c>
      <c r="G213" s="80"/>
      <c r="H213" s="80"/>
      <c r="I213" s="80">
        <v>2268</v>
      </c>
      <c r="J213" s="28"/>
      <c r="K213" s="28"/>
      <c r="L213" s="28"/>
    </row>
    <row r="214" spans="1:12" hidden="1" x14ac:dyDescent="0.25">
      <c r="A214" s="1779"/>
      <c r="B214" s="1710"/>
      <c r="C214" s="1403"/>
      <c r="D214" s="28" t="s">
        <v>257</v>
      </c>
      <c r="E214" s="94"/>
      <c r="F214" s="80">
        <v>1850</v>
      </c>
      <c r="G214" s="80"/>
      <c r="H214" s="80"/>
      <c r="I214" s="80">
        <v>1758</v>
      </c>
      <c r="J214" s="28"/>
      <c r="K214" s="28"/>
      <c r="L214" s="28"/>
    </row>
    <row r="215" spans="1:12" hidden="1" x14ac:dyDescent="0.25">
      <c r="A215" s="1779"/>
      <c r="B215" s="1710"/>
      <c r="C215" s="1403"/>
      <c r="D215" s="28" t="s">
        <v>263</v>
      </c>
      <c r="E215" s="94"/>
      <c r="F215" s="80">
        <v>485</v>
      </c>
      <c r="G215" s="80"/>
      <c r="H215" s="80"/>
      <c r="I215" s="80">
        <v>510</v>
      </c>
      <c r="J215" s="28"/>
      <c r="K215" s="28"/>
      <c r="L215" s="28"/>
    </row>
    <row r="216" spans="1:12" hidden="1" x14ac:dyDescent="0.25">
      <c r="A216" s="1779"/>
      <c r="B216" s="1710"/>
      <c r="C216" s="1403"/>
      <c r="D216" s="28" t="s">
        <v>357</v>
      </c>
      <c r="E216" s="94"/>
      <c r="F216" s="97">
        <f>(F215/F213)*100</f>
        <v>20.815450643776824</v>
      </c>
      <c r="G216" s="94"/>
      <c r="H216" s="94"/>
      <c r="I216" s="97">
        <f>I215/I213*100</f>
        <v>22.486772486772484</v>
      </c>
      <c r="J216" s="28"/>
      <c r="K216" s="28"/>
      <c r="L216" s="28"/>
    </row>
    <row r="217" spans="1:12" hidden="1" x14ac:dyDescent="0.25">
      <c r="A217" s="1779"/>
      <c r="B217" s="1710"/>
      <c r="C217" s="1403" t="s">
        <v>395</v>
      </c>
      <c r="D217" s="144" t="s">
        <v>251</v>
      </c>
      <c r="E217" s="94"/>
      <c r="F217" s="80">
        <v>590</v>
      </c>
      <c r="G217" s="80"/>
      <c r="H217" s="80"/>
      <c r="I217" s="80">
        <v>333</v>
      </c>
      <c r="J217" s="94"/>
      <c r="K217" s="28"/>
      <c r="L217" s="28"/>
    </row>
    <row r="218" spans="1:12" ht="14.85" hidden="1" customHeight="1" x14ac:dyDescent="0.25">
      <c r="A218" s="1779"/>
      <c r="B218" s="1710"/>
      <c r="C218" s="1403"/>
      <c r="D218" s="28" t="s">
        <v>257</v>
      </c>
      <c r="E218" s="94"/>
      <c r="F218" s="80">
        <v>440</v>
      </c>
      <c r="G218" s="80"/>
      <c r="H218" s="80"/>
      <c r="I218" s="80">
        <v>276</v>
      </c>
      <c r="J218" s="94"/>
      <c r="K218" s="28"/>
      <c r="L218" s="28"/>
    </row>
    <row r="219" spans="1:12" hidden="1" x14ac:dyDescent="0.25">
      <c r="A219" s="1779"/>
      <c r="B219" s="1710"/>
      <c r="C219" s="1403"/>
      <c r="D219" s="28" t="s">
        <v>263</v>
      </c>
      <c r="E219" s="94"/>
      <c r="F219" s="80">
        <v>150</v>
      </c>
      <c r="G219" s="80"/>
      <c r="H219" s="80"/>
      <c r="I219" s="80">
        <v>54</v>
      </c>
      <c r="J219" s="94"/>
      <c r="K219" s="28"/>
      <c r="L219" s="28"/>
    </row>
    <row r="220" spans="1:12" hidden="1" x14ac:dyDescent="0.25">
      <c r="A220" s="1779"/>
      <c r="B220" s="1710"/>
      <c r="C220" s="1403"/>
      <c r="D220" s="28" t="s">
        <v>357</v>
      </c>
      <c r="E220" s="94"/>
      <c r="F220" s="97">
        <f>(F219/F217)*100</f>
        <v>25.423728813559322</v>
      </c>
      <c r="G220" s="94"/>
      <c r="H220" s="94"/>
      <c r="I220" s="97">
        <f>I219/I217*100</f>
        <v>16.216216216216218</v>
      </c>
      <c r="J220" s="94"/>
      <c r="K220" s="28"/>
      <c r="L220" s="28"/>
    </row>
    <row r="221" spans="1:12" hidden="1" x14ac:dyDescent="0.25">
      <c r="A221" s="1779"/>
      <c r="B221" s="1710"/>
      <c r="C221" s="1403" t="s">
        <v>396</v>
      </c>
      <c r="D221" s="144" t="s">
        <v>251</v>
      </c>
      <c r="E221" s="94"/>
      <c r="F221" s="80">
        <v>10</v>
      </c>
      <c r="G221" s="80"/>
      <c r="H221" s="80"/>
      <c r="I221" s="80">
        <v>15</v>
      </c>
      <c r="J221" s="94"/>
      <c r="K221" s="28"/>
      <c r="L221" s="28"/>
    </row>
    <row r="222" spans="1:12" hidden="1" x14ac:dyDescent="0.25">
      <c r="A222" s="1779"/>
      <c r="B222" s="1710"/>
      <c r="C222" s="1403"/>
      <c r="D222" s="28" t="s">
        <v>257</v>
      </c>
      <c r="E222" s="94"/>
      <c r="F222" s="80">
        <v>10</v>
      </c>
      <c r="G222" s="80"/>
      <c r="H222" s="80"/>
      <c r="I222" s="80">
        <v>12</v>
      </c>
      <c r="J222" s="94"/>
      <c r="K222" s="28"/>
      <c r="L222" s="28"/>
    </row>
    <row r="223" spans="1:12" hidden="1" x14ac:dyDescent="0.25">
      <c r="A223" s="1779"/>
      <c r="B223" s="1710"/>
      <c r="C223" s="1403"/>
      <c r="D223" s="28" t="s">
        <v>263</v>
      </c>
      <c r="E223" s="94"/>
      <c r="F223" s="80">
        <v>0</v>
      </c>
      <c r="G223" s="80"/>
      <c r="H223" s="80"/>
      <c r="I223" s="80">
        <v>3</v>
      </c>
      <c r="J223" s="94"/>
      <c r="K223" s="28"/>
      <c r="L223" s="28"/>
    </row>
    <row r="224" spans="1:12" hidden="1" x14ac:dyDescent="0.25">
      <c r="A224" s="1779"/>
      <c r="B224" s="1710"/>
      <c r="C224" s="1403"/>
      <c r="D224" s="28" t="s">
        <v>357</v>
      </c>
      <c r="E224" s="94"/>
      <c r="F224" s="97">
        <f>(F223/F221)*100</f>
        <v>0</v>
      </c>
      <c r="G224" s="94"/>
      <c r="H224" s="94"/>
      <c r="I224" s="97">
        <f>I223/I221*100</f>
        <v>20</v>
      </c>
      <c r="J224" s="94"/>
      <c r="K224" s="28"/>
      <c r="L224" s="28"/>
    </row>
    <row r="225" spans="1:12" hidden="1" x14ac:dyDescent="0.25">
      <c r="A225" s="1779"/>
      <c r="B225" s="1710"/>
      <c r="C225" s="1403" t="s">
        <v>397</v>
      </c>
      <c r="D225" s="144" t="s">
        <v>251</v>
      </c>
      <c r="E225" s="94"/>
      <c r="F225" s="80"/>
      <c r="G225" s="80"/>
      <c r="H225" s="80"/>
      <c r="I225" s="80">
        <v>3</v>
      </c>
      <c r="J225" s="94"/>
      <c r="K225" s="28"/>
      <c r="L225" s="28"/>
    </row>
    <row r="226" spans="1:12" hidden="1" x14ac:dyDescent="0.25">
      <c r="A226" s="1779"/>
      <c r="B226" s="1710"/>
      <c r="C226" s="1403"/>
      <c r="D226" s="28" t="s">
        <v>257</v>
      </c>
      <c r="E226" s="94"/>
      <c r="F226" s="80"/>
      <c r="G226" s="80"/>
      <c r="H226" s="80"/>
      <c r="I226" s="80">
        <v>3</v>
      </c>
      <c r="J226" s="94"/>
      <c r="K226" s="28"/>
      <c r="L226" s="28"/>
    </row>
    <row r="227" spans="1:12" hidden="1" x14ac:dyDescent="0.25">
      <c r="A227" s="1779"/>
      <c r="B227" s="1710"/>
      <c r="C227" s="1403"/>
      <c r="D227" s="28" t="s">
        <v>263</v>
      </c>
      <c r="E227" s="94"/>
      <c r="F227" s="80"/>
      <c r="G227" s="80"/>
      <c r="H227" s="80"/>
      <c r="I227" s="80">
        <v>0</v>
      </c>
      <c r="J227" s="94"/>
      <c r="K227" s="28"/>
      <c r="L227" s="28"/>
    </row>
    <row r="228" spans="1:12" hidden="1" x14ac:dyDescent="0.25">
      <c r="A228" s="1779"/>
      <c r="B228" s="1710"/>
      <c r="C228" s="1403"/>
      <c r="D228" s="28" t="s">
        <v>357</v>
      </c>
      <c r="E228" s="94"/>
      <c r="F228" s="94"/>
      <c r="G228" s="94"/>
      <c r="H228" s="94"/>
      <c r="I228" s="97">
        <f>I227/I225*100</f>
        <v>0</v>
      </c>
      <c r="J228" s="94"/>
      <c r="K228" s="28"/>
      <c r="L228" s="28"/>
    </row>
    <row r="229" spans="1:12" hidden="1" x14ac:dyDescent="0.25">
      <c r="A229" s="1779"/>
      <c r="B229" s="1710"/>
      <c r="C229" s="1403" t="s">
        <v>398</v>
      </c>
      <c r="D229" s="144" t="s">
        <v>251</v>
      </c>
      <c r="E229" s="94"/>
      <c r="F229" s="80">
        <v>15</v>
      </c>
      <c r="G229" s="80"/>
      <c r="H229" s="80"/>
      <c r="I229" s="80">
        <v>6</v>
      </c>
      <c r="J229" s="94"/>
      <c r="K229" s="28"/>
      <c r="L229" s="28"/>
    </row>
    <row r="230" spans="1:12" ht="14.85" hidden="1" customHeight="1" x14ac:dyDescent="0.25">
      <c r="A230" s="1779"/>
      <c r="B230" s="1710"/>
      <c r="C230" s="1403"/>
      <c r="D230" s="28" t="s">
        <v>257</v>
      </c>
      <c r="E230" s="94"/>
      <c r="F230" s="80">
        <v>0</v>
      </c>
      <c r="G230" s="80"/>
      <c r="H230" s="80"/>
      <c r="I230" s="80">
        <v>6</v>
      </c>
      <c r="J230" s="94"/>
      <c r="K230" s="28"/>
      <c r="L230" s="28"/>
    </row>
    <row r="231" spans="1:12" hidden="1" x14ac:dyDescent="0.25">
      <c r="A231" s="1779"/>
      <c r="B231" s="1710"/>
      <c r="C231" s="1403"/>
      <c r="D231" s="28" t="s">
        <v>263</v>
      </c>
      <c r="E231" s="94"/>
      <c r="F231" s="80">
        <v>15</v>
      </c>
      <c r="G231" s="80"/>
      <c r="H231" s="80"/>
      <c r="I231" s="80">
        <v>0</v>
      </c>
      <c r="J231" s="94"/>
      <c r="K231" s="28"/>
      <c r="L231" s="28"/>
    </row>
    <row r="232" spans="1:12" hidden="1" x14ac:dyDescent="0.25">
      <c r="A232" s="1779"/>
      <c r="B232" s="1710"/>
      <c r="C232" s="1403"/>
      <c r="D232" s="28" t="s">
        <v>357</v>
      </c>
      <c r="E232" s="94"/>
      <c r="F232" s="99">
        <f>F231/F229*100</f>
        <v>100</v>
      </c>
      <c r="G232" s="94"/>
      <c r="H232" s="94"/>
      <c r="I232" s="97">
        <f>I231/I229*100</f>
        <v>0</v>
      </c>
      <c r="J232" s="94"/>
      <c r="K232" s="28"/>
      <c r="L232" s="28"/>
    </row>
    <row r="233" spans="1:12" hidden="1" x14ac:dyDescent="0.25">
      <c r="A233" s="1779"/>
      <c r="B233" s="1710"/>
      <c r="C233" s="1403" t="s">
        <v>399</v>
      </c>
      <c r="D233" s="144" t="s">
        <v>251</v>
      </c>
      <c r="E233" s="94"/>
      <c r="F233" s="80">
        <v>2060</v>
      </c>
      <c r="G233" s="80"/>
      <c r="H233" s="80"/>
      <c r="I233" s="80">
        <v>3066</v>
      </c>
      <c r="J233" s="94"/>
      <c r="K233" s="28"/>
      <c r="L233" s="28"/>
    </row>
    <row r="234" spans="1:12" ht="14.85" hidden="1" customHeight="1" x14ac:dyDescent="0.25">
      <c r="A234" s="1779"/>
      <c r="B234" s="1710"/>
      <c r="C234" s="1403"/>
      <c r="D234" s="28" t="s">
        <v>257</v>
      </c>
      <c r="E234" s="94"/>
      <c r="F234" s="80">
        <v>1885</v>
      </c>
      <c r="G234" s="80"/>
      <c r="H234" s="80"/>
      <c r="I234" s="80">
        <v>2961</v>
      </c>
      <c r="J234" s="94"/>
      <c r="K234" s="28"/>
      <c r="L234" s="28"/>
    </row>
    <row r="235" spans="1:12" hidden="1" x14ac:dyDescent="0.25">
      <c r="A235" s="1779"/>
      <c r="B235" s="1710"/>
      <c r="C235" s="1403"/>
      <c r="D235" s="28" t="s">
        <v>263</v>
      </c>
      <c r="E235" s="94"/>
      <c r="F235" s="80">
        <v>175</v>
      </c>
      <c r="G235" s="80"/>
      <c r="H235" s="80"/>
      <c r="I235" s="80">
        <v>105</v>
      </c>
      <c r="J235" s="94"/>
      <c r="K235" s="28"/>
      <c r="L235" s="28"/>
    </row>
    <row r="236" spans="1:12" hidden="1" x14ac:dyDescent="0.25">
      <c r="A236" s="1779"/>
      <c r="B236" s="1710"/>
      <c r="C236" s="1403"/>
      <c r="D236" s="28" t="s">
        <v>357</v>
      </c>
      <c r="E236" s="94"/>
      <c r="F236" s="97">
        <f>(F235/F233)*100</f>
        <v>8.4951456310679614</v>
      </c>
      <c r="G236" s="94"/>
      <c r="H236" s="94"/>
      <c r="I236" s="97">
        <f>I235/I233*100</f>
        <v>3.4246575342465753</v>
      </c>
      <c r="J236" s="94"/>
      <c r="K236" s="28"/>
      <c r="L236" s="28"/>
    </row>
    <row r="237" spans="1:12" hidden="1" x14ac:dyDescent="0.25">
      <c r="A237" s="1779"/>
      <c r="B237" s="1710"/>
      <c r="C237" s="1403" t="s">
        <v>400</v>
      </c>
      <c r="D237" s="144" t="s">
        <v>251</v>
      </c>
      <c r="E237" s="94"/>
      <c r="F237" s="80">
        <v>2005</v>
      </c>
      <c r="G237" s="80"/>
      <c r="H237" s="80"/>
      <c r="I237" s="80">
        <v>1482</v>
      </c>
      <c r="J237" s="94"/>
      <c r="K237" s="28"/>
      <c r="L237" s="28"/>
    </row>
    <row r="238" spans="1:12" hidden="1" x14ac:dyDescent="0.25">
      <c r="A238" s="1779"/>
      <c r="B238" s="1710"/>
      <c r="C238" s="1403"/>
      <c r="D238" s="28" t="s">
        <v>257</v>
      </c>
      <c r="E238" s="94"/>
      <c r="F238" s="80">
        <v>1840</v>
      </c>
      <c r="G238" s="80"/>
      <c r="H238" s="80"/>
      <c r="I238" s="80">
        <v>1419</v>
      </c>
      <c r="J238" s="94"/>
      <c r="K238" s="28"/>
      <c r="L238" s="28"/>
    </row>
    <row r="239" spans="1:12" hidden="1" x14ac:dyDescent="0.25">
      <c r="A239" s="1779"/>
      <c r="B239" s="1710"/>
      <c r="C239" s="1403"/>
      <c r="D239" s="28" t="s">
        <v>263</v>
      </c>
      <c r="E239" s="94"/>
      <c r="F239" s="80">
        <v>165</v>
      </c>
      <c r="G239" s="80"/>
      <c r="H239" s="80"/>
      <c r="I239" s="80">
        <v>66</v>
      </c>
      <c r="J239" s="94"/>
      <c r="K239" s="28"/>
      <c r="L239" s="28"/>
    </row>
    <row r="240" spans="1:12" hidden="1" x14ac:dyDescent="0.25">
      <c r="A240" s="1779"/>
      <c r="B240" s="1710"/>
      <c r="C240" s="1403"/>
      <c r="D240" s="28" t="s">
        <v>357</v>
      </c>
      <c r="E240" s="94"/>
      <c r="F240" s="97">
        <f>(F239/F237)*100</f>
        <v>8.2294264339152114</v>
      </c>
      <c r="G240" s="94"/>
      <c r="H240" s="94"/>
      <c r="I240" s="97">
        <f>I239/I237*100</f>
        <v>4.4534412955465585</v>
      </c>
      <c r="J240" s="94"/>
      <c r="K240" s="28"/>
      <c r="L240" s="28"/>
    </row>
    <row r="241" spans="1:12" ht="14.85" hidden="1" customHeight="1" x14ac:dyDescent="0.25">
      <c r="A241" s="1779"/>
      <c r="B241" s="1710"/>
      <c r="C241" s="1403" t="s">
        <v>401</v>
      </c>
      <c r="D241" s="144" t="s">
        <v>251</v>
      </c>
      <c r="E241" s="94"/>
      <c r="F241" s="80">
        <v>890</v>
      </c>
      <c r="G241" s="80"/>
      <c r="H241" s="80"/>
      <c r="I241" s="80">
        <v>549</v>
      </c>
      <c r="J241" s="94"/>
      <c r="K241" s="28"/>
      <c r="L241" s="28"/>
    </row>
    <row r="242" spans="1:12" hidden="1" x14ac:dyDescent="0.25">
      <c r="A242" s="1779"/>
      <c r="B242" s="1710"/>
      <c r="C242" s="1403"/>
      <c r="D242" s="28" t="s">
        <v>257</v>
      </c>
      <c r="E242" s="94"/>
      <c r="F242" s="80">
        <v>785</v>
      </c>
      <c r="G242" s="80"/>
      <c r="H242" s="80"/>
      <c r="I242" s="80">
        <v>522</v>
      </c>
      <c r="J242" s="94"/>
      <c r="K242" s="28"/>
      <c r="L242" s="28"/>
    </row>
    <row r="243" spans="1:12" hidden="1" x14ac:dyDescent="0.25">
      <c r="A243" s="1779"/>
      <c r="B243" s="1710"/>
      <c r="C243" s="1403"/>
      <c r="D243" s="28" t="s">
        <v>263</v>
      </c>
      <c r="E243" s="94"/>
      <c r="F243" s="80">
        <v>105</v>
      </c>
      <c r="G243" s="80"/>
      <c r="H243" s="80"/>
      <c r="I243" s="80">
        <v>24</v>
      </c>
      <c r="J243" s="94"/>
      <c r="K243" s="28"/>
      <c r="L243" s="28"/>
    </row>
    <row r="244" spans="1:12" hidden="1" x14ac:dyDescent="0.25">
      <c r="A244" s="1779"/>
      <c r="B244" s="1710"/>
      <c r="C244" s="1403"/>
      <c r="D244" s="28" t="s">
        <v>357</v>
      </c>
      <c r="E244" s="94"/>
      <c r="F244" s="97">
        <f>(F243/F241)*100</f>
        <v>11.797752808988763</v>
      </c>
      <c r="G244" s="94"/>
      <c r="H244" s="94"/>
      <c r="I244" s="97">
        <f>I243/I241*100</f>
        <v>4.3715846994535523</v>
      </c>
      <c r="J244" s="94"/>
      <c r="K244" s="28"/>
      <c r="L244" s="28"/>
    </row>
    <row r="245" spans="1:12" hidden="1" x14ac:dyDescent="0.25">
      <c r="A245" s="1779"/>
      <c r="B245" s="1710"/>
      <c r="C245" s="1403" t="s">
        <v>402</v>
      </c>
      <c r="D245" s="144" t="s">
        <v>251</v>
      </c>
      <c r="E245" s="94"/>
      <c r="F245" s="80">
        <v>945</v>
      </c>
      <c r="G245" s="80"/>
      <c r="H245" s="80"/>
      <c r="I245" s="80">
        <v>990</v>
      </c>
      <c r="J245" s="94"/>
      <c r="K245" s="28"/>
      <c r="L245" s="28"/>
    </row>
    <row r="246" spans="1:12" hidden="1" x14ac:dyDescent="0.25">
      <c r="A246" s="1779"/>
      <c r="B246" s="1710"/>
      <c r="C246" s="1403"/>
      <c r="D246" s="28" t="s">
        <v>257</v>
      </c>
      <c r="E246" s="94"/>
      <c r="F246" s="80">
        <v>880</v>
      </c>
      <c r="G246" s="80"/>
      <c r="H246" s="80"/>
      <c r="I246" s="80">
        <v>939</v>
      </c>
      <c r="J246" s="94"/>
      <c r="K246" s="28"/>
      <c r="L246" s="28"/>
    </row>
    <row r="247" spans="1:12" hidden="1" x14ac:dyDescent="0.25">
      <c r="A247" s="1779"/>
      <c r="B247" s="1710"/>
      <c r="C247" s="1403"/>
      <c r="D247" s="28" t="s">
        <v>263</v>
      </c>
      <c r="E247" s="94"/>
      <c r="F247" s="80">
        <v>65</v>
      </c>
      <c r="G247" s="80"/>
      <c r="H247" s="80"/>
      <c r="I247" s="80">
        <v>51</v>
      </c>
      <c r="J247" s="94"/>
      <c r="K247" s="28"/>
      <c r="L247" s="28"/>
    </row>
    <row r="248" spans="1:12" hidden="1" x14ac:dyDescent="0.25">
      <c r="A248" s="1779"/>
      <c r="B248" s="1710"/>
      <c r="C248" s="1403"/>
      <c r="D248" s="28" t="s">
        <v>357</v>
      </c>
      <c r="E248" s="94"/>
      <c r="F248" s="97">
        <f>(F247/F245)*100</f>
        <v>6.8783068783068781</v>
      </c>
      <c r="G248" s="94"/>
      <c r="H248" s="94"/>
      <c r="I248" s="97">
        <f>I247/I245*100</f>
        <v>5.1515151515151514</v>
      </c>
      <c r="J248" s="94"/>
      <c r="K248" s="28"/>
      <c r="L248" s="28"/>
    </row>
    <row r="249" spans="1:12" hidden="1" x14ac:dyDescent="0.25">
      <c r="A249" s="1779"/>
      <c r="B249" s="1710"/>
      <c r="C249" s="1403" t="s">
        <v>403</v>
      </c>
      <c r="D249" s="144" t="s">
        <v>251</v>
      </c>
      <c r="E249" s="94"/>
      <c r="F249" s="80">
        <v>1695</v>
      </c>
      <c r="G249" s="80"/>
      <c r="H249" s="80"/>
      <c r="I249" s="80">
        <v>1467</v>
      </c>
      <c r="J249" s="94"/>
      <c r="K249" s="28"/>
      <c r="L249" s="28"/>
    </row>
    <row r="250" spans="1:12" hidden="1" x14ac:dyDescent="0.25">
      <c r="A250" s="1779"/>
      <c r="B250" s="1710"/>
      <c r="C250" s="1403"/>
      <c r="D250" s="28" t="s">
        <v>257</v>
      </c>
      <c r="E250" s="94"/>
      <c r="F250" s="80">
        <v>1520</v>
      </c>
      <c r="G250" s="80"/>
      <c r="H250" s="80"/>
      <c r="I250" s="80">
        <v>1386</v>
      </c>
      <c r="J250" s="94"/>
      <c r="K250" s="28"/>
      <c r="L250" s="28"/>
    </row>
    <row r="251" spans="1:12" hidden="1" x14ac:dyDescent="0.25">
      <c r="A251" s="1779"/>
      <c r="B251" s="1710"/>
      <c r="C251" s="1403"/>
      <c r="D251" s="28" t="s">
        <v>263</v>
      </c>
      <c r="E251" s="94"/>
      <c r="F251" s="80">
        <v>175</v>
      </c>
      <c r="G251" s="80"/>
      <c r="H251" s="80"/>
      <c r="I251" s="80">
        <v>81</v>
      </c>
      <c r="J251" s="94"/>
      <c r="K251" s="28"/>
      <c r="L251" s="28"/>
    </row>
    <row r="252" spans="1:12" hidden="1" x14ac:dyDescent="0.25">
      <c r="A252" s="1779"/>
      <c r="B252" s="1710"/>
      <c r="C252" s="1403"/>
      <c r="D252" s="28" t="s">
        <v>357</v>
      </c>
      <c r="E252" s="94"/>
      <c r="F252" s="97">
        <f>(F251/F249)*100</f>
        <v>10.32448377581121</v>
      </c>
      <c r="G252" s="94"/>
      <c r="H252" s="94"/>
      <c r="I252" s="97">
        <f>I251/I249*100</f>
        <v>5.5214723926380369</v>
      </c>
      <c r="J252" s="94"/>
      <c r="K252" s="28"/>
      <c r="L252" s="28"/>
    </row>
    <row r="253" spans="1:12" hidden="1" x14ac:dyDescent="0.25">
      <c r="A253" s="1779"/>
      <c r="B253" s="1710"/>
      <c r="C253" s="1403" t="s">
        <v>404</v>
      </c>
      <c r="D253" s="144" t="s">
        <v>251</v>
      </c>
      <c r="E253" s="94"/>
      <c r="F253" s="80">
        <v>920</v>
      </c>
      <c r="G253" s="80"/>
      <c r="H253" s="80"/>
      <c r="I253" s="80">
        <v>339</v>
      </c>
      <c r="J253" s="94"/>
      <c r="K253" s="28"/>
      <c r="L253" s="28"/>
    </row>
    <row r="254" spans="1:12" ht="14.85" hidden="1" customHeight="1" x14ac:dyDescent="0.25">
      <c r="A254" s="1779"/>
      <c r="B254" s="1710"/>
      <c r="C254" s="1403"/>
      <c r="D254" s="28" t="s">
        <v>257</v>
      </c>
      <c r="E254" s="94"/>
      <c r="F254" s="80">
        <v>745</v>
      </c>
      <c r="G254" s="80"/>
      <c r="H254" s="80"/>
      <c r="I254" s="80">
        <v>261</v>
      </c>
      <c r="J254" s="94"/>
      <c r="K254" s="28"/>
      <c r="L254" s="28"/>
    </row>
    <row r="255" spans="1:12" hidden="1" x14ac:dyDescent="0.25">
      <c r="A255" s="1779"/>
      <c r="B255" s="1710"/>
      <c r="C255" s="1403"/>
      <c r="D255" s="28" t="s">
        <v>263</v>
      </c>
      <c r="E255" s="94"/>
      <c r="F255" s="80">
        <v>175</v>
      </c>
      <c r="G255" s="80"/>
      <c r="H255" s="80"/>
      <c r="I255" s="80">
        <v>78</v>
      </c>
      <c r="J255" s="94"/>
      <c r="K255" s="28"/>
      <c r="L255" s="28"/>
    </row>
    <row r="256" spans="1:12" hidden="1" x14ac:dyDescent="0.25">
      <c r="A256" s="1779"/>
      <c r="B256" s="1710"/>
      <c r="C256" s="1403"/>
      <c r="D256" s="28" t="s">
        <v>357</v>
      </c>
      <c r="E256" s="94"/>
      <c r="F256" s="97">
        <f>(F255/F253)*100</f>
        <v>19.021739130434785</v>
      </c>
      <c r="G256" s="94"/>
      <c r="H256" s="94"/>
      <c r="I256" s="97">
        <f>I255/I253*100</f>
        <v>23.008849557522122</v>
      </c>
      <c r="J256" s="94"/>
      <c r="K256" s="28"/>
      <c r="L256" s="28"/>
    </row>
    <row r="257" spans="1:12" hidden="1" x14ac:dyDescent="0.25">
      <c r="A257" s="1779"/>
      <c r="B257" s="1710"/>
      <c r="C257" s="1403" t="s">
        <v>405</v>
      </c>
      <c r="D257" s="144" t="s">
        <v>251</v>
      </c>
      <c r="E257" s="94"/>
      <c r="F257" s="80">
        <v>600</v>
      </c>
      <c r="G257" s="80"/>
      <c r="H257" s="80"/>
      <c r="I257" s="80">
        <v>333</v>
      </c>
      <c r="J257" s="94"/>
      <c r="K257" s="28"/>
      <c r="L257" s="28"/>
    </row>
    <row r="258" spans="1:12" hidden="1" x14ac:dyDescent="0.25">
      <c r="A258" s="1779"/>
      <c r="B258" s="1710"/>
      <c r="C258" s="1403"/>
      <c r="D258" s="28" t="s">
        <v>257</v>
      </c>
      <c r="E258" s="94"/>
      <c r="F258" s="80">
        <v>400</v>
      </c>
      <c r="G258" s="80"/>
      <c r="H258" s="80"/>
      <c r="I258" s="80">
        <v>240</v>
      </c>
      <c r="J258" s="94"/>
      <c r="K258" s="28"/>
      <c r="L258" s="28"/>
    </row>
    <row r="259" spans="1:12" hidden="1" x14ac:dyDescent="0.25">
      <c r="A259" s="1779"/>
      <c r="B259" s="1710"/>
      <c r="C259" s="1403"/>
      <c r="D259" s="28" t="s">
        <v>263</v>
      </c>
      <c r="E259" s="94"/>
      <c r="F259" s="80">
        <v>200</v>
      </c>
      <c r="G259" s="80"/>
      <c r="H259" s="80"/>
      <c r="I259" s="80">
        <v>93</v>
      </c>
      <c r="J259" s="94"/>
      <c r="K259" s="28"/>
      <c r="L259" s="28"/>
    </row>
    <row r="260" spans="1:12" hidden="1" x14ac:dyDescent="0.25">
      <c r="A260" s="1779"/>
      <c r="B260" s="1710"/>
      <c r="C260" s="1403"/>
      <c r="D260" s="28" t="s">
        <v>357</v>
      </c>
      <c r="E260" s="94"/>
      <c r="F260" s="97">
        <f>(F259/F257)*100</f>
        <v>33.333333333333329</v>
      </c>
      <c r="G260" s="94"/>
      <c r="H260" s="94"/>
      <c r="I260" s="97">
        <f>I259/I257*100</f>
        <v>27.927927927927925</v>
      </c>
      <c r="J260" s="94"/>
      <c r="K260" s="28"/>
      <c r="L260" s="28"/>
    </row>
    <row r="261" spans="1:12" hidden="1" x14ac:dyDescent="0.25">
      <c r="A261" s="1779"/>
      <c r="B261" s="1710"/>
      <c r="C261" s="1403" t="s">
        <v>406</v>
      </c>
      <c r="D261" s="144" t="s">
        <v>251</v>
      </c>
      <c r="E261" s="94"/>
      <c r="F261" s="80">
        <v>475</v>
      </c>
      <c r="G261" s="80"/>
      <c r="H261" s="80"/>
      <c r="I261" s="80">
        <v>627</v>
      </c>
      <c r="J261" s="94"/>
      <c r="K261" s="28"/>
      <c r="L261" s="28"/>
    </row>
    <row r="262" spans="1:12" hidden="1" x14ac:dyDescent="0.25">
      <c r="A262" s="1779"/>
      <c r="B262" s="1710"/>
      <c r="C262" s="1403"/>
      <c r="D262" s="28" t="s">
        <v>257</v>
      </c>
      <c r="E262" s="94"/>
      <c r="F262" s="80">
        <v>290</v>
      </c>
      <c r="G262" s="80"/>
      <c r="H262" s="80"/>
      <c r="I262" s="80">
        <v>489</v>
      </c>
      <c r="J262" s="94"/>
      <c r="K262" s="28"/>
      <c r="L262" s="28"/>
    </row>
    <row r="263" spans="1:12" hidden="1" x14ac:dyDescent="0.25">
      <c r="A263" s="1779"/>
      <c r="B263" s="1710"/>
      <c r="C263" s="1403"/>
      <c r="D263" s="28" t="s">
        <v>263</v>
      </c>
      <c r="E263" s="94"/>
      <c r="F263" s="80">
        <v>185</v>
      </c>
      <c r="G263" s="80"/>
      <c r="H263" s="80"/>
      <c r="I263" s="80">
        <v>141</v>
      </c>
      <c r="J263" s="94"/>
      <c r="K263" s="28"/>
      <c r="L263" s="28"/>
    </row>
    <row r="264" spans="1:12" hidden="1" x14ac:dyDescent="0.25">
      <c r="A264" s="1779"/>
      <c r="B264" s="1710"/>
      <c r="C264" s="1403"/>
      <c r="D264" s="28" t="s">
        <v>357</v>
      </c>
      <c r="E264" s="94"/>
      <c r="F264" s="97">
        <f>(F263/F261)*100</f>
        <v>38.94736842105263</v>
      </c>
      <c r="G264" s="94"/>
      <c r="H264" s="94"/>
      <c r="I264" s="97">
        <f>I263/I261*100</f>
        <v>22.488038277511961</v>
      </c>
      <c r="J264" s="94"/>
      <c r="K264" s="28"/>
      <c r="L264" s="28"/>
    </row>
    <row r="265" spans="1:12" hidden="1" x14ac:dyDescent="0.25">
      <c r="A265" s="1779"/>
      <c r="B265" s="1710"/>
      <c r="C265" s="1403" t="s">
        <v>407</v>
      </c>
      <c r="D265" s="144" t="s">
        <v>251</v>
      </c>
      <c r="E265" s="94"/>
      <c r="F265" s="80">
        <v>725</v>
      </c>
      <c r="G265" s="80"/>
      <c r="H265" s="80"/>
      <c r="I265" s="80">
        <v>480</v>
      </c>
      <c r="J265" s="94"/>
      <c r="K265" s="28"/>
      <c r="L265" s="28"/>
    </row>
    <row r="266" spans="1:12" hidden="1" x14ac:dyDescent="0.25">
      <c r="A266" s="1779"/>
      <c r="B266" s="1710"/>
      <c r="C266" s="1403"/>
      <c r="D266" s="28" t="s">
        <v>257</v>
      </c>
      <c r="E266" s="94"/>
      <c r="F266" s="80">
        <v>530</v>
      </c>
      <c r="G266" s="80"/>
      <c r="H266" s="80"/>
      <c r="I266" s="80">
        <v>360</v>
      </c>
      <c r="J266" s="94"/>
      <c r="K266" s="28"/>
      <c r="L266" s="28"/>
    </row>
    <row r="267" spans="1:12" hidden="1" x14ac:dyDescent="0.25">
      <c r="A267" s="1779"/>
      <c r="B267" s="1710"/>
      <c r="C267" s="1403"/>
      <c r="D267" s="28" t="s">
        <v>263</v>
      </c>
      <c r="E267" s="94"/>
      <c r="F267" s="80">
        <v>195</v>
      </c>
      <c r="G267" s="80"/>
      <c r="H267" s="80"/>
      <c r="I267" s="80">
        <v>120</v>
      </c>
      <c r="J267" s="94"/>
      <c r="K267" s="28"/>
      <c r="L267" s="28"/>
    </row>
    <row r="268" spans="1:12" hidden="1" x14ac:dyDescent="0.25">
      <c r="A268" s="1779"/>
      <c r="B268" s="1710"/>
      <c r="C268" s="1403"/>
      <c r="D268" s="28" t="s">
        <v>357</v>
      </c>
      <c r="E268" s="94"/>
      <c r="F268" s="97">
        <f>(F267/F265)*100</f>
        <v>26.896551724137929</v>
      </c>
      <c r="G268" s="94"/>
      <c r="H268" s="94"/>
      <c r="I268" s="97">
        <f>I267/I265*100</f>
        <v>25</v>
      </c>
      <c r="J268" s="94"/>
      <c r="K268" s="28"/>
      <c r="L268" s="28"/>
    </row>
    <row r="269" spans="1:12" hidden="1" x14ac:dyDescent="0.25">
      <c r="A269" s="1779"/>
      <c r="B269" s="1710"/>
      <c r="C269" s="1403" t="s">
        <v>408</v>
      </c>
      <c r="D269" s="144" t="s">
        <v>251</v>
      </c>
      <c r="E269" s="94"/>
      <c r="F269" s="80">
        <v>345</v>
      </c>
      <c r="G269" s="80"/>
      <c r="H269" s="80"/>
      <c r="I269" s="80">
        <v>279</v>
      </c>
      <c r="J269" s="94"/>
      <c r="K269" s="28"/>
      <c r="L269" s="28"/>
    </row>
    <row r="270" spans="1:12" hidden="1" x14ac:dyDescent="0.25">
      <c r="A270" s="1779"/>
      <c r="B270" s="1710"/>
      <c r="C270" s="1403"/>
      <c r="D270" s="28" t="s">
        <v>257</v>
      </c>
      <c r="E270" s="94"/>
      <c r="F270" s="80">
        <v>280</v>
      </c>
      <c r="G270" s="80"/>
      <c r="H270" s="80"/>
      <c r="I270" s="80">
        <v>240</v>
      </c>
      <c r="J270" s="94"/>
      <c r="K270" s="28"/>
      <c r="L270" s="28"/>
    </row>
    <row r="271" spans="1:12" hidden="1" x14ac:dyDescent="0.25">
      <c r="A271" s="1779"/>
      <c r="B271" s="1710"/>
      <c r="C271" s="1403"/>
      <c r="D271" s="28" t="s">
        <v>263</v>
      </c>
      <c r="E271" s="94"/>
      <c r="F271" s="80">
        <v>65</v>
      </c>
      <c r="G271" s="80"/>
      <c r="H271" s="80"/>
      <c r="I271" s="80">
        <v>42</v>
      </c>
      <c r="J271" s="94"/>
      <c r="K271" s="28"/>
      <c r="L271" s="28"/>
    </row>
    <row r="272" spans="1:12" hidden="1" x14ac:dyDescent="0.25">
      <c r="A272" s="1779"/>
      <c r="B272" s="1710"/>
      <c r="C272" s="1403"/>
      <c r="D272" s="28" t="s">
        <v>357</v>
      </c>
      <c r="E272" s="94"/>
      <c r="F272" s="97">
        <f>(F271/F269)*100</f>
        <v>18.840579710144929</v>
      </c>
      <c r="G272" s="94"/>
      <c r="H272" s="94"/>
      <c r="I272" s="97">
        <f>I271/I269*100</f>
        <v>15.053763440860216</v>
      </c>
      <c r="J272" s="94"/>
      <c r="K272" s="28"/>
      <c r="L272" s="28"/>
    </row>
    <row r="273" spans="1:12" ht="14.85" hidden="1" customHeight="1" x14ac:dyDescent="0.25">
      <c r="A273" s="1779"/>
      <c r="B273" s="1710"/>
      <c r="C273" s="1403" t="s">
        <v>409</v>
      </c>
      <c r="D273" s="144" t="s">
        <v>251</v>
      </c>
      <c r="E273" s="94"/>
      <c r="F273" s="80">
        <v>470</v>
      </c>
      <c r="G273" s="80"/>
      <c r="H273" s="80"/>
      <c r="I273" s="80">
        <v>318</v>
      </c>
      <c r="J273" s="94"/>
      <c r="K273" s="28"/>
      <c r="L273" s="28"/>
    </row>
    <row r="274" spans="1:12" ht="14.85" hidden="1" customHeight="1" x14ac:dyDescent="0.25">
      <c r="A274" s="1779"/>
      <c r="B274" s="1710"/>
      <c r="C274" s="1403"/>
      <c r="D274" s="28" t="s">
        <v>257</v>
      </c>
      <c r="E274" s="94"/>
      <c r="F274" s="80">
        <v>415</v>
      </c>
      <c r="G274" s="80"/>
      <c r="H274" s="80"/>
      <c r="I274" s="80">
        <v>297</v>
      </c>
      <c r="J274" s="94"/>
      <c r="K274" s="28"/>
      <c r="L274" s="28"/>
    </row>
    <row r="275" spans="1:12" hidden="1" x14ac:dyDescent="0.25">
      <c r="A275" s="1779"/>
      <c r="B275" s="1710"/>
      <c r="C275" s="1403"/>
      <c r="D275" s="28" t="s">
        <v>263</v>
      </c>
      <c r="E275" s="94"/>
      <c r="F275" s="80">
        <v>55</v>
      </c>
      <c r="G275" s="80"/>
      <c r="H275" s="80"/>
      <c r="I275" s="80">
        <v>21</v>
      </c>
      <c r="J275" s="94"/>
      <c r="K275" s="28"/>
      <c r="L275" s="28"/>
    </row>
    <row r="276" spans="1:12" hidden="1" x14ac:dyDescent="0.25">
      <c r="A276" s="1779"/>
      <c r="B276" s="1710"/>
      <c r="C276" s="1403"/>
      <c r="D276" s="28" t="s">
        <v>357</v>
      </c>
      <c r="E276" s="94"/>
      <c r="F276" s="97">
        <f>(F275/F273)*100</f>
        <v>11.702127659574469</v>
      </c>
      <c r="G276" s="94"/>
      <c r="H276" s="94"/>
      <c r="I276" s="97">
        <f>I275/I273*100</f>
        <v>6.6037735849056602</v>
      </c>
      <c r="J276" s="94"/>
      <c r="K276" s="28"/>
      <c r="L276" s="28"/>
    </row>
    <row r="277" spans="1:12" hidden="1" x14ac:dyDescent="0.25">
      <c r="A277" s="1779"/>
      <c r="B277" s="1710"/>
      <c r="C277" s="1403" t="s">
        <v>410</v>
      </c>
      <c r="D277" s="144" t="s">
        <v>251</v>
      </c>
      <c r="E277" s="94"/>
      <c r="F277" s="80">
        <v>4565</v>
      </c>
      <c r="G277" s="80"/>
      <c r="H277" s="80"/>
      <c r="I277" s="80">
        <v>4563</v>
      </c>
      <c r="J277" s="94"/>
      <c r="K277" s="28"/>
      <c r="L277" s="28"/>
    </row>
    <row r="278" spans="1:12" hidden="1" x14ac:dyDescent="0.25">
      <c r="A278" s="1779"/>
      <c r="B278" s="1710"/>
      <c r="C278" s="1403"/>
      <c r="D278" s="28" t="s">
        <v>257</v>
      </c>
      <c r="E278" s="94"/>
      <c r="F278" s="80">
        <v>4230</v>
      </c>
      <c r="G278" s="80"/>
      <c r="H278" s="80"/>
      <c r="I278" s="80">
        <v>4230</v>
      </c>
      <c r="J278" s="94"/>
      <c r="K278" s="28"/>
      <c r="L278" s="28"/>
    </row>
    <row r="279" spans="1:12" hidden="1" x14ac:dyDescent="0.25">
      <c r="A279" s="1779"/>
      <c r="B279" s="1710"/>
      <c r="C279" s="1403"/>
      <c r="D279" s="28" t="s">
        <v>263</v>
      </c>
      <c r="E279" s="94"/>
      <c r="F279" s="80">
        <v>330</v>
      </c>
      <c r="G279" s="80"/>
      <c r="H279" s="80"/>
      <c r="I279" s="80">
        <v>333</v>
      </c>
      <c r="J279" s="94"/>
      <c r="K279" s="28"/>
      <c r="L279" s="28"/>
    </row>
    <row r="280" spans="1:12" hidden="1" x14ac:dyDescent="0.25">
      <c r="A280" s="1779"/>
      <c r="B280" s="1710"/>
      <c r="C280" s="1403"/>
      <c r="D280" s="28" t="s">
        <v>357</v>
      </c>
      <c r="E280" s="94"/>
      <c r="F280" s="97">
        <f>(F279/F277)*100</f>
        <v>7.2289156626506017</v>
      </c>
      <c r="G280" s="94"/>
      <c r="H280" s="94"/>
      <c r="I280" s="97">
        <f>I279/I277*100</f>
        <v>7.2978303747534516</v>
      </c>
      <c r="J280" s="94"/>
      <c r="K280" s="28"/>
      <c r="L280" s="28"/>
    </row>
    <row r="281" spans="1:12" hidden="1" x14ac:dyDescent="0.25">
      <c r="A281" s="1779"/>
      <c r="B281" s="1710"/>
      <c r="C281" s="1403" t="s">
        <v>411</v>
      </c>
      <c r="D281" s="144" t="s">
        <v>251</v>
      </c>
      <c r="E281" s="94"/>
      <c r="F281" s="80">
        <v>3880</v>
      </c>
      <c r="G281" s="80"/>
      <c r="H281" s="80"/>
      <c r="I281" s="80">
        <v>5430</v>
      </c>
      <c r="J281" s="94"/>
      <c r="K281" s="28"/>
      <c r="L281" s="28"/>
    </row>
    <row r="282" spans="1:12" hidden="1" x14ac:dyDescent="0.25">
      <c r="A282" s="1779"/>
      <c r="B282" s="1710"/>
      <c r="C282" s="1403"/>
      <c r="D282" s="28" t="s">
        <v>257</v>
      </c>
      <c r="E282" s="94"/>
      <c r="F282" s="80">
        <v>105</v>
      </c>
      <c r="G282" s="80"/>
      <c r="H282" s="80"/>
      <c r="I282" s="80">
        <v>192</v>
      </c>
      <c r="J282" s="94"/>
      <c r="K282" s="28"/>
      <c r="L282" s="28"/>
    </row>
    <row r="283" spans="1:12" hidden="1" x14ac:dyDescent="0.25">
      <c r="A283" s="1779"/>
      <c r="B283" s="1710"/>
      <c r="C283" s="1403"/>
      <c r="D283" s="28" t="s">
        <v>263</v>
      </c>
      <c r="E283" s="94"/>
      <c r="F283" s="80">
        <v>3775</v>
      </c>
      <c r="G283" s="80"/>
      <c r="H283" s="80"/>
      <c r="I283" s="80">
        <v>5235</v>
      </c>
      <c r="J283" s="94"/>
      <c r="K283" s="28"/>
      <c r="L283" s="28"/>
    </row>
    <row r="284" spans="1:12" hidden="1" x14ac:dyDescent="0.25">
      <c r="A284" s="1779"/>
      <c r="B284" s="1710"/>
      <c r="C284" s="1403"/>
      <c r="D284" s="28" t="s">
        <v>357</v>
      </c>
      <c r="E284" s="94"/>
      <c r="F284" s="99">
        <f>(F283/F281)*100</f>
        <v>97.293814432989691</v>
      </c>
      <c r="G284" s="94"/>
      <c r="H284" s="94"/>
      <c r="I284" s="99">
        <f>I283/I281*100</f>
        <v>96.408839779005532</v>
      </c>
      <c r="J284" s="94"/>
      <c r="K284" s="28"/>
      <c r="L284" s="28"/>
    </row>
    <row r="285" spans="1:12" hidden="1" x14ac:dyDescent="0.25">
      <c r="A285" s="1779"/>
      <c r="B285" s="1710"/>
      <c r="C285" s="1403" t="s">
        <v>412</v>
      </c>
      <c r="D285" s="144" t="s">
        <v>251</v>
      </c>
      <c r="E285" s="94"/>
      <c r="F285" s="80">
        <v>5730</v>
      </c>
      <c r="G285" s="80"/>
      <c r="H285" s="80"/>
      <c r="I285" s="80">
        <v>7617</v>
      </c>
      <c r="J285" s="94"/>
      <c r="K285" s="28"/>
      <c r="L285" s="28"/>
    </row>
    <row r="286" spans="1:12" hidden="1" x14ac:dyDescent="0.25">
      <c r="A286" s="1779"/>
      <c r="B286" s="1710"/>
      <c r="C286" s="1403"/>
      <c r="D286" s="28" t="s">
        <v>257</v>
      </c>
      <c r="E286" s="94"/>
      <c r="F286" s="80">
        <v>965</v>
      </c>
      <c r="G286" s="80"/>
      <c r="H286" s="80"/>
      <c r="I286" s="80">
        <v>1536</v>
      </c>
      <c r="J286" s="94"/>
      <c r="K286" s="28"/>
      <c r="L286" s="28"/>
    </row>
    <row r="287" spans="1:12" hidden="1" x14ac:dyDescent="0.25">
      <c r="A287" s="1779"/>
      <c r="B287" s="1710"/>
      <c r="C287" s="1403"/>
      <c r="D287" s="28" t="s">
        <v>263</v>
      </c>
      <c r="E287" s="94"/>
      <c r="F287" s="80">
        <v>4765</v>
      </c>
      <c r="G287" s="80"/>
      <c r="H287" s="80"/>
      <c r="I287" s="80">
        <v>6081</v>
      </c>
      <c r="J287" s="94"/>
      <c r="K287" s="28"/>
      <c r="L287" s="28"/>
    </row>
    <row r="288" spans="1:12" hidden="1" x14ac:dyDescent="0.25">
      <c r="A288" s="1779"/>
      <c r="B288" s="1710"/>
      <c r="C288" s="1403"/>
      <c r="D288" s="28" t="s">
        <v>357</v>
      </c>
      <c r="E288" s="94"/>
      <c r="F288" s="99">
        <f>(F287/F285)*100</f>
        <v>83.158813263525317</v>
      </c>
      <c r="G288" s="94"/>
      <c r="H288" s="94"/>
      <c r="I288" s="99">
        <f>I287/I285*100</f>
        <v>79.834580543521071</v>
      </c>
      <c r="J288" s="94"/>
      <c r="K288" s="28"/>
      <c r="L288" s="28"/>
    </row>
    <row r="289" spans="1:12" hidden="1" x14ac:dyDescent="0.25">
      <c r="A289" s="1779"/>
      <c r="B289" s="1710"/>
      <c r="C289" s="1403" t="s">
        <v>413</v>
      </c>
      <c r="D289" s="144" t="s">
        <v>251</v>
      </c>
      <c r="E289" s="94"/>
      <c r="F289" s="80">
        <v>1260</v>
      </c>
      <c r="G289" s="80"/>
      <c r="H289" s="80"/>
      <c r="I289" s="80">
        <v>813</v>
      </c>
      <c r="J289" s="94"/>
      <c r="K289" s="28"/>
      <c r="L289" s="28"/>
    </row>
    <row r="290" spans="1:12" ht="14.85" hidden="1" customHeight="1" x14ac:dyDescent="0.25">
      <c r="A290" s="1779"/>
      <c r="B290" s="1710"/>
      <c r="C290" s="1403"/>
      <c r="D290" s="28" t="s">
        <v>257</v>
      </c>
      <c r="E290" s="94"/>
      <c r="F290" s="80">
        <v>410</v>
      </c>
      <c r="G290" s="80"/>
      <c r="H290" s="80"/>
      <c r="I290" s="80">
        <v>417</v>
      </c>
      <c r="J290" s="94"/>
      <c r="K290" s="28"/>
      <c r="L290" s="28"/>
    </row>
    <row r="291" spans="1:12" hidden="1" x14ac:dyDescent="0.25">
      <c r="A291" s="1779"/>
      <c r="B291" s="1710"/>
      <c r="C291" s="1403"/>
      <c r="D291" s="28" t="s">
        <v>263</v>
      </c>
      <c r="E291" s="94"/>
      <c r="F291" s="80">
        <v>850</v>
      </c>
      <c r="G291" s="80"/>
      <c r="H291" s="80"/>
      <c r="I291" s="80">
        <v>396</v>
      </c>
      <c r="J291" s="94"/>
      <c r="K291" s="28"/>
      <c r="L291" s="28"/>
    </row>
    <row r="292" spans="1:12" hidden="1" x14ac:dyDescent="0.25">
      <c r="A292" s="1779"/>
      <c r="B292" s="1710"/>
      <c r="C292" s="1403"/>
      <c r="D292" s="28" t="s">
        <v>357</v>
      </c>
      <c r="E292" s="94"/>
      <c r="F292" s="99">
        <f>(F291/F289)*100</f>
        <v>67.460317460317469</v>
      </c>
      <c r="G292" s="94"/>
      <c r="H292" s="94"/>
      <c r="I292" s="98">
        <f>I291/I289*100</f>
        <v>48.708487084870846</v>
      </c>
      <c r="J292" s="94"/>
      <c r="K292" s="28"/>
      <c r="L292" s="28"/>
    </row>
    <row r="293" spans="1:12" ht="14.85" hidden="1" customHeight="1" x14ac:dyDescent="0.25">
      <c r="A293" s="1779"/>
      <c r="B293" s="1710"/>
      <c r="C293" s="1403" t="s">
        <v>414</v>
      </c>
      <c r="D293" s="144" t="s">
        <v>251</v>
      </c>
      <c r="E293" s="94"/>
      <c r="F293" s="80">
        <v>1120</v>
      </c>
      <c r="G293" s="80"/>
      <c r="H293" s="80"/>
      <c r="I293" s="80">
        <v>1734</v>
      </c>
      <c r="J293" s="94"/>
      <c r="K293" s="28"/>
      <c r="L293" s="28"/>
    </row>
    <row r="294" spans="1:12" ht="14.85" hidden="1" customHeight="1" x14ac:dyDescent="0.25">
      <c r="A294" s="1779"/>
      <c r="B294" s="1710"/>
      <c r="C294" s="1403"/>
      <c r="D294" s="28" t="s">
        <v>257</v>
      </c>
      <c r="E294" s="94"/>
      <c r="F294" s="80">
        <v>800</v>
      </c>
      <c r="G294" s="80"/>
      <c r="H294" s="80"/>
      <c r="I294" s="80">
        <v>1260</v>
      </c>
      <c r="J294" s="94"/>
      <c r="K294" s="28"/>
      <c r="L294" s="28"/>
    </row>
    <row r="295" spans="1:12" hidden="1" x14ac:dyDescent="0.25">
      <c r="A295" s="1779"/>
      <c r="B295" s="1710"/>
      <c r="C295" s="1403"/>
      <c r="D295" s="28" t="s">
        <v>263</v>
      </c>
      <c r="E295" s="94"/>
      <c r="F295" s="80">
        <v>320</v>
      </c>
      <c r="G295" s="80"/>
      <c r="H295" s="80"/>
      <c r="I295" s="80">
        <v>471</v>
      </c>
      <c r="J295" s="94"/>
      <c r="K295" s="28"/>
      <c r="L295" s="28"/>
    </row>
    <row r="296" spans="1:12" hidden="1" x14ac:dyDescent="0.25">
      <c r="A296" s="1779"/>
      <c r="B296" s="1710"/>
      <c r="C296" s="1403"/>
      <c r="D296" s="28" t="s">
        <v>357</v>
      </c>
      <c r="E296" s="94"/>
      <c r="F296" s="97">
        <f>(F295/F293)*100</f>
        <v>28.571428571428569</v>
      </c>
      <c r="G296" s="94"/>
      <c r="H296" s="94"/>
      <c r="I296" s="97">
        <f>I295/I293*100</f>
        <v>27.162629757785467</v>
      </c>
      <c r="J296" s="94"/>
      <c r="K296" s="28"/>
      <c r="L296" s="28"/>
    </row>
    <row r="297" spans="1:12" hidden="1" x14ac:dyDescent="0.25">
      <c r="A297" s="1779"/>
      <c r="B297" s="1710"/>
      <c r="C297" s="1403" t="s">
        <v>415</v>
      </c>
      <c r="D297" s="144" t="s">
        <v>251</v>
      </c>
      <c r="E297" s="94"/>
      <c r="F297" s="80">
        <v>120</v>
      </c>
      <c r="G297" s="80"/>
      <c r="H297" s="80"/>
      <c r="I297" s="80">
        <v>246</v>
      </c>
      <c r="J297" s="94"/>
      <c r="K297" s="28"/>
      <c r="L297" s="28"/>
    </row>
    <row r="298" spans="1:12" hidden="1" x14ac:dyDescent="0.25">
      <c r="A298" s="1779"/>
      <c r="B298" s="1710"/>
      <c r="C298" s="1403"/>
      <c r="D298" s="28" t="s">
        <v>257</v>
      </c>
      <c r="E298" s="94"/>
      <c r="F298" s="80">
        <v>25</v>
      </c>
      <c r="G298" s="80"/>
      <c r="H298" s="80"/>
      <c r="I298" s="80">
        <v>210</v>
      </c>
      <c r="J298" s="94"/>
      <c r="K298" s="28"/>
      <c r="L298" s="28"/>
    </row>
    <row r="299" spans="1:12" hidden="1" x14ac:dyDescent="0.25">
      <c r="A299" s="1779"/>
      <c r="B299" s="1710"/>
      <c r="C299" s="1403"/>
      <c r="D299" s="28" t="s">
        <v>263</v>
      </c>
      <c r="E299" s="94"/>
      <c r="F299" s="80">
        <v>100</v>
      </c>
      <c r="G299" s="80"/>
      <c r="H299" s="80"/>
      <c r="I299" s="80">
        <v>36</v>
      </c>
      <c r="J299" s="94"/>
      <c r="K299" s="28"/>
      <c r="L299" s="28"/>
    </row>
    <row r="300" spans="1:12" hidden="1" x14ac:dyDescent="0.25">
      <c r="A300" s="1779"/>
      <c r="B300" s="1710"/>
      <c r="C300" s="1403"/>
      <c r="D300" s="28" t="s">
        <v>357</v>
      </c>
      <c r="E300" s="94"/>
      <c r="F300" s="99">
        <f>(F299/F297)*100</f>
        <v>83.333333333333343</v>
      </c>
      <c r="G300" s="94"/>
      <c r="H300" s="94"/>
      <c r="I300" s="97">
        <f>I299/I297*100</f>
        <v>14.634146341463413</v>
      </c>
      <c r="J300" s="94"/>
      <c r="K300" s="28"/>
      <c r="L300" s="28"/>
    </row>
    <row r="301" spans="1:12" hidden="1" x14ac:dyDescent="0.25">
      <c r="A301" s="1779"/>
      <c r="B301" s="1710"/>
      <c r="C301" s="1403" t="s">
        <v>416</v>
      </c>
      <c r="D301" s="144" t="s">
        <v>251</v>
      </c>
      <c r="E301" s="94"/>
      <c r="F301" s="80">
        <v>645</v>
      </c>
      <c r="G301" s="80"/>
      <c r="H301" s="80"/>
      <c r="I301" s="80">
        <v>423</v>
      </c>
      <c r="J301" s="94"/>
      <c r="K301" s="28"/>
      <c r="L301" s="28"/>
    </row>
    <row r="302" spans="1:12" hidden="1" x14ac:dyDescent="0.25">
      <c r="A302" s="1779"/>
      <c r="B302" s="1710"/>
      <c r="C302" s="1403"/>
      <c r="D302" s="28" t="s">
        <v>257</v>
      </c>
      <c r="E302" s="94"/>
      <c r="F302" s="80">
        <v>475</v>
      </c>
      <c r="G302" s="80"/>
      <c r="H302" s="80"/>
      <c r="I302" s="80">
        <v>417</v>
      </c>
      <c r="J302" s="94"/>
      <c r="K302" s="28"/>
      <c r="L302" s="28"/>
    </row>
    <row r="303" spans="1:12" hidden="1" x14ac:dyDescent="0.25">
      <c r="A303" s="1779"/>
      <c r="B303" s="1710"/>
      <c r="C303" s="1403"/>
      <c r="D303" s="28" t="s">
        <v>263</v>
      </c>
      <c r="E303" s="94"/>
      <c r="F303" s="80">
        <v>170</v>
      </c>
      <c r="G303" s="80"/>
      <c r="H303" s="80"/>
      <c r="I303" s="80">
        <v>6</v>
      </c>
      <c r="J303" s="94"/>
      <c r="K303" s="28"/>
      <c r="L303" s="28"/>
    </row>
    <row r="304" spans="1:12" hidden="1" x14ac:dyDescent="0.25">
      <c r="A304" s="1779"/>
      <c r="B304" s="1710"/>
      <c r="C304" s="1403"/>
      <c r="D304" s="28" t="s">
        <v>357</v>
      </c>
      <c r="E304" s="94"/>
      <c r="F304" s="97">
        <f>(F303/F301)*100</f>
        <v>26.356589147286826</v>
      </c>
      <c r="G304" s="94"/>
      <c r="H304" s="94"/>
      <c r="I304" s="97">
        <f>I303/I301*100</f>
        <v>1.4184397163120568</v>
      </c>
      <c r="J304" s="94"/>
      <c r="K304" s="28"/>
      <c r="L304" s="28"/>
    </row>
    <row r="305" spans="1:12" hidden="1" x14ac:dyDescent="0.25">
      <c r="A305" s="1779"/>
      <c r="B305" s="1710"/>
      <c r="C305" s="1403" t="s">
        <v>417</v>
      </c>
      <c r="D305" s="144" t="s">
        <v>251</v>
      </c>
      <c r="E305" s="94"/>
      <c r="F305" s="80">
        <v>415</v>
      </c>
      <c r="G305" s="80"/>
      <c r="H305" s="80"/>
      <c r="I305" s="80">
        <v>729</v>
      </c>
      <c r="J305" s="94"/>
      <c r="K305" s="28"/>
      <c r="L305" s="28"/>
    </row>
    <row r="306" spans="1:12" hidden="1" x14ac:dyDescent="0.25">
      <c r="A306" s="1779"/>
      <c r="B306" s="1710"/>
      <c r="C306" s="1403"/>
      <c r="D306" s="28" t="s">
        <v>257</v>
      </c>
      <c r="E306" s="94"/>
      <c r="F306" s="80">
        <v>305</v>
      </c>
      <c r="G306" s="80"/>
      <c r="H306" s="80"/>
      <c r="I306" s="80">
        <v>525</v>
      </c>
      <c r="J306" s="94"/>
      <c r="K306" s="28"/>
      <c r="L306" s="28"/>
    </row>
    <row r="307" spans="1:12" hidden="1" x14ac:dyDescent="0.25">
      <c r="A307" s="1779"/>
      <c r="B307" s="1710"/>
      <c r="C307" s="1403"/>
      <c r="D307" s="28" t="s">
        <v>263</v>
      </c>
      <c r="E307" s="94"/>
      <c r="F307" s="80">
        <v>110</v>
      </c>
      <c r="G307" s="80"/>
      <c r="H307" s="80"/>
      <c r="I307" s="80">
        <v>204</v>
      </c>
      <c r="J307" s="94"/>
      <c r="K307" s="28"/>
      <c r="L307" s="28"/>
    </row>
    <row r="308" spans="1:12" hidden="1" x14ac:dyDescent="0.25">
      <c r="A308" s="1779"/>
      <c r="B308" s="1710"/>
      <c r="C308" s="1403"/>
      <c r="D308" s="28" t="s">
        <v>357</v>
      </c>
      <c r="E308" s="94"/>
      <c r="F308" s="97">
        <f>F307/F305*100</f>
        <v>26.506024096385545</v>
      </c>
      <c r="G308" s="94"/>
      <c r="H308" s="94"/>
      <c r="I308" s="97">
        <f>I307/I305*100</f>
        <v>27.983539094650205</v>
      </c>
      <c r="J308" s="94"/>
      <c r="K308" s="28"/>
      <c r="L308" s="28"/>
    </row>
    <row r="309" spans="1:12" hidden="1" x14ac:dyDescent="0.25">
      <c r="A309" s="1779"/>
      <c r="B309" s="1710"/>
      <c r="C309" s="1403" t="s">
        <v>418</v>
      </c>
      <c r="D309" s="144" t="s">
        <v>251</v>
      </c>
      <c r="E309" s="94"/>
      <c r="F309" s="80">
        <v>1245</v>
      </c>
      <c r="G309" s="80"/>
      <c r="H309" s="80"/>
      <c r="I309" s="80">
        <v>2196</v>
      </c>
      <c r="J309" s="94"/>
      <c r="K309" s="28"/>
      <c r="L309" s="28"/>
    </row>
    <row r="310" spans="1:12" hidden="1" x14ac:dyDescent="0.25">
      <c r="A310" s="1779"/>
      <c r="B310" s="1710"/>
      <c r="C310" s="1403"/>
      <c r="D310" s="28" t="s">
        <v>263</v>
      </c>
      <c r="E310" s="94"/>
      <c r="F310" s="80">
        <v>950</v>
      </c>
      <c r="G310" s="80"/>
      <c r="H310" s="80"/>
      <c r="I310" s="80">
        <v>1749</v>
      </c>
      <c r="J310" s="94"/>
      <c r="K310" s="28"/>
      <c r="L310" s="28"/>
    </row>
    <row r="311" spans="1:12" ht="14.85" hidden="1" customHeight="1" x14ac:dyDescent="0.25">
      <c r="A311" s="1779"/>
      <c r="B311" s="1710"/>
      <c r="C311" s="1403"/>
      <c r="D311" s="28" t="s">
        <v>257</v>
      </c>
      <c r="E311" s="94"/>
      <c r="F311" s="80">
        <v>295</v>
      </c>
      <c r="G311" s="80"/>
      <c r="H311" s="80"/>
      <c r="I311" s="80">
        <v>450</v>
      </c>
      <c r="J311" s="94"/>
      <c r="K311" s="28"/>
      <c r="L311" s="28"/>
    </row>
    <row r="312" spans="1:12" hidden="1" x14ac:dyDescent="0.25">
      <c r="A312" s="1779"/>
      <c r="B312" s="1710"/>
      <c r="C312" s="1403"/>
      <c r="D312" s="28" t="s">
        <v>357</v>
      </c>
      <c r="E312" s="94"/>
      <c r="F312" s="97">
        <f>(F311/F309)*100</f>
        <v>23.694779116465863</v>
      </c>
      <c r="G312" s="94"/>
      <c r="H312" s="94"/>
      <c r="I312" s="97">
        <f>I311/I309*100</f>
        <v>20.491803278688526</v>
      </c>
      <c r="J312" s="94"/>
      <c r="K312" s="28"/>
      <c r="L312" s="28"/>
    </row>
    <row r="313" spans="1:12" x14ac:dyDescent="0.25">
      <c r="A313" s="1779"/>
      <c r="B313" s="1710"/>
      <c r="C313" s="1110" t="s">
        <v>419</v>
      </c>
      <c r="D313" s="1110"/>
      <c r="E313" s="94"/>
      <c r="F313" s="100">
        <f>33/60*100</f>
        <v>55.000000000000007</v>
      </c>
      <c r="G313" s="92"/>
      <c r="H313" s="92"/>
      <c r="I313" s="101">
        <f>32/61*100</f>
        <v>52.459016393442624</v>
      </c>
      <c r="J313" s="92"/>
      <c r="K313" s="28"/>
      <c r="L313" s="28"/>
    </row>
    <row r="314" spans="1:12" x14ac:dyDescent="0.25">
      <c r="A314" s="1779"/>
      <c r="B314" s="1710"/>
      <c r="C314" s="1110" t="s">
        <v>420</v>
      </c>
      <c r="D314" s="1110"/>
      <c r="E314" s="94"/>
      <c r="F314" s="102">
        <f>17/60*100</f>
        <v>28.333333333333332</v>
      </c>
      <c r="G314" s="92"/>
      <c r="H314" s="92"/>
      <c r="I314" s="102">
        <f>15/61*100</f>
        <v>24.590163934426229</v>
      </c>
      <c r="J314" s="92"/>
      <c r="K314" s="28"/>
      <c r="L314" s="28"/>
    </row>
    <row r="315" spans="1:12" x14ac:dyDescent="0.25">
      <c r="A315" s="1780"/>
      <c r="B315" s="1723"/>
      <c r="C315" s="1157" t="s">
        <v>421</v>
      </c>
      <c r="D315" s="1157"/>
      <c r="E315" s="126"/>
      <c r="F315" s="127">
        <f>10/60*100</f>
        <v>16.666666666666664</v>
      </c>
      <c r="G315" s="128"/>
      <c r="H315" s="128"/>
      <c r="I315" s="127">
        <f>14/61*100</f>
        <v>22.950819672131146</v>
      </c>
      <c r="J315" s="128"/>
      <c r="K315" s="110"/>
      <c r="L315" s="110"/>
    </row>
    <row r="316" spans="1:12" ht="16.5" thickBot="1" x14ac:dyDescent="0.3">
      <c r="A316" s="338" t="s">
        <v>248</v>
      </c>
      <c r="B316" s="463" t="s">
        <v>249</v>
      </c>
      <c r="C316" s="1433"/>
      <c r="D316" s="1433"/>
      <c r="E316" s="616">
        <v>2005</v>
      </c>
      <c r="F316" s="616">
        <v>2010</v>
      </c>
      <c r="G316" s="616">
        <v>2015</v>
      </c>
      <c r="H316" s="616">
        <v>2020</v>
      </c>
      <c r="I316" s="616">
        <v>2021</v>
      </c>
      <c r="J316" s="616">
        <v>2022</v>
      </c>
      <c r="K316" s="616">
        <v>2023</v>
      </c>
      <c r="L316" s="616">
        <v>2024</v>
      </c>
    </row>
    <row r="317" spans="1:12" ht="15" customHeight="1" x14ac:dyDescent="0.25">
      <c r="A317" s="1864" t="s">
        <v>422</v>
      </c>
      <c r="B317" s="1408" t="s">
        <v>164</v>
      </c>
      <c r="C317" s="1520" t="s">
        <v>424</v>
      </c>
      <c r="D317" s="1520"/>
      <c r="E317" s="36"/>
      <c r="F317" s="37">
        <v>790.99</v>
      </c>
      <c r="G317" s="37">
        <v>881.95</v>
      </c>
      <c r="H317" s="37">
        <v>986</v>
      </c>
      <c r="I317" s="37">
        <v>1012</v>
      </c>
      <c r="J317" s="37">
        <v>1034</v>
      </c>
      <c r="K317" s="37">
        <v>1171</v>
      </c>
      <c r="L317" s="209">
        <v>1201</v>
      </c>
    </row>
    <row r="318" spans="1:12" x14ac:dyDescent="0.25">
      <c r="A318" s="1865"/>
      <c r="B318" s="1272"/>
      <c r="C318" s="1331" t="s">
        <v>425</v>
      </c>
      <c r="D318" s="1331"/>
      <c r="E318" s="28"/>
      <c r="F318" s="29">
        <v>1011</v>
      </c>
      <c r="G318" s="29">
        <v>1124.24</v>
      </c>
      <c r="H318" s="29">
        <v>1224</v>
      </c>
      <c r="I318" s="29">
        <v>1261</v>
      </c>
      <c r="J318" s="29">
        <v>1285</v>
      </c>
      <c r="K318" s="29">
        <v>1447</v>
      </c>
      <c r="L318" s="30">
        <v>1473</v>
      </c>
    </row>
    <row r="319" spans="1:12" x14ac:dyDescent="0.25">
      <c r="A319" s="1865"/>
      <c r="B319" s="1272"/>
      <c r="C319" s="1331" t="s">
        <v>426</v>
      </c>
      <c r="D319" s="1331"/>
      <c r="E319" s="28"/>
      <c r="F319" s="29">
        <v>596.55999999999995</v>
      </c>
      <c r="G319" s="29">
        <v>671.01</v>
      </c>
      <c r="H319" s="29">
        <v>788</v>
      </c>
      <c r="I319" s="29">
        <v>813</v>
      </c>
      <c r="J319" s="29">
        <v>836</v>
      </c>
      <c r="K319" s="29">
        <v>952</v>
      </c>
      <c r="L319" s="30">
        <v>995</v>
      </c>
    </row>
    <row r="320" spans="1:12" x14ac:dyDescent="0.25">
      <c r="A320" s="1865"/>
      <c r="B320" s="1272"/>
      <c r="C320" s="1333" t="s">
        <v>427</v>
      </c>
      <c r="D320" s="1333"/>
      <c r="E320" s="28"/>
      <c r="F320" s="31">
        <f t="shared" ref="F320:L320" si="17">+F319-F318</f>
        <v>-414.44000000000005</v>
      </c>
      <c r="G320" s="31">
        <f t="shared" si="17"/>
        <v>-453.23</v>
      </c>
      <c r="H320" s="31">
        <f t="shared" si="17"/>
        <v>-436</v>
      </c>
      <c r="I320" s="31">
        <f t="shared" si="17"/>
        <v>-448</v>
      </c>
      <c r="J320" s="31">
        <f t="shared" si="17"/>
        <v>-449</v>
      </c>
      <c r="K320" s="31">
        <f t="shared" si="17"/>
        <v>-495</v>
      </c>
      <c r="L320" s="32">
        <f t="shared" si="17"/>
        <v>-478</v>
      </c>
    </row>
    <row r="321" spans="1:12" ht="16.5" thickBot="1" x14ac:dyDescent="0.3">
      <c r="A321" s="1865"/>
      <c r="B321" s="1409"/>
      <c r="C321" s="1335" t="s">
        <v>428</v>
      </c>
      <c r="D321" s="1335"/>
      <c r="E321" s="33"/>
      <c r="F321" s="34">
        <f t="shared" ref="F321:L321" si="18">(F319-F318)/F318*100</f>
        <v>-40.993076162215637</v>
      </c>
      <c r="G321" s="34">
        <f t="shared" si="18"/>
        <v>-40.314345691311466</v>
      </c>
      <c r="H321" s="34">
        <f t="shared" si="18"/>
        <v>-35.62091503267974</v>
      </c>
      <c r="I321" s="34">
        <f t="shared" si="18"/>
        <v>-35.527359238699447</v>
      </c>
      <c r="J321" s="34">
        <f t="shared" si="18"/>
        <v>-34.941634241245133</v>
      </c>
      <c r="K321" s="890">
        <f t="shared" si="18"/>
        <v>-34.208707671043534</v>
      </c>
      <c r="L321" s="891">
        <f t="shared" si="18"/>
        <v>-32.450780719619829</v>
      </c>
    </row>
    <row r="322" spans="1:12" ht="15" customHeight="1" x14ac:dyDescent="0.25">
      <c r="A322" s="1865"/>
      <c r="B322" s="1408" t="s">
        <v>429</v>
      </c>
      <c r="C322" s="1147" t="s">
        <v>430</v>
      </c>
      <c r="D322" s="1147"/>
      <c r="E322" s="36"/>
      <c r="F322" s="40"/>
      <c r="G322" s="37">
        <v>36.250728601533424</v>
      </c>
      <c r="H322" s="37">
        <v>33.866666666666667</v>
      </c>
      <c r="I322" s="37">
        <v>35.403828325244042</v>
      </c>
      <c r="J322" s="37">
        <v>38.768870380010412</v>
      </c>
      <c r="K322" s="37">
        <v>39.587873984545276</v>
      </c>
      <c r="L322" s="20">
        <v>39.799999999999997</v>
      </c>
    </row>
    <row r="323" spans="1:12" x14ac:dyDescent="0.25">
      <c r="A323" s="1865"/>
      <c r="B323" s="1272"/>
      <c r="C323" s="1124" t="s">
        <v>431</v>
      </c>
      <c r="D323" s="1124"/>
      <c r="E323" s="28"/>
      <c r="F323" s="28"/>
      <c r="G323" s="29">
        <v>40.383928571428577</v>
      </c>
      <c r="H323" s="29">
        <v>37.355469908093689</v>
      </c>
      <c r="I323" s="29">
        <v>40.426304953372892</v>
      </c>
      <c r="J323" s="29">
        <v>44.924977934686673</v>
      </c>
      <c r="K323" s="29">
        <v>45.053779730343884</v>
      </c>
      <c r="L323" s="21">
        <v>44.3</v>
      </c>
    </row>
    <row r="324" spans="1:12" x14ac:dyDescent="0.25">
      <c r="A324" s="1865"/>
      <c r="B324" s="1272"/>
      <c r="C324" s="1124" t="s">
        <v>432</v>
      </c>
      <c r="D324" s="1124"/>
      <c r="E324" s="28"/>
      <c r="F324" s="28"/>
      <c r="G324" s="29">
        <v>32.081419436188419</v>
      </c>
      <c r="H324" s="29">
        <v>30.926203564884226</v>
      </c>
      <c r="I324" s="29">
        <v>31.289682539682538</v>
      </c>
      <c r="J324" s="29">
        <v>33.885647607934658</v>
      </c>
      <c r="K324" s="29">
        <v>35.362997658079628</v>
      </c>
      <c r="L324" s="21">
        <v>36.4</v>
      </c>
    </row>
    <row r="325" spans="1:12" ht="16.5" thickBot="1" x14ac:dyDescent="0.3">
      <c r="A325" s="1865"/>
      <c r="B325" s="1409"/>
      <c r="C325" s="1225" t="s">
        <v>354</v>
      </c>
      <c r="D325" s="1225"/>
      <c r="E325" s="33"/>
      <c r="F325" s="33"/>
      <c r="G325" s="34">
        <f t="shared" ref="G325:L325" si="19">+G324-G323</f>
        <v>-8.3025091352401574</v>
      </c>
      <c r="H325" s="34">
        <f t="shared" si="19"/>
        <v>-6.4292663432094628</v>
      </c>
      <c r="I325" s="34">
        <f t="shared" si="19"/>
        <v>-9.136622413690354</v>
      </c>
      <c r="J325" s="34">
        <f t="shared" si="19"/>
        <v>-11.039330326752015</v>
      </c>
      <c r="K325" s="34">
        <f t="shared" si="19"/>
        <v>-9.6907820722642555</v>
      </c>
      <c r="L325" s="35">
        <f t="shared" si="19"/>
        <v>-7.8999999999999986</v>
      </c>
    </row>
    <row r="326" spans="1:12" x14ac:dyDescent="0.25">
      <c r="A326" s="1865"/>
      <c r="B326" s="1408" t="s">
        <v>521</v>
      </c>
      <c r="C326" s="1317" t="s">
        <v>434</v>
      </c>
      <c r="D326" s="146" t="s">
        <v>435</v>
      </c>
      <c r="E326" s="36"/>
      <c r="F326" s="36"/>
      <c r="G326" s="40"/>
      <c r="H326" s="40"/>
      <c r="I326" s="40">
        <v>369</v>
      </c>
      <c r="J326" s="40">
        <v>207</v>
      </c>
      <c r="K326" s="40">
        <v>148</v>
      </c>
      <c r="L326" s="1061">
        <v>101</v>
      </c>
    </row>
    <row r="327" spans="1:12" x14ac:dyDescent="0.25">
      <c r="A327" s="1865"/>
      <c r="B327" s="1272"/>
      <c r="C327" s="1309"/>
      <c r="D327" s="147" t="s">
        <v>436</v>
      </c>
      <c r="E327" s="28"/>
      <c r="F327" s="28"/>
      <c r="G327" s="28"/>
      <c r="H327" s="28"/>
      <c r="I327" s="28">
        <v>125</v>
      </c>
      <c r="J327" s="28">
        <v>66</v>
      </c>
      <c r="K327" s="28">
        <v>42</v>
      </c>
      <c r="L327" s="1061">
        <v>31</v>
      </c>
    </row>
    <row r="328" spans="1:12" x14ac:dyDescent="0.25">
      <c r="A328" s="1865"/>
      <c r="B328" s="1272"/>
      <c r="C328" s="1309"/>
      <c r="D328" s="28" t="s">
        <v>437</v>
      </c>
      <c r="E328" s="28"/>
      <c r="F328" s="28"/>
      <c r="G328" s="28"/>
      <c r="H328" s="28"/>
      <c r="I328" s="28">
        <v>244</v>
      </c>
      <c r="J328" s="28">
        <v>141</v>
      </c>
      <c r="K328" s="28">
        <v>106</v>
      </c>
      <c r="L328" s="1061">
        <v>70</v>
      </c>
    </row>
    <row r="329" spans="1:12" x14ac:dyDescent="0.25">
      <c r="A329" s="1865"/>
      <c r="B329" s="1272"/>
      <c r="C329" s="1309"/>
      <c r="D329" s="148" t="s">
        <v>353</v>
      </c>
      <c r="E329" s="28"/>
      <c r="F329" s="28"/>
      <c r="G329" s="28"/>
      <c r="H329" s="28"/>
      <c r="I329" s="157">
        <f>I328-I327</f>
        <v>119</v>
      </c>
      <c r="J329" s="157">
        <f>J328-J327</f>
        <v>75</v>
      </c>
      <c r="K329" s="157">
        <f>K328-K327</f>
        <v>64</v>
      </c>
      <c r="L329" s="157">
        <f>L328-L327</f>
        <v>39</v>
      </c>
    </row>
    <row r="330" spans="1:12" x14ac:dyDescent="0.25">
      <c r="A330" s="1865"/>
      <c r="B330" s="1272"/>
      <c r="C330" s="1309"/>
      <c r="D330" s="148" t="s">
        <v>580</v>
      </c>
      <c r="E330" s="28"/>
      <c r="F330" s="28"/>
      <c r="G330" s="28"/>
      <c r="H330" s="28"/>
      <c r="I330" s="158">
        <f>I328/I326*100</f>
        <v>66.124661246612476</v>
      </c>
      <c r="J330" s="158">
        <f>J328/J326*100</f>
        <v>68.115942028985515</v>
      </c>
      <c r="K330" s="158">
        <f>K328/K326*100</f>
        <v>71.621621621621628</v>
      </c>
      <c r="L330" s="158">
        <f>L328/L326*100</f>
        <v>69.306930693069305</v>
      </c>
    </row>
    <row r="331" spans="1:12" x14ac:dyDescent="0.25">
      <c r="A331" s="1865"/>
      <c r="B331" s="1272"/>
      <c r="C331" s="1309" t="s">
        <v>438</v>
      </c>
      <c r="D331" s="149" t="s">
        <v>435</v>
      </c>
      <c r="E331" s="28"/>
      <c r="F331" s="28"/>
      <c r="G331" s="28"/>
      <c r="H331" s="28"/>
      <c r="I331" s="44">
        <v>1623</v>
      </c>
      <c r="J331" s="44">
        <v>808</v>
      </c>
      <c r="K331" s="44">
        <v>379</v>
      </c>
      <c r="L331" s="1062">
        <v>596</v>
      </c>
    </row>
    <row r="332" spans="1:12" x14ac:dyDescent="0.25">
      <c r="A332" s="1865"/>
      <c r="B332" s="1272"/>
      <c r="C332" s="1309"/>
      <c r="D332" s="147" t="s">
        <v>436</v>
      </c>
      <c r="E332" s="28"/>
      <c r="F332" s="28"/>
      <c r="G332" s="28"/>
      <c r="H332" s="28"/>
      <c r="I332" s="28">
        <v>497</v>
      </c>
      <c r="J332" s="28">
        <v>246</v>
      </c>
      <c r="K332" s="28">
        <v>107</v>
      </c>
      <c r="L332" s="1062">
        <v>263</v>
      </c>
    </row>
    <row r="333" spans="1:12" x14ac:dyDescent="0.25">
      <c r="A333" s="1865"/>
      <c r="B333" s="1272"/>
      <c r="C333" s="1309"/>
      <c r="D333" s="28" t="s">
        <v>437</v>
      </c>
      <c r="E333" s="28"/>
      <c r="F333" s="28"/>
      <c r="G333" s="28"/>
      <c r="H333" s="28"/>
      <c r="I333" s="28">
        <v>1126</v>
      </c>
      <c r="J333" s="28">
        <v>562</v>
      </c>
      <c r="K333" s="28">
        <v>272</v>
      </c>
      <c r="L333" s="1062">
        <v>333</v>
      </c>
    </row>
    <row r="334" spans="1:12" x14ac:dyDescent="0.25">
      <c r="A334" s="1865"/>
      <c r="B334" s="1272"/>
      <c r="C334" s="1309"/>
      <c r="D334" s="148" t="s">
        <v>353</v>
      </c>
      <c r="E334" s="28"/>
      <c r="F334" s="28"/>
      <c r="G334" s="28"/>
      <c r="H334" s="44"/>
      <c r="I334" s="157">
        <f>I333-I332</f>
        <v>629</v>
      </c>
      <c r="J334" s="157">
        <f>J333-J332</f>
        <v>316</v>
      </c>
      <c r="K334" s="157">
        <f>K333-K332</f>
        <v>165</v>
      </c>
      <c r="L334" s="157">
        <f>L333-L332</f>
        <v>70</v>
      </c>
    </row>
    <row r="335" spans="1:12" ht="16.5" thickBot="1" x14ac:dyDescent="0.3">
      <c r="A335" s="1865"/>
      <c r="B335" s="1273"/>
      <c r="C335" s="1310"/>
      <c r="D335" s="150" t="s">
        <v>270</v>
      </c>
      <c r="E335" s="110"/>
      <c r="F335" s="110"/>
      <c r="G335" s="110"/>
      <c r="H335" s="336"/>
      <c r="I335" s="165">
        <f>I333/I331*100</f>
        <v>69.377695625385087</v>
      </c>
      <c r="J335" s="165">
        <f>J333/J331*100</f>
        <v>69.554455445544548</v>
      </c>
      <c r="K335" s="165">
        <f>K333/K331*100</f>
        <v>71.76781002638522</v>
      </c>
      <c r="L335" s="165">
        <f>L333/L331*100</f>
        <v>55.872483221476507</v>
      </c>
    </row>
    <row r="336" spans="1:12" ht="15" customHeight="1" x14ac:dyDescent="0.25">
      <c r="A336" s="1865"/>
      <c r="B336" s="1408" t="s">
        <v>180</v>
      </c>
      <c r="C336" s="1147" t="s">
        <v>435</v>
      </c>
      <c r="D336" s="1147"/>
      <c r="E336" s="36"/>
      <c r="F336" s="36"/>
      <c r="G336" s="36"/>
      <c r="H336" s="195">
        <v>48522</v>
      </c>
      <c r="I336" s="195">
        <v>43780</v>
      </c>
      <c r="J336" s="195">
        <v>43288</v>
      </c>
      <c r="K336" s="195">
        <v>44891</v>
      </c>
      <c r="L336" s="20"/>
    </row>
    <row r="337" spans="1:14" x14ac:dyDescent="0.25">
      <c r="A337" s="1865"/>
      <c r="B337" s="1272"/>
      <c r="C337" s="1124" t="s">
        <v>436</v>
      </c>
      <c r="D337" s="1124"/>
      <c r="E337" s="28"/>
      <c r="F337" s="28"/>
      <c r="G337" s="28"/>
      <c r="H337" s="96">
        <v>19147</v>
      </c>
      <c r="I337" s="96">
        <v>17039</v>
      </c>
      <c r="J337" s="96">
        <v>16806</v>
      </c>
      <c r="K337" s="96">
        <v>17346</v>
      </c>
      <c r="L337" s="21"/>
    </row>
    <row r="338" spans="1:14" x14ac:dyDescent="0.25">
      <c r="A338" s="1865"/>
      <c r="B338" s="1272"/>
      <c r="C338" s="1124" t="s">
        <v>437</v>
      </c>
      <c r="D338" s="1124"/>
      <c r="E338" s="28"/>
      <c r="F338" s="28"/>
      <c r="G338" s="28"/>
      <c r="H338" s="96">
        <v>29375</v>
      </c>
      <c r="I338" s="96">
        <v>26741</v>
      </c>
      <c r="J338" s="96">
        <v>26482</v>
      </c>
      <c r="K338" s="96">
        <v>27545</v>
      </c>
      <c r="L338" s="21"/>
    </row>
    <row r="339" spans="1:14" x14ac:dyDescent="0.25">
      <c r="A339" s="1865"/>
      <c r="B339" s="1272"/>
      <c r="C339" s="1112" t="s">
        <v>353</v>
      </c>
      <c r="D339" s="1112"/>
      <c r="E339" s="28"/>
      <c r="F339" s="28"/>
      <c r="G339" s="28"/>
      <c r="H339" s="157">
        <f>H338-H337</f>
        <v>10228</v>
      </c>
      <c r="I339" s="157">
        <f>I338-I337</f>
        <v>9702</v>
      </c>
      <c r="J339" s="157">
        <f>J338-J337</f>
        <v>9676</v>
      </c>
      <c r="K339" s="157">
        <f>K338-K337</f>
        <v>10199</v>
      </c>
      <c r="L339" s="21"/>
    </row>
    <row r="340" spans="1:14" x14ac:dyDescent="0.25">
      <c r="A340" s="1866"/>
      <c r="B340" s="1273"/>
      <c r="C340" s="1178" t="s">
        <v>270</v>
      </c>
      <c r="D340" s="1178"/>
      <c r="E340" s="110"/>
      <c r="F340" s="110"/>
      <c r="G340" s="110"/>
      <c r="H340" s="165">
        <f>H338/H336*100</f>
        <v>60.539549070524714</v>
      </c>
      <c r="I340" s="165">
        <f>I338/I336*100</f>
        <v>61.08040201005025</v>
      </c>
      <c r="J340" s="165">
        <f>J338/J336*100</f>
        <v>61.176307521715025</v>
      </c>
      <c r="K340" s="165">
        <f>K338/K336*100</f>
        <v>61.359738032122245</v>
      </c>
      <c r="L340" s="53"/>
    </row>
    <row r="341" spans="1:14" ht="16.5" thickBot="1" x14ac:dyDescent="0.3">
      <c r="A341" s="338" t="s">
        <v>248</v>
      </c>
      <c r="B341" s="463" t="s">
        <v>249</v>
      </c>
      <c r="C341" s="1867"/>
      <c r="D341" s="1867"/>
      <c r="E341" s="616">
        <v>2005</v>
      </c>
      <c r="F341" s="616">
        <v>2010</v>
      </c>
      <c r="G341" s="616">
        <v>2015</v>
      </c>
      <c r="H341" s="616">
        <v>2020</v>
      </c>
      <c r="I341" s="616">
        <v>2021</v>
      </c>
      <c r="J341" s="616">
        <v>2022</v>
      </c>
      <c r="K341" s="616">
        <v>2023</v>
      </c>
      <c r="L341" s="616">
        <v>2024</v>
      </c>
    </row>
    <row r="342" spans="1:14" x14ac:dyDescent="0.25">
      <c r="A342" s="1868" t="s">
        <v>439</v>
      </c>
      <c r="B342" s="1612" t="s">
        <v>440</v>
      </c>
      <c r="C342" s="1250" t="s">
        <v>251</v>
      </c>
      <c r="D342" s="1250"/>
      <c r="E342" s="585">
        <v>80.5</v>
      </c>
      <c r="F342" s="586">
        <v>82.3</v>
      </c>
      <c r="G342" s="586">
        <v>82.6</v>
      </c>
      <c r="H342" s="586">
        <v>80.5</v>
      </c>
      <c r="I342" s="586">
        <v>83.7</v>
      </c>
      <c r="J342" s="587">
        <v>83.857498527663623</v>
      </c>
      <c r="K342" s="453">
        <v>84.6</v>
      </c>
      <c r="L342" s="108"/>
      <c r="M342" s="326"/>
      <c r="N342" s="326"/>
    </row>
    <row r="343" spans="1:14" x14ac:dyDescent="0.25">
      <c r="A343" s="1822"/>
      <c r="B343" s="1613"/>
      <c r="C343" s="1236" t="s">
        <v>257</v>
      </c>
      <c r="D343" s="1236"/>
      <c r="E343" s="580">
        <v>76.400000000000006</v>
      </c>
      <c r="F343" s="581">
        <v>78.5</v>
      </c>
      <c r="G343" s="581">
        <v>79</v>
      </c>
      <c r="H343" s="581">
        <v>77</v>
      </c>
      <c r="I343" s="581">
        <v>80.099999999999994</v>
      </c>
      <c r="J343" s="582">
        <v>80.554219991947775</v>
      </c>
      <c r="K343" s="403">
        <v>81.8</v>
      </c>
      <c r="L343" s="21"/>
    </row>
    <row r="344" spans="1:14" x14ac:dyDescent="0.25">
      <c r="A344" s="1822"/>
      <c r="B344" s="1613"/>
      <c r="C344" s="1236" t="s">
        <v>263</v>
      </c>
      <c r="D344" s="1236"/>
      <c r="E344" s="580">
        <v>84.5</v>
      </c>
      <c r="F344" s="581">
        <v>85.8</v>
      </c>
      <c r="G344" s="581">
        <v>85.8</v>
      </c>
      <c r="H344" s="581">
        <v>83.8</v>
      </c>
      <c r="I344" s="581">
        <v>86.9</v>
      </c>
      <c r="J344" s="582">
        <v>86.709552860463603</v>
      </c>
      <c r="K344" s="403">
        <v>86.9</v>
      </c>
      <c r="L344" s="21"/>
    </row>
    <row r="345" spans="1:14" ht="16.5" thickBot="1" x14ac:dyDescent="0.3">
      <c r="A345" s="1822"/>
      <c r="B345" s="1687"/>
      <c r="C345" s="1558" t="s">
        <v>441</v>
      </c>
      <c r="D345" s="1558"/>
      <c r="E345" s="894">
        <f t="shared" ref="E345:K345" si="20">+E344-E343</f>
        <v>8.0999999999999943</v>
      </c>
      <c r="F345" s="894">
        <f t="shared" si="20"/>
        <v>7.2999999999999972</v>
      </c>
      <c r="G345" s="894">
        <f t="shared" si="20"/>
        <v>6.7999999999999972</v>
      </c>
      <c r="H345" s="894">
        <f t="shared" si="20"/>
        <v>6.7999999999999972</v>
      </c>
      <c r="I345" s="894">
        <f t="shared" si="20"/>
        <v>6.8000000000000114</v>
      </c>
      <c r="J345" s="895">
        <f t="shared" si="20"/>
        <v>6.1553328685158277</v>
      </c>
      <c r="K345" s="895">
        <f t="shared" si="20"/>
        <v>5.1000000000000085</v>
      </c>
      <c r="L345" s="53"/>
    </row>
    <row r="346" spans="1:14" x14ac:dyDescent="0.25">
      <c r="A346" s="1822"/>
      <c r="B346" s="1612" t="s">
        <v>192</v>
      </c>
      <c r="C346" s="1250" t="s">
        <v>251</v>
      </c>
      <c r="D346" s="1250"/>
      <c r="E346" s="585"/>
      <c r="F346" s="590"/>
      <c r="G346" s="591">
        <v>16459</v>
      </c>
      <c r="H346" s="591">
        <v>19740</v>
      </c>
      <c r="I346" s="591">
        <v>19786</v>
      </c>
      <c r="J346" s="547">
        <v>20349</v>
      </c>
      <c r="K346" s="195">
        <v>18918</v>
      </c>
      <c r="L346" s="20"/>
    </row>
    <row r="347" spans="1:14" x14ac:dyDescent="0.25">
      <c r="A347" s="1822"/>
      <c r="B347" s="1613"/>
      <c r="C347" s="1236" t="s">
        <v>257</v>
      </c>
      <c r="D347" s="1236"/>
      <c r="E347" s="580"/>
      <c r="F347" s="583"/>
      <c r="G347" s="584">
        <v>7928</v>
      </c>
      <c r="H347" s="584">
        <v>9617</v>
      </c>
      <c r="I347" s="584">
        <v>9678</v>
      </c>
      <c r="J347" s="404">
        <v>9958</v>
      </c>
      <c r="K347" s="96">
        <v>9199</v>
      </c>
      <c r="L347" s="21"/>
    </row>
    <row r="348" spans="1:14" x14ac:dyDescent="0.25">
      <c r="A348" s="1822"/>
      <c r="B348" s="1613"/>
      <c r="C348" s="1236" t="s">
        <v>263</v>
      </c>
      <c r="D348" s="1236"/>
      <c r="E348" s="892"/>
      <c r="F348" s="893"/>
      <c r="G348" s="584">
        <v>8531</v>
      </c>
      <c r="H348" s="584">
        <v>10123</v>
      </c>
      <c r="I348" s="584">
        <v>10108</v>
      </c>
      <c r="J348" s="404">
        <v>10391</v>
      </c>
      <c r="K348" s="96">
        <v>9719</v>
      </c>
      <c r="L348" s="21"/>
    </row>
    <row r="349" spans="1:14" x14ac:dyDescent="0.25">
      <c r="A349" s="1869"/>
      <c r="B349" s="1687"/>
      <c r="C349" s="1142" t="s">
        <v>270</v>
      </c>
      <c r="D349" s="1142"/>
      <c r="E349" s="592"/>
      <c r="F349" s="592"/>
      <c r="G349" s="525">
        <f>G348/G346*100</f>
        <v>51.831824533689776</v>
      </c>
      <c r="H349" s="525">
        <f>H348/H346*100</f>
        <v>51.281661600810537</v>
      </c>
      <c r="I349" s="525">
        <f>I348/I346*100</f>
        <v>51.086626907914692</v>
      </c>
      <c r="J349" s="525">
        <f>J348/J346*100</f>
        <v>51.063934345668095</v>
      </c>
      <c r="K349" s="525">
        <f>K348/K346*100</f>
        <v>51.374352468548466</v>
      </c>
      <c r="L349" s="53"/>
    </row>
    <row r="350" spans="1:14" x14ac:dyDescent="0.25">
      <c r="A350" s="761" t="s">
        <v>248</v>
      </c>
      <c r="B350" s="462" t="s">
        <v>249</v>
      </c>
      <c r="C350" s="1807"/>
      <c r="D350" s="1807"/>
      <c r="E350" s="621"/>
      <c r="F350" s="621" t="s">
        <v>443</v>
      </c>
      <c r="G350" s="621" t="s">
        <v>444</v>
      </c>
      <c r="H350" s="621" t="s">
        <v>445</v>
      </c>
      <c r="I350" s="621" t="s">
        <v>446</v>
      </c>
      <c r="J350" s="621" t="s">
        <v>447</v>
      </c>
      <c r="K350" s="621" t="s">
        <v>448</v>
      </c>
      <c r="L350" s="621" t="s">
        <v>449</v>
      </c>
    </row>
    <row r="351" spans="1:14" ht="15" customHeight="1" x14ac:dyDescent="0.25">
      <c r="A351" s="1870" t="s">
        <v>450</v>
      </c>
      <c r="B351" s="1832" t="s">
        <v>199</v>
      </c>
      <c r="C351" s="1388" t="s">
        <v>451</v>
      </c>
      <c r="D351" s="429" t="s">
        <v>435</v>
      </c>
      <c r="E351" s="192"/>
      <c r="F351" s="192">
        <v>16510</v>
      </c>
      <c r="G351" s="192">
        <v>14086</v>
      </c>
      <c r="H351" s="192">
        <v>13858</v>
      </c>
      <c r="I351" s="192">
        <v>13280</v>
      </c>
      <c r="J351" s="192">
        <v>13313</v>
      </c>
      <c r="K351" s="192">
        <v>13691</v>
      </c>
      <c r="L351" s="87"/>
    </row>
    <row r="352" spans="1:14" x14ac:dyDescent="0.25">
      <c r="A352" s="1802"/>
      <c r="B352" s="1569"/>
      <c r="C352" s="1348"/>
      <c r="D352" s="428" t="s">
        <v>436</v>
      </c>
      <c r="E352" s="96"/>
      <c r="F352" s="96">
        <v>8560</v>
      </c>
      <c r="G352" s="96">
        <v>7248</v>
      </c>
      <c r="H352" s="96">
        <v>7053</v>
      </c>
      <c r="I352" s="96">
        <v>6762</v>
      </c>
      <c r="J352" s="96">
        <v>6769</v>
      </c>
      <c r="K352" s="96">
        <v>6969</v>
      </c>
      <c r="L352" s="21"/>
    </row>
    <row r="353" spans="1:12" x14ac:dyDescent="0.25">
      <c r="A353" s="1802"/>
      <c r="B353" s="1569"/>
      <c r="C353" s="1348"/>
      <c r="D353" s="428" t="s">
        <v>437</v>
      </c>
      <c r="E353" s="96"/>
      <c r="F353" s="96">
        <v>7950</v>
      </c>
      <c r="G353" s="96">
        <v>6838</v>
      </c>
      <c r="H353" s="96">
        <v>6805</v>
      </c>
      <c r="I353" s="96">
        <v>6518</v>
      </c>
      <c r="J353" s="96">
        <v>6544</v>
      </c>
      <c r="K353" s="96">
        <v>6722</v>
      </c>
      <c r="L353" s="21"/>
    </row>
    <row r="354" spans="1:12" ht="15" customHeight="1" x14ac:dyDescent="0.25">
      <c r="A354" s="1802"/>
      <c r="B354" s="1569"/>
      <c r="C354" s="1348" t="s">
        <v>452</v>
      </c>
      <c r="D354" s="427" t="s">
        <v>435</v>
      </c>
      <c r="E354" s="157"/>
      <c r="F354" s="157">
        <f>SUM(F355:F356)</f>
        <v>8730</v>
      </c>
      <c r="G354" s="157">
        <f>SUM(G355:G356)</f>
        <v>7861</v>
      </c>
      <c r="H354" s="157">
        <f>SUM(H355:H356)</f>
        <v>7433</v>
      </c>
      <c r="I354" s="157">
        <f>SUM(I355:I356)</f>
        <v>7460</v>
      </c>
      <c r="J354" s="157">
        <v>7606</v>
      </c>
      <c r="K354" s="157">
        <f>SUM(K355:K356)</f>
        <v>7579</v>
      </c>
      <c r="L354" s="21"/>
    </row>
    <row r="355" spans="1:12" x14ac:dyDescent="0.25">
      <c r="A355" s="1802"/>
      <c r="B355" s="1569"/>
      <c r="C355" s="1348"/>
      <c r="D355" s="428" t="s">
        <v>436</v>
      </c>
      <c r="E355" s="96"/>
      <c r="F355" s="96">
        <v>4528</v>
      </c>
      <c r="G355" s="96">
        <v>4106</v>
      </c>
      <c r="H355" s="96">
        <v>3793</v>
      </c>
      <c r="I355" s="96">
        <v>3837</v>
      </c>
      <c r="J355" s="96">
        <v>3922</v>
      </c>
      <c r="K355" s="96">
        <v>3923</v>
      </c>
      <c r="L355" s="21"/>
    </row>
    <row r="356" spans="1:12" ht="16.5" thickBot="1" x14ac:dyDescent="0.3">
      <c r="A356" s="1802"/>
      <c r="B356" s="1569"/>
      <c r="C356" s="1506"/>
      <c r="D356" s="434" t="s">
        <v>437</v>
      </c>
      <c r="E356" s="360"/>
      <c r="F356" s="441">
        <v>4202</v>
      </c>
      <c r="G356" s="441">
        <v>3755</v>
      </c>
      <c r="H356" s="441">
        <v>3640</v>
      </c>
      <c r="I356" s="441">
        <v>3623</v>
      </c>
      <c r="J356" s="441">
        <v>3684</v>
      </c>
      <c r="K356" s="360">
        <v>3656</v>
      </c>
      <c r="L356" s="53"/>
    </row>
    <row r="357" spans="1:12" x14ac:dyDescent="0.25">
      <c r="A357" s="1802"/>
      <c r="B357" s="1569"/>
      <c r="C357" s="1352" t="s">
        <v>453</v>
      </c>
      <c r="D357" s="1250"/>
      <c r="E357" s="225"/>
      <c r="F357" s="37">
        <f>+(F354/F351)*100</f>
        <v>52.877044215626889</v>
      </c>
      <c r="G357" s="37">
        <f t="shared" ref="G357:J357" si="21">+(G354/G351)*100</f>
        <v>55.807184438449518</v>
      </c>
      <c r="H357" s="37">
        <f t="shared" si="21"/>
        <v>53.636888439890321</v>
      </c>
      <c r="I357" s="37">
        <f t="shared" si="21"/>
        <v>56.174698795180724</v>
      </c>
      <c r="J357" s="37">
        <f t="shared" si="21"/>
        <v>57.132126492901683</v>
      </c>
      <c r="K357" s="37">
        <f>+(K354/K351)*100</f>
        <v>55.357534146519619</v>
      </c>
      <c r="L357" s="20"/>
    </row>
    <row r="358" spans="1:12" x14ac:dyDescent="0.25">
      <c r="A358" s="1802"/>
      <c r="B358" s="1569"/>
      <c r="C358" s="1363" t="s">
        <v>454</v>
      </c>
      <c r="D358" s="1236"/>
      <c r="E358" s="28"/>
      <c r="F358" s="187">
        <f>F355/F352*100</f>
        <v>52.897196261682247</v>
      </c>
      <c r="G358" s="187">
        <f t="shared" ref="G358:I358" si="22">G355/G352*100</f>
        <v>56.650110375275943</v>
      </c>
      <c r="H358" s="187">
        <f t="shared" si="22"/>
        <v>53.778533957181338</v>
      </c>
      <c r="I358" s="187">
        <f t="shared" si="22"/>
        <v>56.743566992014195</v>
      </c>
      <c r="J358" s="187">
        <f>J355/J352*100</f>
        <v>57.940611611759493</v>
      </c>
      <c r="K358" s="187">
        <f>K355/K352*100</f>
        <v>56.29215095422586</v>
      </c>
      <c r="L358" s="21"/>
    </row>
    <row r="359" spans="1:12" x14ac:dyDescent="0.25">
      <c r="A359" s="1802"/>
      <c r="B359" s="1569"/>
      <c r="C359" s="1363" t="s">
        <v>455</v>
      </c>
      <c r="D359" s="1236"/>
      <c r="E359" s="28"/>
      <c r="F359" s="187">
        <f>F356/F353*100</f>
        <v>52.855345911949684</v>
      </c>
      <c r="G359" s="187">
        <f t="shared" ref="G359:I359" si="23">G356/G353*100</f>
        <v>54.91371746124598</v>
      </c>
      <c r="H359" s="187">
        <f t="shared" si="23"/>
        <v>53.490080822924327</v>
      </c>
      <c r="I359" s="187">
        <f t="shared" si="23"/>
        <v>55.584535133476528</v>
      </c>
      <c r="J359" s="187">
        <f>J356/J353*100</f>
        <v>56.295843520782398</v>
      </c>
      <c r="K359" s="187">
        <f>K356/K353*100</f>
        <v>54.388574828919964</v>
      </c>
      <c r="L359" s="21"/>
    </row>
    <row r="360" spans="1:12" x14ac:dyDescent="0.25">
      <c r="A360" s="1871"/>
      <c r="B360" s="1570"/>
      <c r="C360" s="1383" t="s">
        <v>354</v>
      </c>
      <c r="D360" s="1384"/>
      <c r="E360" s="110"/>
      <c r="F360" s="454">
        <f>+F359-F358</f>
        <v>-4.1850349732563075E-2</v>
      </c>
      <c r="G360" s="349">
        <f t="shared" ref="G360:I360" si="24">+G359-G358</f>
        <v>-1.7363929140299632</v>
      </c>
      <c r="H360" s="349">
        <f t="shared" si="24"/>
        <v>-0.28845313425701136</v>
      </c>
      <c r="I360" s="349">
        <f t="shared" si="24"/>
        <v>-1.1590318585376664</v>
      </c>
      <c r="J360" s="349">
        <f>+J359-J358</f>
        <v>-1.6447680909770952</v>
      </c>
      <c r="K360" s="349">
        <f>+K359-K358</f>
        <v>-1.9035761253058965</v>
      </c>
      <c r="L360" s="53"/>
    </row>
    <row r="361" spans="1:12" ht="16.5" thickBot="1" x14ac:dyDescent="0.3">
      <c r="A361" s="338" t="s">
        <v>248</v>
      </c>
      <c r="B361" s="463" t="s">
        <v>249</v>
      </c>
      <c r="C361" s="1433"/>
      <c r="D361" s="1433"/>
      <c r="E361" s="616" t="s">
        <v>442</v>
      </c>
      <c r="F361" s="616" t="s">
        <v>443</v>
      </c>
      <c r="G361" s="616" t="s">
        <v>444</v>
      </c>
      <c r="H361" s="616" t="s">
        <v>445</v>
      </c>
      <c r="I361" s="616" t="s">
        <v>446</v>
      </c>
      <c r="J361" s="616" t="s">
        <v>447</v>
      </c>
      <c r="K361" s="616" t="s">
        <v>448</v>
      </c>
      <c r="L361" s="616" t="s">
        <v>449</v>
      </c>
    </row>
    <row r="362" spans="1:12" x14ac:dyDescent="0.25">
      <c r="A362" s="1774" t="s">
        <v>456</v>
      </c>
      <c r="B362" s="1872" t="s">
        <v>457</v>
      </c>
      <c r="C362" s="1187" t="s">
        <v>458</v>
      </c>
      <c r="D362" s="229" t="s">
        <v>459</v>
      </c>
      <c r="E362" s="195" t="s">
        <v>460</v>
      </c>
      <c r="F362" s="195">
        <v>2951</v>
      </c>
      <c r="G362" s="195">
        <v>3415</v>
      </c>
      <c r="H362" s="195">
        <v>2998</v>
      </c>
      <c r="I362" s="195">
        <v>2935</v>
      </c>
      <c r="J362" s="195">
        <v>2704</v>
      </c>
      <c r="K362" s="225">
        <v>2647</v>
      </c>
      <c r="L362" s="20"/>
    </row>
    <row r="363" spans="1:12" ht="14.1" customHeight="1" x14ac:dyDescent="0.25">
      <c r="A363" s="1775"/>
      <c r="B363" s="1826"/>
      <c r="C363" s="1173"/>
      <c r="D363" s="227" t="s">
        <v>436</v>
      </c>
      <c r="E363" s="96"/>
      <c r="F363" s="96">
        <v>1460</v>
      </c>
      <c r="G363" s="96">
        <v>1711</v>
      </c>
      <c r="H363" s="96">
        <v>1463</v>
      </c>
      <c r="I363" s="96">
        <v>1417</v>
      </c>
      <c r="J363" s="96">
        <v>1345</v>
      </c>
      <c r="K363" s="96">
        <v>1335</v>
      </c>
      <c r="L363" s="21"/>
    </row>
    <row r="364" spans="1:12" x14ac:dyDescent="0.25">
      <c r="A364" s="1775"/>
      <c r="B364" s="1826"/>
      <c r="C364" s="1173"/>
      <c r="D364" s="227" t="s">
        <v>437</v>
      </c>
      <c r="E364" s="96"/>
      <c r="F364" s="96">
        <v>1491</v>
      </c>
      <c r="G364" s="96">
        <v>1704</v>
      </c>
      <c r="H364" s="96">
        <v>1535</v>
      </c>
      <c r="I364" s="96">
        <v>1518</v>
      </c>
      <c r="J364" s="96">
        <v>1359</v>
      </c>
      <c r="K364" s="96">
        <v>1312</v>
      </c>
      <c r="L364" s="21"/>
    </row>
    <row r="365" spans="1:12" ht="15" customHeight="1" x14ac:dyDescent="0.25">
      <c r="A365" s="1775"/>
      <c r="B365" s="1826"/>
      <c r="C365" s="1173" t="s">
        <v>461</v>
      </c>
      <c r="D365" s="226" t="s">
        <v>459</v>
      </c>
      <c r="E365" s="157"/>
      <c r="F365" s="157">
        <v>1210</v>
      </c>
      <c r="G365" s="157">
        <f>565+836</f>
        <v>1401</v>
      </c>
      <c r="H365" s="157">
        <v>1354</v>
      </c>
      <c r="I365" s="157">
        <v>1322</v>
      </c>
      <c r="J365" s="157">
        <f>649+540</f>
        <v>1189</v>
      </c>
      <c r="K365" s="96">
        <v>1226</v>
      </c>
      <c r="L365" s="21"/>
    </row>
    <row r="366" spans="1:12" x14ac:dyDescent="0.25">
      <c r="A366" s="1775"/>
      <c r="B366" s="1826"/>
      <c r="C366" s="1173"/>
      <c r="D366" s="227" t="s">
        <v>436</v>
      </c>
      <c r="E366" s="96"/>
      <c r="F366" s="96">
        <v>683</v>
      </c>
      <c r="G366" s="96">
        <f>317+446</f>
        <v>763</v>
      </c>
      <c r="H366" s="96">
        <v>741</v>
      </c>
      <c r="I366" s="96">
        <v>716</v>
      </c>
      <c r="J366" s="96">
        <f>343+300</f>
        <v>643</v>
      </c>
      <c r="K366" s="96">
        <v>685</v>
      </c>
      <c r="L366" s="21"/>
    </row>
    <row r="367" spans="1:12" ht="16.5" thickBot="1" x14ac:dyDescent="0.3">
      <c r="A367" s="1775"/>
      <c r="B367" s="1826"/>
      <c r="C367" s="1188"/>
      <c r="D367" s="239" t="s">
        <v>437</v>
      </c>
      <c r="E367" s="190"/>
      <c r="F367" s="190">
        <v>527</v>
      </c>
      <c r="G367" s="190">
        <f>248+390</f>
        <v>638</v>
      </c>
      <c r="H367" s="190">
        <v>613</v>
      </c>
      <c r="I367" s="190">
        <v>606</v>
      </c>
      <c r="J367" s="190">
        <f>306+240</f>
        <v>546</v>
      </c>
      <c r="K367" s="190">
        <v>541</v>
      </c>
      <c r="L367" s="22"/>
    </row>
    <row r="368" spans="1:12" x14ac:dyDescent="0.25">
      <c r="A368" s="1775"/>
      <c r="B368" s="1826"/>
      <c r="C368" s="1798" t="s">
        <v>462</v>
      </c>
      <c r="D368" s="1390"/>
      <c r="E368" s="225"/>
      <c r="F368" s="283">
        <f>F366/F363*100</f>
        <v>46.780821917808218</v>
      </c>
      <c r="G368" s="283">
        <f t="shared" ref="G368:I369" si="25">G366/G363*100</f>
        <v>44.593804792518995</v>
      </c>
      <c r="H368" s="283">
        <f t="shared" si="25"/>
        <v>50.649350649350644</v>
      </c>
      <c r="I368" s="283">
        <f t="shared" si="25"/>
        <v>50.529287226534933</v>
      </c>
      <c r="J368" s="283">
        <f>J366/J363*100</f>
        <v>47.806691449814124</v>
      </c>
      <c r="K368" s="283">
        <f>K366/K363*100</f>
        <v>51.310861423220977</v>
      </c>
      <c r="L368" s="20"/>
    </row>
    <row r="369" spans="1:12" x14ac:dyDescent="0.25">
      <c r="A369" s="1775"/>
      <c r="B369" s="1826"/>
      <c r="C369" s="1148" t="s">
        <v>463</v>
      </c>
      <c r="D369" s="1124"/>
      <c r="E369" s="96"/>
      <c r="F369" s="29">
        <f>F367/F364*100</f>
        <v>35.345405767940981</v>
      </c>
      <c r="G369" s="29">
        <f t="shared" si="25"/>
        <v>37.441314553990615</v>
      </c>
      <c r="H369" s="29">
        <f t="shared" si="25"/>
        <v>39.934853420195438</v>
      </c>
      <c r="I369" s="29">
        <f t="shared" si="25"/>
        <v>39.920948616600796</v>
      </c>
      <c r="J369" s="29">
        <f>J367/J364*100</f>
        <v>40.176600441501101</v>
      </c>
      <c r="K369" s="29">
        <f>K367/K364*100</f>
        <v>41.234756097560975</v>
      </c>
      <c r="L369" s="21"/>
    </row>
    <row r="370" spans="1:12" ht="16.5" thickBot="1" x14ac:dyDescent="0.3">
      <c r="A370" s="1775"/>
      <c r="B370" s="1873"/>
      <c r="C370" s="1169" t="s">
        <v>354</v>
      </c>
      <c r="D370" s="1126"/>
      <c r="E370" s="33"/>
      <c r="F370" s="161">
        <f>+F369-F368</f>
        <v>-11.435416149867237</v>
      </c>
      <c r="G370" s="161">
        <f t="shared" ref="G370:I370" si="26">+G369-G368</f>
        <v>-7.1524902385283795</v>
      </c>
      <c r="H370" s="161">
        <f t="shared" si="26"/>
        <v>-10.714497229155207</v>
      </c>
      <c r="I370" s="161">
        <f t="shared" si="26"/>
        <v>-10.608338609934137</v>
      </c>
      <c r="J370" s="161">
        <f>+J369-J368</f>
        <v>-7.6300910083130233</v>
      </c>
      <c r="K370" s="161">
        <f>+K369-K368</f>
        <v>-10.076105325660002</v>
      </c>
      <c r="L370" s="22"/>
    </row>
    <row r="371" spans="1:12" ht="16.5" thickBot="1" x14ac:dyDescent="0.3">
      <c r="A371" s="1775"/>
      <c r="B371" s="823" t="s">
        <v>249</v>
      </c>
      <c r="C371" s="1681"/>
      <c r="D371" s="1681"/>
      <c r="E371" s="112" t="s">
        <v>442</v>
      </c>
      <c r="F371" s="112" t="s">
        <v>443</v>
      </c>
      <c r="G371" s="112" t="s">
        <v>444</v>
      </c>
      <c r="H371" s="112" t="s">
        <v>445</v>
      </c>
      <c r="I371" s="112" t="s">
        <v>446</v>
      </c>
      <c r="J371" s="112" t="s">
        <v>447</v>
      </c>
      <c r="K371" s="112" t="s">
        <v>448</v>
      </c>
      <c r="L371" s="112" t="s">
        <v>449</v>
      </c>
    </row>
    <row r="372" spans="1:12" ht="15.6" customHeight="1" x14ac:dyDescent="0.25">
      <c r="A372" s="1775"/>
      <c r="B372" s="1876" t="s">
        <v>464</v>
      </c>
      <c r="C372" s="1251" t="s">
        <v>459</v>
      </c>
      <c r="D372" s="1390"/>
      <c r="E372" s="36"/>
      <c r="F372" s="195">
        <v>1392</v>
      </c>
      <c r="G372" s="195">
        <v>1458</v>
      </c>
      <c r="H372" s="195">
        <v>1744</v>
      </c>
      <c r="I372" s="195">
        <v>1686</v>
      </c>
      <c r="J372" s="195">
        <v>1638</v>
      </c>
      <c r="K372" s="195">
        <v>1688</v>
      </c>
      <c r="L372" s="20"/>
    </row>
    <row r="373" spans="1:12" ht="15.6" customHeight="1" x14ac:dyDescent="0.25">
      <c r="A373" s="1775"/>
      <c r="B373" s="1799"/>
      <c r="C373" s="1123" t="s">
        <v>436</v>
      </c>
      <c r="D373" s="1124"/>
      <c r="E373" s="96"/>
      <c r="F373" s="96">
        <v>864</v>
      </c>
      <c r="G373" s="96">
        <v>956</v>
      </c>
      <c r="H373" s="96">
        <v>1175</v>
      </c>
      <c r="I373" s="96">
        <v>1129</v>
      </c>
      <c r="J373" s="96">
        <v>1106</v>
      </c>
      <c r="K373" s="96">
        <v>1126</v>
      </c>
      <c r="L373" s="21"/>
    </row>
    <row r="374" spans="1:12" ht="15.6" customHeight="1" x14ac:dyDescent="0.25">
      <c r="A374" s="1775"/>
      <c r="B374" s="1799"/>
      <c r="C374" s="1123" t="s">
        <v>437</v>
      </c>
      <c r="D374" s="1124"/>
      <c r="E374" s="96"/>
      <c r="F374" s="96">
        <v>528</v>
      </c>
      <c r="G374" s="96">
        <v>502</v>
      </c>
      <c r="H374" s="96">
        <v>569</v>
      </c>
      <c r="I374" s="96">
        <v>557</v>
      </c>
      <c r="J374" s="96">
        <v>532</v>
      </c>
      <c r="K374" s="96">
        <v>562</v>
      </c>
      <c r="L374" s="21"/>
    </row>
    <row r="375" spans="1:12" ht="15.6" customHeight="1" thickBot="1" x14ac:dyDescent="0.3">
      <c r="A375" s="1775"/>
      <c r="B375" s="1799"/>
      <c r="C375" s="1577" t="s">
        <v>270</v>
      </c>
      <c r="D375" s="1578"/>
      <c r="E375" s="360"/>
      <c r="F375" s="435">
        <f t="shared" ref="F375:J375" si="27">F374/F372*100</f>
        <v>37.931034482758619</v>
      </c>
      <c r="G375" s="435">
        <f t="shared" si="27"/>
        <v>34.430727023319619</v>
      </c>
      <c r="H375" s="435">
        <f t="shared" si="27"/>
        <v>32.626146788990823</v>
      </c>
      <c r="I375" s="435">
        <f t="shared" si="27"/>
        <v>33.0367734282325</v>
      </c>
      <c r="J375" s="435">
        <f t="shared" si="27"/>
        <v>32.478632478632477</v>
      </c>
      <c r="K375" s="435">
        <f>K374/K372*100</f>
        <v>33.293838862559241</v>
      </c>
      <c r="L375" s="53"/>
    </row>
    <row r="376" spans="1:12" ht="15.6" customHeight="1" x14ac:dyDescent="0.25">
      <c r="A376" s="1775"/>
      <c r="B376" s="1799"/>
      <c r="C376" s="1159" t="s">
        <v>466</v>
      </c>
      <c r="D376" s="248" t="s">
        <v>251</v>
      </c>
      <c r="E376" s="249"/>
      <c r="F376" s="250">
        <v>357</v>
      </c>
      <c r="G376" s="250">
        <v>367</v>
      </c>
      <c r="H376" s="250">
        <v>428</v>
      </c>
      <c r="I376" s="250">
        <v>435</v>
      </c>
      <c r="J376" s="250">
        <v>370</v>
      </c>
      <c r="K376" s="36">
        <v>402</v>
      </c>
      <c r="L376" s="20"/>
    </row>
    <row r="377" spans="1:12" ht="15.6" customHeight="1" x14ac:dyDescent="0.25">
      <c r="A377" s="1775"/>
      <c r="B377" s="1799"/>
      <c r="C377" s="1160"/>
      <c r="D377" s="28" t="s">
        <v>257</v>
      </c>
      <c r="E377" s="94"/>
      <c r="F377" s="80">
        <v>83</v>
      </c>
      <c r="G377" s="80">
        <v>97</v>
      </c>
      <c r="H377" s="80">
        <v>152</v>
      </c>
      <c r="I377" s="80">
        <v>140</v>
      </c>
      <c r="J377" s="80">
        <v>119</v>
      </c>
      <c r="K377" s="28">
        <v>132</v>
      </c>
      <c r="L377" s="21"/>
    </row>
    <row r="378" spans="1:12" ht="15.6" customHeight="1" x14ac:dyDescent="0.25">
      <c r="A378" s="1775"/>
      <c r="B378" s="1799"/>
      <c r="C378" s="1160"/>
      <c r="D378" s="28" t="s">
        <v>263</v>
      </c>
      <c r="E378" s="94"/>
      <c r="F378" s="80">
        <v>274</v>
      </c>
      <c r="G378" s="80">
        <v>270</v>
      </c>
      <c r="H378" s="80">
        <v>276</v>
      </c>
      <c r="I378" s="80">
        <v>295</v>
      </c>
      <c r="J378" s="80">
        <v>251</v>
      </c>
      <c r="K378" s="28">
        <v>270</v>
      </c>
      <c r="L378" s="21"/>
    </row>
    <row r="379" spans="1:12" ht="15.6" customHeight="1" thickBot="1" x14ac:dyDescent="0.3">
      <c r="A379" s="1775"/>
      <c r="B379" s="1799"/>
      <c r="C379" s="1161"/>
      <c r="D379" s="203" t="s">
        <v>270</v>
      </c>
      <c r="E379" s="106"/>
      <c r="F379" s="251">
        <f>(F378/F376)*100</f>
        <v>76.750700280112056</v>
      </c>
      <c r="G379" s="251">
        <f t="shared" ref="G379:J379" si="28">(G378/G376)*100</f>
        <v>73.56948228882834</v>
      </c>
      <c r="H379" s="251">
        <f t="shared" si="28"/>
        <v>64.485981308411212</v>
      </c>
      <c r="I379" s="251">
        <f t="shared" si="28"/>
        <v>67.81609195402298</v>
      </c>
      <c r="J379" s="251">
        <f t="shared" si="28"/>
        <v>67.837837837837839</v>
      </c>
      <c r="K379" s="251">
        <f>(K378/K376)*100</f>
        <v>67.164179104477611</v>
      </c>
      <c r="L379" s="22"/>
    </row>
    <row r="380" spans="1:12" ht="15.6" customHeight="1" x14ac:dyDescent="0.25">
      <c r="A380" s="1775"/>
      <c r="B380" s="1799"/>
      <c r="C380" s="1659" t="s">
        <v>581</v>
      </c>
      <c r="D380" s="241" t="s">
        <v>251</v>
      </c>
      <c r="E380" s="242"/>
      <c r="F380" s="243">
        <v>232</v>
      </c>
      <c r="G380" s="243">
        <v>297</v>
      </c>
      <c r="H380" s="243">
        <v>361</v>
      </c>
      <c r="I380" s="243">
        <v>343</v>
      </c>
      <c r="J380" s="243">
        <v>407</v>
      </c>
      <c r="K380" s="122">
        <v>438</v>
      </c>
      <c r="L380" s="87"/>
    </row>
    <row r="381" spans="1:12" ht="15.6" customHeight="1" x14ac:dyDescent="0.25">
      <c r="A381" s="1775"/>
      <c r="B381" s="1799"/>
      <c r="C381" s="1160"/>
      <c r="D381" s="28" t="s">
        <v>257</v>
      </c>
      <c r="E381" s="94"/>
      <c r="F381" s="80">
        <v>231</v>
      </c>
      <c r="G381" s="80">
        <v>292</v>
      </c>
      <c r="H381" s="80">
        <v>340</v>
      </c>
      <c r="I381" s="80">
        <v>336</v>
      </c>
      <c r="J381" s="80">
        <v>393</v>
      </c>
      <c r="K381" s="28">
        <v>417</v>
      </c>
      <c r="L381" s="21"/>
    </row>
    <row r="382" spans="1:12" ht="15.6" customHeight="1" x14ac:dyDescent="0.25">
      <c r="A382" s="1775"/>
      <c r="B382" s="1799"/>
      <c r="C382" s="1160"/>
      <c r="D382" s="28" t="s">
        <v>263</v>
      </c>
      <c r="E382" s="94"/>
      <c r="F382" s="80">
        <v>1</v>
      </c>
      <c r="G382" s="80">
        <v>5</v>
      </c>
      <c r="H382" s="80">
        <v>21</v>
      </c>
      <c r="I382" s="80">
        <v>7</v>
      </c>
      <c r="J382" s="80">
        <v>14</v>
      </c>
      <c r="K382" s="897">
        <v>21</v>
      </c>
      <c r="L382" s="21"/>
    </row>
    <row r="383" spans="1:12" ht="15.6" customHeight="1" thickBot="1" x14ac:dyDescent="0.3">
      <c r="A383" s="1775"/>
      <c r="B383" s="1799"/>
      <c r="C383" s="1519"/>
      <c r="D383" s="336" t="s">
        <v>270</v>
      </c>
      <c r="E383" s="128"/>
      <c r="F383" s="596">
        <f>(F382/F380)*100</f>
        <v>0.43103448275862066</v>
      </c>
      <c r="G383" s="596">
        <f t="shared" ref="G383:J383" si="29">(G382/G380)*100</f>
        <v>1.6835016835016834</v>
      </c>
      <c r="H383" s="596">
        <f t="shared" si="29"/>
        <v>5.8171745152354575</v>
      </c>
      <c r="I383" s="596">
        <f t="shared" si="29"/>
        <v>2.0408163265306123</v>
      </c>
      <c r="J383" s="596">
        <f t="shared" si="29"/>
        <v>3.4398034398034398</v>
      </c>
      <c r="K383" s="596">
        <f>(K382/K380)*100</f>
        <v>4.7945205479452051</v>
      </c>
      <c r="L383" s="53"/>
    </row>
    <row r="384" spans="1:12" ht="15.6" customHeight="1" x14ac:dyDescent="0.25">
      <c r="A384" s="1775"/>
      <c r="B384" s="1799"/>
      <c r="C384" s="1159" t="s">
        <v>582</v>
      </c>
      <c r="D384" s="248" t="s">
        <v>251</v>
      </c>
      <c r="E384" s="249"/>
      <c r="F384" s="250">
        <v>230</v>
      </c>
      <c r="G384" s="250">
        <v>189</v>
      </c>
      <c r="H384" s="250">
        <v>174</v>
      </c>
      <c r="I384" s="250">
        <v>173</v>
      </c>
      <c r="J384" s="250">
        <v>143</v>
      </c>
      <c r="K384" s="36">
        <v>146</v>
      </c>
      <c r="L384" s="20"/>
    </row>
    <row r="385" spans="1:12" ht="15.6" customHeight="1" x14ac:dyDescent="0.25">
      <c r="A385" s="1775"/>
      <c r="B385" s="1799"/>
      <c r="C385" s="1160"/>
      <c r="D385" s="28" t="s">
        <v>257</v>
      </c>
      <c r="E385" s="94"/>
      <c r="F385" s="80">
        <v>218</v>
      </c>
      <c r="G385" s="80">
        <v>181</v>
      </c>
      <c r="H385" s="80">
        <v>168</v>
      </c>
      <c r="I385" s="80">
        <v>169</v>
      </c>
      <c r="J385" s="80">
        <v>138</v>
      </c>
      <c r="K385" s="28">
        <v>141</v>
      </c>
      <c r="L385" s="21"/>
    </row>
    <row r="386" spans="1:12" ht="15.6" customHeight="1" x14ac:dyDescent="0.25">
      <c r="A386" s="1775"/>
      <c r="B386" s="1799"/>
      <c r="C386" s="1160"/>
      <c r="D386" s="28" t="s">
        <v>263</v>
      </c>
      <c r="E386" s="94"/>
      <c r="F386" s="80">
        <v>12</v>
      </c>
      <c r="G386" s="80">
        <v>8</v>
      </c>
      <c r="H386" s="80">
        <v>6</v>
      </c>
      <c r="I386" s="80">
        <v>4</v>
      </c>
      <c r="J386" s="80">
        <v>5</v>
      </c>
      <c r="K386" s="28">
        <v>5</v>
      </c>
      <c r="L386" s="21"/>
    </row>
    <row r="387" spans="1:12" ht="15.6" customHeight="1" thickBot="1" x14ac:dyDescent="0.3">
      <c r="A387" s="1775"/>
      <c r="B387" s="1799"/>
      <c r="C387" s="1161"/>
      <c r="D387" s="203" t="s">
        <v>270</v>
      </c>
      <c r="E387" s="106"/>
      <c r="F387" s="253">
        <f t="shared" ref="F387" si="30">(F386/F384)*100</f>
        <v>5.2173913043478262</v>
      </c>
      <c r="G387" s="253">
        <f>(G386/G384)*100</f>
        <v>4.2328042328042326</v>
      </c>
      <c r="H387" s="253">
        <f>(H386/H384)*100</f>
        <v>3.4482758620689653</v>
      </c>
      <c r="I387" s="253">
        <f t="shared" ref="I387:J387" si="31">(I386/I384)*100</f>
        <v>2.3121387283236992</v>
      </c>
      <c r="J387" s="253">
        <f t="shared" si="31"/>
        <v>3.4965034965034967</v>
      </c>
      <c r="K387" s="253">
        <f>(K386/K384)*100</f>
        <v>3.4246575342465753</v>
      </c>
      <c r="L387" s="22"/>
    </row>
    <row r="388" spans="1:12" ht="15.6" customHeight="1" x14ac:dyDescent="0.25">
      <c r="A388" s="1775"/>
      <c r="B388" s="1799"/>
      <c r="C388" s="1659" t="s">
        <v>467</v>
      </c>
      <c r="D388" s="241" t="s">
        <v>251</v>
      </c>
      <c r="E388" s="242"/>
      <c r="F388" s="243">
        <v>213</v>
      </c>
      <c r="G388" s="243">
        <v>221</v>
      </c>
      <c r="H388" s="243">
        <v>252</v>
      </c>
      <c r="I388" s="243">
        <v>253</v>
      </c>
      <c r="J388" s="243">
        <v>253</v>
      </c>
      <c r="K388" s="122">
        <v>250</v>
      </c>
      <c r="L388" s="87"/>
    </row>
    <row r="389" spans="1:12" ht="15.6" customHeight="1" x14ac:dyDescent="0.25">
      <c r="A389" s="1775"/>
      <c r="B389" s="1799"/>
      <c r="C389" s="1160"/>
      <c r="D389" s="28" t="s">
        <v>257</v>
      </c>
      <c r="E389" s="94"/>
      <c r="F389" s="80">
        <v>191</v>
      </c>
      <c r="G389" s="80">
        <v>210</v>
      </c>
      <c r="H389" s="80">
        <v>241</v>
      </c>
      <c r="I389" s="80">
        <v>240</v>
      </c>
      <c r="J389" s="80">
        <v>234</v>
      </c>
      <c r="K389" s="28">
        <v>230</v>
      </c>
      <c r="L389" s="21"/>
    </row>
    <row r="390" spans="1:12" ht="15.6" customHeight="1" x14ac:dyDescent="0.25">
      <c r="A390" s="1775"/>
      <c r="B390" s="1799"/>
      <c r="C390" s="1160"/>
      <c r="D390" s="28" t="s">
        <v>263</v>
      </c>
      <c r="E390" s="94"/>
      <c r="F390" s="80">
        <v>22</v>
      </c>
      <c r="G390" s="80">
        <v>11</v>
      </c>
      <c r="H390" s="80">
        <v>11</v>
      </c>
      <c r="I390" s="80">
        <v>13</v>
      </c>
      <c r="J390" s="80">
        <v>19</v>
      </c>
      <c r="K390" s="28">
        <v>20</v>
      </c>
      <c r="L390" s="21"/>
    </row>
    <row r="391" spans="1:12" ht="15.6" customHeight="1" thickBot="1" x14ac:dyDescent="0.3">
      <c r="A391" s="1775"/>
      <c r="B391" s="1799"/>
      <c r="C391" s="1161"/>
      <c r="D391" s="203" t="s">
        <v>270</v>
      </c>
      <c r="E391" s="106"/>
      <c r="F391" s="253">
        <f>(F390/F388)*100</f>
        <v>10.328638497652582</v>
      </c>
      <c r="G391" s="253">
        <f t="shared" ref="G391:J391" si="32">(G390/G388)*100</f>
        <v>4.9773755656108598</v>
      </c>
      <c r="H391" s="253">
        <f t="shared" si="32"/>
        <v>4.3650793650793647</v>
      </c>
      <c r="I391" s="253">
        <f t="shared" si="32"/>
        <v>5.1383399209486171</v>
      </c>
      <c r="J391" s="253">
        <f t="shared" si="32"/>
        <v>7.5098814229249005</v>
      </c>
      <c r="K391" s="253">
        <f>(K390/K388)*100</f>
        <v>8</v>
      </c>
      <c r="L391" s="22"/>
    </row>
    <row r="392" spans="1:12" ht="15.6" customHeight="1" x14ac:dyDescent="0.25">
      <c r="A392" s="1775"/>
      <c r="B392" s="1826"/>
      <c r="C392" s="1159" t="s">
        <v>583</v>
      </c>
      <c r="D392" s="248" t="s">
        <v>251</v>
      </c>
      <c r="E392" s="249"/>
      <c r="F392" s="344">
        <v>152</v>
      </c>
      <c r="G392" s="250">
        <v>162</v>
      </c>
      <c r="H392" s="250">
        <v>172</v>
      </c>
      <c r="I392" s="250">
        <v>144</v>
      </c>
      <c r="J392" s="250">
        <v>135</v>
      </c>
      <c r="K392" s="36">
        <v>132</v>
      </c>
      <c r="L392" s="20"/>
    </row>
    <row r="393" spans="1:12" ht="15.6" customHeight="1" x14ac:dyDescent="0.25">
      <c r="A393" s="1775"/>
      <c r="B393" s="1826"/>
      <c r="C393" s="1160"/>
      <c r="D393" s="28" t="s">
        <v>257</v>
      </c>
      <c r="E393" s="94"/>
      <c r="F393" s="181">
        <v>3</v>
      </c>
      <c r="G393" s="80">
        <v>13</v>
      </c>
      <c r="H393" s="80">
        <v>21</v>
      </c>
      <c r="I393" s="80">
        <v>16</v>
      </c>
      <c r="J393" s="80">
        <v>17</v>
      </c>
      <c r="K393" s="28">
        <v>13</v>
      </c>
      <c r="L393" s="21"/>
    </row>
    <row r="394" spans="1:12" ht="15.6" customHeight="1" x14ac:dyDescent="0.25">
      <c r="A394" s="1775"/>
      <c r="B394" s="1826"/>
      <c r="C394" s="1160"/>
      <c r="D394" s="28" t="s">
        <v>263</v>
      </c>
      <c r="E394" s="94"/>
      <c r="F394" s="181">
        <v>149</v>
      </c>
      <c r="G394" s="80">
        <v>149</v>
      </c>
      <c r="H394" s="80">
        <v>151</v>
      </c>
      <c r="I394" s="80">
        <v>128</v>
      </c>
      <c r="J394" s="80">
        <v>118</v>
      </c>
      <c r="K394" s="28">
        <v>119</v>
      </c>
      <c r="L394" s="21"/>
    </row>
    <row r="395" spans="1:12" ht="15.6" customHeight="1" thickBot="1" x14ac:dyDescent="0.3">
      <c r="A395" s="1775"/>
      <c r="B395" s="1826"/>
      <c r="C395" s="1161"/>
      <c r="D395" s="33" t="s">
        <v>270</v>
      </c>
      <c r="E395" s="104"/>
      <c r="F395" s="1047">
        <f t="shared" ref="F395:G395" si="33">(F394/F392)*100</f>
        <v>98.026315789473685</v>
      </c>
      <c r="G395" s="1047">
        <f t="shared" si="33"/>
        <v>91.975308641975303</v>
      </c>
      <c r="H395" s="1047">
        <f>(H394/H392)*100</f>
        <v>87.79069767441861</v>
      </c>
      <c r="I395" s="1047">
        <f t="shared" ref="I395:J395" si="34">(I394/I392)*100</f>
        <v>88.888888888888886</v>
      </c>
      <c r="J395" s="1047">
        <f t="shared" si="34"/>
        <v>87.407407407407405</v>
      </c>
      <c r="K395" s="1047">
        <f>(K394/K392)*100</f>
        <v>90.151515151515156</v>
      </c>
      <c r="L395" s="22"/>
    </row>
    <row r="396" spans="1:12" ht="15.6" customHeight="1" x14ac:dyDescent="0.25">
      <c r="A396" s="1775"/>
      <c r="B396" s="1826"/>
      <c r="C396" s="1159" t="s">
        <v>584</v>
      </c>
      <c r="D396" s="248" t="s">
        <v>251</v>
      </c>
      <c r="E396" s="249"/>
      <c r="F396" s="250">
        <v>69</v>
      </c>
      <c r="G396" s="250">
        <v>76</v>
      </c>
      <c r="H396" s="250">
        <v>90</v>
      </c>
      <c r="I396" s="250">
        <v>86</v>
      </c>
      <c r="J396" s="250">
        <v>72</v>
      </c>
      <c r="K396" s="36">
        <v>73</v>
      </c>
      <c r="L396" s="20"/>
    </row>
    <row r="397" spans="1:12" ht="15.6" customHeight="1" x14ac:dyDescent="0.25">
      <c r="A397" s="1775"/>
      <c r="B397" s="1826"/>
      <c r="C397" s="1160"/>
      <c r="D397" s="28" t="s">
        <v>257</v>
      </c>
      <c r="E397" s="94"/>
      <c r="F397" s="80">
        <v>69</v>
      </c>
      <c r="G397" s="80">
        <v>71</v>
      </c>
      <c r="H397" s="80">
        <v>90</v>
      </c>
      <c r="I397" s="80">
        <v>86</v>
      </c>
      <c r="J397" s="80">
        <v>72</v>
      </c>
      <c r="K397" s="28">
        <v>73</v>
      </c>
      <c r="L397" s="21"/>
    </row>
    <row r="398" spans="1:12" ht="15.6" customHeight="1" x14ac:dyDescent="0.25">
      <c r="A398" s="1775"/>
      <c r="B398" s="1826"/>
      <c r="C398" s="1160"/>
      <c r="D398" s="28" t="s">
        <v>263</v>
      </c>
      <c r="E398" s="94"/>
      <c r="F398" s="80">
        <v>0</v>
      </c>
      <c r="G398" s="80">
        <v>5</v>
      </c>
      <c r="H398" s="80">
        <v>0</v>
      </c>
      <c r="I398" s="80">
        <v>0</v>
      </c>
      <c r="J398" s="80">
        <v>0</v>
      </c>
      <c r="K398" s="28">
        <v>0</v>
      </c>
      <c r="L398" s="21"/>
    </row>
    <row r="399" spans="1:12" ht="15.6" customHeight="1" thickBot="1" x14ac:dyDescent="0.3">
      <c r="A399" s="1775"/>
      <c r="B399" s="1826"/>
      <c r="C399" s="1161"/>
      <c r="D399" s="203" t="s">
        <v>270</v>
      </c>
      <c r="E399" s="106"/>
      <c r="F399" s="253">
        <f>(F398/F396)*100</f>
        <v>0</v>
      </c>
      <c r="G399" s="253">
        <f t="shared" ref="G399" si="35">(G398/G396)*100</f>
        <v>6.5789473684210522</v>
      </c>
      <c r="H399" s="253">
        <f>(H398/H396)*100</f>
        <v>0</v>
      </c>
      <c r="I399" s="253">
        <f t="shared" ref="I399:J399" si="36">(I398/I396)*100</f>
        <v>0</v>
      </c>
      <c r="J399" s="253">
        <f t="shared" si="36"/>
        <v>0</v>
      </c>
      <c r="K399" s="253">
        <f>(K398/K396)*100</f>
        <v>0</v>
      </c>
      <c r="L399" s="22"/>
    </row>
    <row r="400" spans="1:12" ht="15.6" customHeight="1" x14ac:dyDescent="0.25">
      <c r="A400" s="1775"/>
      <c r="B400" s="1826"/>
      <c r="C400" s="1159" t="s">
        <v>471</v>
      </c>
      <c r="D400" s="248" t="s">
        <v>251</v>
      </c>
      <c r="E400" s="249"/>
      <c r="F400" s="250">
        <v>35</v>
      </c>
      <c r="G400" s="250">
        <v>55</v>
      </c>
      <c r="H400" s="250">
        <v>126</v>
      </c>
      <c r="I400" s="250">
        <v>125</v>
      </c>
      <c r="J400" s="250">
        <v>125</v>
      </c>
      <c r="K400" s="36">
        <v>128</v>
      </c>
      <c r="L400" s="20"/>
    </row>
    <row r="401" spans="1:12" ht="15.6" customHeight="1" x14ac:dyDescent="0.25">
      <c r="A401" s="1775"/>
      <c r="B401" s="1826"/>
      <c r="C401" s="1160"/>
      <c r="D401" s="28" t="s">
        <v>257</v>
      </c>
      <c r="E401" s="94"/>
      <c r="F401" s="80">
        <v>15</v>
      </c>
      <c r="G401" s="80">
        <v>38</v>
      </c>
      <c r="H401" s="80">
        <v>71</v>
      </c>
      <c r="I401" s="80">
        <v>79</v>
      </c>
      <c r="J401" s="80">
        <v>67</v>
      </c>
      <c r="K401" s="28">
        <v>62</v>
      </c>
      <c r="L401" s="21"/>
    </row>
    <row r="402" spans="1:12" ht="15.6" customHeight="1" x14ac:dyDescent="0.25">
      <c r="A402" s="1775"/>
      <c r="B402" s="1826"/>
      <c r="C402" s="1160"/>
      <c r="D402" s="28" t="s">
        <v>263</v>
      </c>
      <c r="E402" s="94"/>
      <c r="F402" s="80">
        <v>20</v>
      </c>
      <c r="G402" s="80">
        <v>17</v>
      </c>
      <c r="H402" s="80">
        <v>55</v>
      </c>
      <c r="I402" s="80">
        <v>46</v>
      </c>
      <c r="J402" s="80">
        <v>58</v>
      </c>
      <c r="K402" s="28">
        <v>66</v>
      </c>
      <c r="L402" s="21"/>
    </row>
    <row r="403" spans="1:12" ht="15.6" customHeight="1" thickBot="1" x14ac:dyDescent="0.3">
      <c r="A403" s="1775"/>
      <c r="B403" s="1826"/>
      <c r="C403" s="1161"/>
      <c r="D403" s="203" t="s">
        <v>270</v>
      </c>
      <c r="E403" s="106"/>
      <c r="F403" s="252">
        <f t="shared" ref="F403:G403" si="37">(F402/F400)*100</f>
        <v>57.142857142857139</v>
      </c>
      <c r="G403" s="253">
        <f t="shared" si="37"/>
        <v>30.909090909090907</v>
      </c>
      <c r="H403" s="252">
        <f>(H402/H400)*100</f>
        <v>43.650793650793652</v>
      </c>
      <c r="I403" s="253">
        <f t="shared" ref="I403:J403" si="38">(I402/I400)*100</f>
        <v>36.799999999999997</v>
      </c>
      <c r="J403" s="252">
        <f t="shared" si="38"/>
        <v>46.400000000000006</v>
      </c>
      <c r="K403" s="252">
        <f>(K402/K400)*100</f>
        <v>51.5625</v>
      </c>
      <c r="L403" s="22"/>
    </row>
    <row r="404" spans="1:12" ht="15.6" customHeight="1" x14ac:dyDescent="0.25">
      <c r="A404" s="1775"/>
      <c r="B404" s="1826"/>
      <c r="C404" s="1159" t="s">
        <v>585</v>
      </c>
      <c r="D404" s="248" t="s">
        <v>251</v>
      </c>
      <c r="E404" s="249"/>
      <c r="F404" s="250">
        <v>57</v>
      </c>
      <c r="G404" s="250">
        <v>47</v>
      </c>
      <c r="H404" s="250">
        <v>90</v>
      </c>
      <c r="I404" s="250">
        <v>77</v>
      </c>
      <c r="J404" s="250">
        <v>83</v>
      </c>
      <c r="K404" s="36">
        <v>74</v>
      </c>
      <c r="L404" s="20"/>
    </row>
    <row r="405" spans="1:12" ht="15.6" customHeight="1" x14ac:dyDescent="0.25">
      <c r="A405" s="1775"/>
      <c r="B405" s="1826"/>
      <c r="C405" s="1160"/>
      <c r="D405" s="28" t="s">
        <v>257</v>
      </c>
      <c r="E405" s="94"/>
      <c r="F405" s="80">
        <v>42</v>
      </c>
      <c r="G405" s="80">
        <v>32</v>
      </c>
      <c r="H405" s="80">
        <v>63</v>
      </c>
      <c r="I405" s="80">
        <v>40</v>
      </c>
      <c r="J405" s="80">
        <v>49</v>
      </c>
      <c r="K405" s="28">
        <v>42</v>
      </c>
      <c r="L405" s="21"/>
    </row>
    <row r="406" spans="1:12" ht="15.6" customHeight="1" x14ac:dyDescent="0.25">
      <c r="A406" s="1775"/>
      <c r="B406" s="1826"/>
      <c r="C406" s="1160"/>
      <c r="D406" s="28" t="s">
        <v>263</v>
      </c>
      <c r="E406" s="94"/>
      <c r="F406" s="80">
        <v>15</v>
      </c>
      <c r="G406" s="80">
        <v>15</v>
      </c>
      <c r="H406" s="80">
        <v>27</v>
      </c>
      <c r="I406" s="80">
        <v>37</v>
      </c>
      <c r="J406" s="80">
        <v>34</v>
      </c>
      <c r="K406" s="28">
        <v>32</v>
      </c>
      <c r="L406" s="21"/>
    </row>
    <row r="407" spans="1:12" ht="15.6" customHeight="1" thickBot="1" x14ac:dyDescent="0.3">
      <c r="A407" s="1775"/>
      <c r="B407" s="1826"/>
      <c r="C407" s="1161"/>
      <c r="D407" s="203" t="s">
        <v>270</v>
      </c>
      <c r="E407" s="106"/>
      <c r="F407" s="253">
        <f t="shared" ref="F407:J407" si="39">(F406/F404)*100</f>
        <v>26.315789473684209</v>
      </c>
      <c r="G407" s="253">
        <f t="shared" si="39"/>
        <v>31.914893617021278</v>
      </c>
      <c r="H407" s="253">
        <f t="shared" si="39"/>
        <v>30</v>
      </c>
      <c r="I407" s="252">
        <f t="shared" si="39"/>
        <v>48.051948051948052</v>
      </c>
      <c r="J407" s="252">
        <f t="shared" si="39"/>
        <v>40.963855421686745</v>
      </c>
      <c r="K407" s="252">
        <f>(K406/K404)*100</f>
        <v>43.243243243243242</v>
      </c>
      <c r="L407" s="22"/>
    </row>
    <row r="408" spans="1:12" ht="15.6" customHeight="1" x14ac:dyDescent="0.25">
      <c r="A408" s="1775"/>
      <c r="B408" s="1826"/>
      <c r="C408" s="1159" t="s">
        <v>468</v>
      </c>
      <c r="D408" s="248" t="s">
        <v>251</v>
      </c>
      <c r="E408" s="249"/>
      <c r="F408" s="250">
        <v>47</v>
      </c>
      <c r="G408" s="250">
        <v>44</v>
      </c>
      <c r="H408" s="250">
        <v>51</v>
      </c>
      <c r="I408" s="250">
        <v>50</v>
      </c>
      <c r="J408" s="250">
        <v>50</v>
      </c>
      <c r="K408" s="36">
        <v>45</v>
      </c>
      <c r="L408" s="20"/>
    </row>
    <row r="409" spans="1:12" ht="15.6" customHeight="1" x14ac:dyDescent="0.25">
      <c r="A409" s="1775"/>
      <c r="B409" s="1826"/>
      <c r="C409" s="1160"/>
      <c r="D409" s="28" t="s">
        <v>257</v>
      </c>
      <c r="E409" s="94"/>
      <c r="F409" s="80">
        <v>12</v>
      </c>
      <c r="G409" s="80">
        <v>22</v>
      </c>
      <c r="H409" s="80">
        <v>29</v>
      </c>
      <c r="I409" s="80">
        <v>23</v>
      </c>
      <c r="J409" s="80">
        <v>17</v>
      </c>
      <c r="K409" s="28">
        <v>16</v>
      </c>
      <c r="L409" s="21"/>
    </row>
    <row r="410" spans="1:12" ht="15.6" customHeight="1" x14ac:dyDescent="0.25">
      <c r="A410" s="1775"/>
      <c r="B410" s="1826"/>
      <c r="C410" s="1160"/>
      <c r="D410" s="28" t="s">
        <v>263</v>
      </c>
      <c r="E410" s="94"/>
      <c r="F410" s="80">
        <v>35</v>
      </c>
      <c r="G410" s="80">
        <v>22</v>
      </c>
      <c r="H410" s="80">
        <v>22</v>
      </c>
      <c r="I410" s="80">
        <v>27</v>
      </c>
      <c r="J410" s="80">
        <v>33</v>
      </c>
      <c r="K410" s="28">
        <v>29</v>
      </c>
      <c r="L410" s="21"/>
    </row>
    <row r="411" spans="1:12" ht="15.6" customHeight="1" thickBot="1" x14ac:dyDescent="0.3">
      <c r="A411" s="1775"/>
      <c r="B411" s="1826"/>
      <c r="C411" s="1161"/>
      <c r="D411" s="203" t="s">
        <v>270</v>
      </c>
      <c r="E411" s="106"/>
      <c r="F411" s="251">
        <f t="shared" ref="F411:J411" si="40">(F410/F408)*100</f>
        <v>74.468085106382972</v>
      </c>
      <c r="G411" s="252">
        <f t="shared" si="40"/>
        <v>50</v>
      </c>
      <c r="H411" s="252">
        <f t="shared" si="40"/>
        <v>43.137254901960787</v>
      </c>
      <c r="I411" s="252">
        <f t="shared" si="40"/>
        <v>54</v>
      </c>
      <c r="J411" s="251">
        <f t="shared" si="40"/>
        <v>66</v>
      </c>
      <c r="K411" s="251">
        <f>(K410/K408)*100</f>
        <v>64.444444444444443</v>
      </c>
      <c r="L411" s="22"/>
    </row>
    <row r="412" spans="1:12" ht="15.6" customHeight="1" x14ac:dyDescent="0.25">
      <c r="A412" s="1775"/>
      <c r="B412" s="1826"/>
      <c r="C412" s="1166" t="s">
        <v>472</v>
      </c>
      <c r="D412" s="308" t="s">
        <v>473</v>
      </c>
      <c r="E412" s="612"/>
      <c r="F412" s="261">
        <f>5/9*100</f>
        <v>55.555555555555557</v>
      </c>
      <c r="G412" s="261">
        <f>6/9*100</f>
        <v>66.666666666666657</v>
      </c>
      <c r="H412" s="261">
        <f>5/9*100</f>
        <v>55.555555555555557</v>
      </c>
      <c r="I412" s="261">
        <f>5/9*100</f>
        <v>55.555555555555557</v>
      </c>
      <c r="J412" s="261">
        <f>4/9*100</f>
        <v>44.444444444444443</v>
      </c>
      <c r="K412" s="261">
        <f>4/9*100</f>
        <v>44.444444444444443</v>
      </c>
      <c r="L412" s="20"/>
    </row>
    <row r="413" spans="1:12" ht="15.6" customHeight="1" x14ac:dyDescent="0.25">
      <c r="A413" s="1775"/>
      <c r="B413" s="1826"/>
      <c r="C413" s="1167"/>
      <c r="D413" s="232" t="s">
        <v>474</v>
      </c>
      <c r="E413" s="92"/>
      <c r="F413" s="234">
        <f>3/9*100</f>
        <v>33.333333333333329</v>
      </c>
      <c r="G413" s="234">
        <f>2/9*100</f>
        <v>22.222222222222221</v>
      </c>
      <c r="H413" s="234">
        <f>2/9*100</f>
        <v>22.222222222222221</v>
      </c>
      <c r="I413" s="234">
        <f>2/9*100</f>
        <v>22.222222222222221</v>
      </c>
      <c r="J413" s="234">
        <f t="shared" ref="J413" si="41">3/9*100</f>
        <v>33.333333333333329</v>
      </c>
      <c r="K413" s="234">
        <f>3/9*100</f>
        <v>33.333333333333329</v>
      </c>
      <c r="L413" s="21"/>
    </row>
    <row r="414" spans="1:12" ht="15.6" customHeight="1" thickBot="1" x14ac:dyDescent="0.3">
      <c r="A414" s="1775"/>
      <c r="B414" s="1873"/>
      <c r="C414" s="1255"/>
      <c r="D414" s="311" t="s">
        <v>475</v>
      </c>
      <c r="E414" s="106"/>
      <c r="F414" s="312">
        <f>1/9*100</f>
        <v>11.111111111111111</v>
      </c>
      <c r="G414" s="312">
        <f>1/9*100</f>
        <v>11.111111111111111</v>
      </c>
      <c r="H414" s="312">
        <f>2/9*100</f>
        <v>22.222222222222221</v>
      </c>
      <c r="I414" s="312">
        <f t="shared" ref="I414:J414" si="42">2/9*100</f>
        <v>22.222222222222221</v>
      </c>
      <c r="J414" s="312">
        <f t="shared" si="42"/>
        <v>22.222222222222221</v>
      </c>
      <c r="K414" s="312">
        <f>2/9*100</f>
        <v>22.222222222222221</v>
      </c>
      <c r="L414" s="22"/>
    </row>
    <row r="415" spans="1:12" ht="15.6" customHeight="1" thickBot="1" x14ac:dyDescent="0.3">
      <c r="A415" s="1775"/>
      <c r="B415" s="823" t="s">
        <v>249</v>
      </c>
      <c r="C415" s="1681"/>
      <c r="D415" s="1681"/>
      <c r="E415" s="112" t="s">
        <v>442</v>
      </c>
      <c r="F415" s="112" t="s">
        <v>443</v>
      </c>
      <c r="G415" s="112" t="s">
        <v>444</v>
      </c>
      <c r="H415" s="112" t="s">
        <v>445</v>
      </c>
      <c r="I415" s="112" t="s">
        <v>446</v>
      </c>
      <c r="J415" s="112" t="s">
        <v>447</v>
      </c>
      <c r="K415" s="112" t="s">
        <v>448</v>
      </c>
      <c r="L415" s="112" t="s">
        <v>449</v>
      </c>
    </row>
    <row r="416" spans="1:12" ht="15.6" customHeight="1" x14ac:dyDescent="0.25">
      <c r="A416" s="1776"/>
      <c r="B416" s="1744" t="s">
        <v>476</v>
      </c>
      <c r="C416" s="1251" t="s">
        <v>435</v>
      </c>
      <c r="D416" s="1206"/>
      <c r="E416" s="36"/>
      <c r="F416" s="195">
        <v>998</v>
      </c>
      <c r="G416" s="195">
        <v>1365</v>
      </c>
      <c r="H416" s="195">
        <v>2512</v>
      </c>
      <c r="I416" s="195">
        <v>2656</v>
      </c>
      <c r="J416" s="195">
        <v>2435</v>
      </c>
      <c r="K416" s="195">
        <v>2060</v>
      </c>
      <c r="L416" s="20"/>
    </row>
    <row r="417" spans="1:12" ht="15.6" customHeight="1" x14ac:dyDescent="0.25">
      <c r="A417" s="1776"/>
      <c r="B417" s="1678"/>
      <c r="C417" s="1123" t="s">
        <v>436</v>
      </c>
      <c r="D417" s="1124"/>
      <c r="E417" s="96"/>
      <c r="F417" s="96">
        <v>724</v>
      </c>
      <c r="G417" s="96">
        <v>1005</v>
      </c>
      <c r="H417" s="96">
        <v>1551</v>
      </c>
      <c r="I417" s="96">
        <v>1689</v>
      </c>
      <c r="J417" s="96">
        <v>1585</v>
      </c>
      <c r="K417" s="1017">
        <v>1416</v>
      </c>
      <c r="L417" s="21"/>
    </row>
    <row r="418" spans="1:12" ht="15.6" customHeight="1" x14ac:dyDescent="0.25">
      <c r="A418" s="1776"/>
      <c r="B418" s="1678"/>
      <c r="C418" s="1123" t="s">
        <v>437</v>
      </c>
      <c r="D418" s="1124"/>
      <c r="E418" s="96"/>
      <c r="F418" s="96">
        <v>274</v>
      </c>
      <c r="G418" s="96">
        <v>360</v>
      </c>
      <c r="H418" s="96">
        <v>961</v>
      </c>
      <c r="I418" s="96">
        <v>967</v>
      </c>
      <c r="J418" s="96">
        <v>850</v>
      </c>
      <c r="K418" s="1017">
        <v>644</v>
      </c>
      <c r="L418" s="21"/>
    </row>
    <row r="419" spans="1:12" ht="15.6" customHeight="1" thickBot="1" x14ac:dyDescent="0.3">
      <c r="A419" s="1776"/>
      <c r="B419" s="1678"/>
      <c r="C419" s="1170" t="s">
        <v>270</v>
      </c>
      <c r="D419" s="1288"/>
      <c r="E419" s="190"/>
      <c r="F419" s="285">
        <f t="shared" ref="F419:K419" si="43">F418/F416*100</f>
        <v>27.45490981963928</v>
      </c>
      <c r="G419" s="285">
        <f t="shared" si="43"/>
        <v>26.373626373626376</v>
      </c>
      <c r="H419" s="285">
        <f t="shared" si="43"/>
        <v>38.25636942675159</v>
      </c>
      <c r="I419" s="285">
        <f>I418/I416*100</f>
        <v>36.408132530120483</v>
      </c>
      <c r="J419" s="285">
        <f t="shared" si="43"/>
        <v>34.907597535934293</v>
      </c>
      <c r="K419" s="285">
        <f t="shared" si="43"/>
        <v>31.262135922330099</v>
      </c>
      <c r="L419" s="22"/>
    </row>
    <row r="420" spans="1:12" ht="15.6" customHeight="1" x14ac:dyDescent="0.25">
      <c r="A420" s="1776"/>
      <c r="B420" s="1151"/>
      <c r="C420" s="1159" t="s">
        <v>466</v>
      </c>
      <c r="D420" s="248" t="s">
        <v>251</v>
      </c>
      <c r="E420" s="249"/>
      <c r="F420" s="250">
        <v>136</v>
      </c>
      <c r="G420" s="250">
        <v>110</v>
      </c>
      <c r="H420" s="250">
        <v>172</v>
      </c>
      <c r="I420" s="250">
        <v>173</v>
      </c>
      <c r="J420" s="250">
        <v>180</v>
      </c>
      <c r="K420" s="36">
        <v>174</v>
      </c>
      <c r="L420" s="20"/>
    </row>
    <row r="421" spans="1:12" ht="15.6" customHeight="1" x14ac:dyDescent="0.25">
      <c r="A421" s="1776"/>
      <c r="B421" s="1151"/>
      <c r="C421" s="1160"/>
      <c r="D421" s="28" t="s">
        <v>257</v>
      </c>
      <c r="E421" s="94"/>
      <c r="F421" s="80">
        <v>41</v>
      </c>
      <c r="G421" s="80">
        <v>39</v>
      </c>
      <c r="H421" s="80">
        <v>67</v>
      </c>
      <c r="I421" s="80">
        <v>67</v>
      </c>
      <c r="J421" s="80">
        <v>65</v>
      </c>
      <c r="K421" s="28">
        <v>112</v>
      </c>
      <c r="L421" s="21"/>
    </row>
    <row r="422" spans="1:12" ht="15.6" customHeight="1" x14ac:dyDescent="0.25">
      <c r="A422" s="1776"/>
      <c r="B422" s="1151"/>
      <c r="C422" s="1160"/>
      <c r="D422" s="28" t="s">
        <v>263</v>
      </c>
      <c r="E422" s="94"/>
      <c r="F422" s="80">
        <v>95</v>
      </c>
      <c r="G422" s="80">
        <v>71</v>
      </c>
      <c r="H422" s="80">
        <v>105</v>
      </c>
      <c r="I422" s="80">
        <v>106</v>
      </c>
      <c r="J422" s="80">
        <v>115</v>
      </c>
      <c r="K422" s="28">
        <v>62</v>
      </c>
      <c r="L422" s="21"/>
    </row>
    <row r="423" spans="1:12" ht="15.6" customHeight="1" thickBot="1" x14ac:dyDescent="0.3">
      <c r="A423" s="1776"/>
      <c r="B423" s="1151"/>
      <c r="C423" s="1161"/>
      <c r="D423" s="203" t="s">
        <v>270</v>
      </c>
      <c r="E423" s="106"/>
      <c r="F423" s="1046">
        <f>(F422/F420)*100</f>
        <v>69.85294117647058</v>
      </c>
      <c r="G423" s="1046">
        <f t="shared" ref="G423:K423" si="44">(G422/G420)*100</f>
        <v>64.545454545454547</v>
      </c>
      <c r="H423" s="1046">
        <f t="shared" si="44"/>
        <v>61.046511627906973</v>
      </c>
      <c r="I423" s="1046">
        <f t="shared" si="44"/>
        <v>61.271676300578036</v>
      </c>
      <c r="J423" s="1046">
        <f t="shared" si="44"/>
        <v>63.888888888888886</v>
      </c>
      <c r="K423" s="1046">
        <f t="shared" si="44"/>
        <v>35.632183908045981</v>
      </c>
      <c r="L423" s="22"/>
    </row>
    <row r="424" spans="1:12" ht="15.6" customHeight="1" x14ac:dyDescent="0.25">
      <c r="A424" s="1776"/>
      <c r="B424" s="1151"/>
      <c r="C424" s="1159" t="s">
        <v>581</v>
      </c>
      <c r="D424" s="248" t="s">
        <v>251</v>
      </c>
      <c r="E424" s="249"/>
      <c r="F424" s="250">
        <v>291</v>
      </c>
      <c r="G424" s="250">
        <v>487</v>
      </c>
      <c r="H424" s="250">
        <v>524</v>
      </c>
      <c r="I424" s="250">
        <v>615</v>
      </c>
      <c r="J424" s="250">
        <v>607</v>
      </c>
      <c r="K424" s="36">
        <v>620</v>
      </c>
      <c r="L424" s="20"/>
    </row>
    <row r="425" spans="1:12" ht="15.6" customHeight="1" x14ac:dyDescent="0.25">
      <c r="A425" s="1776"/>
      <c r="B425" s="1151"/>
      <c r="C425" s="1160"/>
      <c r="D425" s="28" t="s">
        <v>257</v>
      </c>
      <c r="E425" s="94"/>
      <c r="F425" s="80">
        <v>272</v>
      </c>
      <c r="G425" s="80">
        <v>467</v>
      </c>
      <c r="H425" s="80">
        <v>477</v>
      </c>
      <c r="I425" s="80">
        <v>571</v>
      </c>
      <c r="J425" s="80">
        <v>557</v>
      </c>
      <c r="K425" s="1018">
        <v>562</v>
      </c>
      <c r="L425" s="21"/>
    </row>
    <row r="426" spans="1:12" ht="15.6" customHeight="1" x14ac:dyDescent="0.25">
      <c r="A426" s="1776"/>
      <c r="B426" s="1151"/>
      <c r="C426" s="1160"/>
      <c r="D426" s="28" t="s">
        <v>263</v>
      </c>
      <c r="E426" s="94"/>
      <c r="F426" s="80">
        <v>19</v>
      </c>
      <c r="G426" s="80">
        <v>20</v>
      </c>
      <c r="H426" s="80">
        <v>47</v>
      </c>
      <c r="I426" s="80">
        <v>44</v>
      </c>
      <c r="J426" s="80">
        <v>50</v>
      </c>
      <c r="K426" s="1018">
        <v>58</v>
      </c>
      <c r="L426" s="21"/>
    </row>
    <row r="427" spans="1:12" ht="15.6" customHeight="1" thickBot="1" x14ac:dyDescent="0.3">
      <c r="A427" s="1776"/>
      <c r="B427" s="1151"/>
      <c r="C427" s="1161"/>
      <c r="D427" s="203" t="s">
        <v>270</v>
      </c>
      <c r="E427" s="106"/>
      <c r="F427" s="253">
        <f>(F426/F424)*100</f>
        <v>6.5292096219931279</v>
      </c>
      <c r="G427" s="253">
        <f t="shared" ref="G427:K427" si="45">(G426/G424)*100</f>
        <v>4.1067761806981515</v>
      </c>
      <c r="H427" s="253">
        <f t="shared" si="45"/>
        <v>8.9694656488549622</v>
      </c>
      <c r="I427" s="253">
        <f t="shared" si="45"/>
        <v>7.1544715447154479</v>
      </c>
      <c r="J427" s="253">
        <f t="shared" si="45"/>
        <v>8.2372322899505761</v>
      </c>
      <c r="K427" s="253">
        <f t="shared" si="45"/>
        <v>9.3548387096774199</v>
      </c>
      <c r="L427" s="22"/>
    </row>
    <row r="428" spans="1:12" ht="15.6" customHeight="1" x14ac:dyDescent="0.25">
      <c r="A428" s="1776"/>
      <c r="B428" s="1151"/>
      <c r="C428" s="1159" t="s">
        <v>582</v>
      </c>
      <c r="D428" s="248" t="s">
        <v>251</v>
      </c>
      <c r="E428" s="249"/>
      <c r="F428" s="250">
        <v>115</v>
      </c>
      <c r="G428" s="250">
        <v>81</v>
      </c>
      <c r="H428" s="250">
        <v>22</v>
      </c>
      <c r="I428" s="250">
        <v>27</v>
      </c>
      <c r="J428" s="250">
        <v>23</v>
      </c>
      <c r="K428" s="36">
        <v>8</v>
      </c>
      <c r="L428" s="20"/>
    </row>
    <row r="429" spans="1:12" ht="15.6" customHeight="1" x14ac:dyDescent="0.25">
      <c r="A429" s="1776"/>
      <c r="B429" s="1151"/>
      <c r="C429" s="1160"/>
      <c r="D429" s="28" t="s">
        <v>257</v>
      </c>
      <c r="E429" s="94"/>
      <c r="F429" s="80">
        <v>104</v>
      </c>
      <c r="G429" s="80">
        <v>75</v>
      </c>
      <c r="H429" s="80">
        <v>20</v>
      </c>
      <c r="I429" s="80">
        <v>24</v>
      </c>
      <c r="J429" s="80">
        <v>20</v>
      </c>
      <c r="K429" s="28">
        <v>7</v>
      </c>
      <c r="L429" s="21"/>
    </row>
    <row r="430" spans="1:12" ht="15.6" customHeight="1" x14ac:dyDescent="0.25">
      <c r="A430" s="1776"/>
      <c r="B430" s="1151"/>
      <c r="C430" s="1160"/>
      <c r="D430" s="28" t="s">
        <v>263</v>
      </c>
      <c r="E430" s="94"/>
      <c r="F430" s="80">
        <v>11</v>
      </c>
      <c r="G430" s="80">
        <v>6</v>
      </c>
      <c r="H430" s="80">
        <v>2</v>
      </c>
      <c r="I430" s="80">
        <v>3</v>
      </c>
      <c r="J430" s="80">
        <v>3</v>
      </c>
      <c r="K430" s="28">
        <v>1</v>
      </c>
      <c r="L430" s="21"/>
    </row>
    <row r="431" spans="1:12" ht="15.6" customHeight="1" thickBot="1" x14ac:dyDescent="0.3">
      <c r="A431" s="1776"/>
      <c r="B431" s="1151"/>
      <c r="C431" s="1161"/>
      <c r="D431" s="203" t="s">
        <v>270</v>
      </c>
      <c r="E431" s="106"/>
      <c r="F431" s="253">
        <f t="shared" ref="F431" si="46">(F430/F428)*100</f>
        <v>9.5652173913043477</v>
      </c>
      <c r="G431" s="253">
        <f>(G430/G428)*100</f>
        <v>7.4074074074074066</v>
      </c>
      <c r="H431" s="253">
        <f>(H430/H428)*100</f>
        <v>9.0909090909090917</v>
      </c>
      <c r="I431" s="253">
        <f t="shared" ref="I431:K431" si="47">(I430/I428)*100</f>
        <v>11.111111111111111</v>
      </c>
      <c r="J431" s="253">
        <f t="shared" si="47"/>
        <v>13.043478260869565</v>
      </c>
      <c r="K431" s="253">
        <f t="shared" si="47"/>
        <v>12.5</v>
      </c>
      <c r="L431" s="22"/>
    </row>
    <row r="432" spans="1:12" ht="15.6" customHeight="1" x14ac:dyDescent="0.25">
      <c r="A432" s="1776"/>
      <c r="B432" s="1151"/>
      <c r="C432" s="1159" t="s">
        <v>467</v>
      </c>
      <c r="D432" s="248" t="s">
        <v>251</v>
      </c>
      <c r="E432" s="249"/>
      <c r="F432" s="250">
        <v>209</v>
      </c>
      <c r="G432" s="250">
        <v>238</v>
      </c>
      <c r="H432" s="250">
        <v>528</v>
      </c>
      <c r="I432" s="250">
        <v>526</v>
      </c>
      <c r="J432" s="250">
        <v>553</v>
      </c>
      <c r="K432" s="36">
        <v>523</v>
      </c>
      <c r="L432" s="20"/>
    </row>
    <row r="433" spans="1:12" ht="15.6" customHeight="1" x14ac:dyDescent="0.25">
      <c r="A433" s="1776"/>
      <c r="B433" s="1151"/>
      <c r="C433" s="1160"/>
      <c r="D433" s="28" t="s">
        <v>257</v>
      </c>
      <c r="E433" s="94"/>
      <c r="F433" s="80">
        <v>165</v>
      </c>
      <c r="G433" s="80">
        <v>216</v>
      </c>
      <c r="H433" s="80">
        <v>437</v>
      </c>
      <c r="I433" s="80">
        <v>445</v>
      </c>
      <c r="J433" s="80">
        <v>465</v>
      </c>
      <c r="K433" s="1018">
        <v>439</v>
      </c>
      <c r="L433" s="21"/>
    </row>
    <row r="434" spans="1:12" ht="15.6" customHeight="1" x14ac:dyDescent="0.25">
      <c r="A434" s="1776"/>
      <c r="B434" s="1151"/>
      <c r="C434" s="1160"/>
      <c r="D434" s="28" t="s">
        <v>263</v>
      </c>
      <c r="E434" s="94"/>
      <c r="F434" s="80">
        <v>44</v>
      </c>
      <c r="G434" s="80">
        <v>22</v>
      </c>
      <c r="H434" s="80">
        <v>91</v>
      </c>
      <c r="I434" s="80">
        <v>81</v>
      </c>
      <c r="J434" s="80">
        <v>88</v>
      </c>
      <c r="K434" s="1018">
        <v>84</v>
      </c>
      <c r="L434" s="21"/>
    </row>
    <row r="435" spans="1:12" ht="15.6" customHeight="1" thickBot="1" x14ac:dyDescent="0.3">
      <c r="A435" s="1776"/>
      <c r="B435" s="1151"/>
      <c r="C435" s="1161"/>
      <c r="D435" s="203" t="s">
        <v>270</v>
      </c>
      <c r="E435" s="106"/>
      <c r="F435" s="253">
        <f>(F434/F432)*100</f>
        <v>21.052631578947366</v>
      </c>
      <c r="G435" s="253">
        <f t="shared" ref="G435:K435" si="48">(G434/G432)*100</f>
        <v>9.2436974789915975</v>
      </c>
      <c r="H435" s="253">
        <f t="shared" si="48"/>
        <v>17.234848484848484</v>
      </c>
      <c r="I435" s="253">
        <f t="shared" si="48"/>
        <v>15.399239543726237</v>
      </c>
      <c r="J435" s="253">
        <f t="shared" si="48"/>
        <v>15.913200723327305</v>
      </c>
      <c r="K435" s="253">
        <f t="shared" si="48"/>
        <v>16.061185468451242</v>
      </c>
      <c r="L435" s="22"/>
    </row>
    <row r="436" spans="1:12" ht="15.6" customHeight="1" x14ac:dyDescent="0.25">
      <c r="A436" s="1776"/>
      <c r="B436" s="1151"/>
      <c r="C436" s="1159" t="s">
        <v>583</v>
      </c>
      <c r="D436" s="248" t="s">
        <v>251</v>
      </c>
      <c r="E436" s="249"/>
      <c r="F436" s="344">
        <v>48</v>
      </c>
      <c r="G436" s="250">
        <v>31</v>
      </c>
      <c r="H436" s="250">
        <v>46</v>
      </c>
      <c r="I436" s="250">
        <v>36</v>
      </c>
      <c r="J436" s="250">
        <v>33</v>
      </c>
      <c r="K436" s="36">
        <v>28</v>
      </c>
      <c r="L436" s="20"/>
    </row>
    <row r="437" spans="1:12" ht="15.6" customHeight="1" x14ac:dyDescent="0.25">
      <c r="A437" s="1776"/>
      <c r="B437" s="1151"/>
      <c r="C437" s="1160"/>
      <c r="D437" s="28" t="s">
        <v>257</v>
      </c>
      <c r="E437" s="94"/>
      <c r="F437" s="181">
        <v>2</v>
      </c>
      <c r="G437" s="80">
        <v>0</v>
      </c>
      <c r="H437" s="80">
        <v>0</v>
      </c>
      <c r="I437" s="80">
        <v>2</v>
      </c>
      <c r="J437" s="80">
        <v>1</v>
      </c>
      <c r="K437" s="28"/>
      <c r="L437" s="21"/>
    </row>
    <row r="438" spans="1:12" ht="15.6" customHeight="1" x14ac:dyDescent="0.25">
      <c r="A438" s="1776"/>
      <c r="B438" s="1151"/>
      <c r="C438" s="1160"/>
      <c r="D438" s="28" t="s">
        <v>263</v>
      </c>
      <c r="E438" s="94"/>
      <c r="F438" s="181">
        <v>46</v>
      </c>
      <c r="G438" s="80">
        <v>31</v>
      </c>
      <c r="H438" s="80">
        <v>46</v>
      </c>
      <c r="I438" s="80">
        <v>34</v>
      </c>
      <c r="J438" s="80">
        <v>32</v>
      </c>
      <c r="K438" s="28">
        <v>28</v>
      </c>
      <c r="L438" s="21"/>
    </row>
    <row r="439" spans="1:12" ht="15.6" customHeight="1" thickBot="1" x14ac:dyDescent="0.3">
      <c r="A439" s="1776"/>
      <c r="B439" s="1151"/>
      <c r="C439" s="1161"/>
      <c r="D439" s="203" t="s">
        <v>270</v>
      </c>
      <c r="E439" s="106"/>
      <c r="F439" s="1046">
        <f t="shared" ref="F439:G439" si="49">(F438/F436)*100</f>
        <v>95.833333333333343</v>
      </c>
      <c r="G439" s="1046">
        <f t="shared" si="49"/>
        <v>100</v>
      </c>
      <c r="H439" s="1046">
        <f>(H438/H436)*100</f>
        <v>100</v>
      </c>
      <c r="I439" s="1046">
        <f t="shared" ref="I439:K439" si="50">(I438/I436)*100</f>
        <v>94.444444444444443</v>
      </c>
      <c r="J439" s="1046">
        <f t="shared" si="50"/>
        <v>96.969696969696969</v>
      </c>
      <c r="K439" s="1046">
        <f t="shared" si="50"/>
        <v>100</v>
      </c>
      <c r="L439" s="22"/>
    </row>
    <row r="440" spans="1:12" ht="15.6" customHeight="1" x14ac:dyDescent="0.25">
      <c r="A440" s="1776"/>
      <c r="B440" s="1151"/>
      <c r="C440" s="1159" t="s">
        <v>584</v>
      </c>
      <c r="D440" s="248" t="s">
        <v>251</v>
      </c>
      <c r="E440" s="249"/>
      <c r="F440" s="250">
        <v>36</v>
      </c>
      <c r="G440" s="250">
        <v>37</v>
      </c>
      <c r="H440" s="250">
        <v>45</v>
      </c>
      <c r="I440" s="250">
        <v>51</v>
      </c>
      <c r="J440" s="250">
        <v>53</v>
      </c>
      <c r="K440" s="36">
        <v>50</v>
      </c>
      <c r="L440" s="20"/>
    </row>
    <row r="441" spans="1:12" ht="15.6" customHeight="1" x14ac:dyDescent="0.25">
      <c r="A441" s="1776"/>
      <c r="B441" s="1151"/>
      <c r="C441" s="1160"/>
      <c r="D441" s="28" t="s">
        <v>257</v>
      </c>
      <c r="E441" s="94"/>
      <c r="F441" s="80">
        <v>36</v>
      </c>
      <c r="G441" s="80">
        <v>37</v>
      </c>
      <c r="H441" s="80">
        <v>45</v>
      </c>
      <c r="I441" s="80">
        <v>51</v>
      </c>
      <c r="J441" s="80">
        <v>53</v>
      </c>
      <c r="K441" s="28">
        <v>50</v>
      </c>
      <c r="L441" s="21"/>
    </row>
    <row r="442" spans="1:12" ht="15.6" customHeight="1" x14ac:dyDescent="0.25">
      <c r="A442" s="1776"/>
      <c r="B442" s="1151"/>
      <c r="C442" s="1160"/>
      <c r="D442" s="28" t="s">
        <v>263</v>
      </c>
      <c r="E442" s="94"/>
      <c r="F442" s="80">
        <v>0</v>
      </c>
      <c r="G442" s="80">
        <v>0</v>
      </c>
      <c r="H442" s="80">
        <v>0</v>
      </c>
      <c r="I442" s="80">
        <v>0</v>
      </c>
      <c r="J442" s="80">
        <v>0</v>
      </c>
      <c r="K442" s="28"/>
      <c r="L442" s="21"/>
    </row>
    <row r="443" spans="1:12" ht="15.6" customHeight="1" thickBot="1" x14ac:dyDescent="0.3">
      <c r="A443" s="1776"/>
      <c r="B443" s="1151"/>
      <c r="C443" s="1161"/>
      <c r="D443" s="203" t="s">
        <v>270</v>
      </c>
      <c r="E443" s="106"/>
      <c r="F443" s="253">
        <f t="shared" ref="F443:G443" si="51">(F442/F440)*100</f>
        <v>0</v>
      </c>
      <c r="G443" s="253">
        <f t="shared" si="51"/>
        <v>0</v>
      </c>
      <c r="H443" s="253">
        <f>(H442/H440)*100</f>
        <v>0</v>
      </c>
      <c r="I443" s="253">
        <f t="shared" ref="I443:K443" si="52">(I442/I440)*100</f>
        <v>0</v>
      </c>
      <c r="J443" s="253">
        <f t="shared" si="52"/>
        <v>0</v>
      </c>
      <c r="K443" s="253">
        <f t="shared" si="52"/>
        <v>0</v>
      </c>
      <c r="L443" s="22"/>
    </row>
    <row r="444" spans="1:12" ht="15.6" customHeight="1" x14ac:dyDescent="0.25">
      <c r="A444" s="1776"/>
      <c r="B444" s="1151"/>
      <c r="C444" s="1159" t="s">
        <v>471</v>
      </c>
      <c r="D444" s="248" t="s">
        <v>251</v>
      </c>
      <c r="E444" s="249"/>
      <c r="F444" s="250"/>
      <c r="G444" s="250">
        <v>32</v>
      </c>
      <c r="H444" s="250">
        <v>485</v>
      </c>
      <c r="I444" s="250">
        <v>494</v>
      </c>
      <c r="J444" s="250">
        <v>393</v>
      </c>
      <c r="K444" s="36">
        <v>250</v>
      </c>
      <c r="L444" s="20"/>
    </row>
    <row r="445" spans="1:12" ht="15.6" customHeight="1" x14ac:dyDescent="0.25">
      <c r="A445" s="1776"/>
      <c r="B445" s="1151"/>
      <c r="C445" s="1160"/>
      <c r="D445" s="28" t="s">
        <v>257</v>
      </c>
      <c r="E445" s="94"/>
      <c r="F445" s="80"/>
      <c r="G445" s="80">
        <v>21</v>
      </c>
      <c r="H445" s="80">
        <v>293</v>
      </c>
      <c r="I445" s="80">
        <v>300</v>
      </c>
      <c r="J445" s="80">
        <v>231</v>
      </c>
      <c r="K445" s="1018">
        <v>141</v>
      </c>
      <c r="L445" s="21"/>
    </row>
    <row r="446" spans="1:12" ht="15.6" customHeight="1" x14ac:dyDescent="0.25">
      <c r="A446" s="1776"/>
      <c r="B446" s="1151"/>
      <c r="C446" s="1160"/>
      <c r="D446" s="28" t="s">
        <v>263</v>
      </c>
      <c r="E446" s="94"/>
      <c r="F446" s="80"/>
      <c r="G446" s="80">
        <v>11</v>
      </c>
      <c r="H446" s="80">
        <v>192</v>
      </c>
      <c r="I446" s="80">
        <v>194</v>
      </c>
      <c r="J446" s="80">
        <v>162</v>
      </c>
      <c r="K446" s="1018">
        <v>109</v>
      </c>
      <c r="L446" s="21"/>
    </row>
    <row r="447" spans="1:12" ht="15.6" customHeight="1" thickBot="1" x14ac:dyDescent="0.3">
      <c r="A447" s="1776"/>
      <c r="B447" s="1151"/>
      <c r="C447" s="1161"/>
      <c r="D447" s="203" t="s">
        <v>270</v>
      </c>
      <c r="E447" s="106"/>
      <c r="F447" s="197"/>
      <c r="G447" s="253">
        <f t="shared" ref="G447:I447" si="53">(G446/G444)*100</f>
        <v>34.375</v>
      </c>
      <c r="H447" s="253">
        <f t="shared" si="53"/>
        <v>39.587628865979383</v>
      </c>
      <c r="I447" s="253">
        <f t="shared" si="53"/>
        <v>39.271255060728741</v>
      </c>
      <c r="J447" s="252">
        <f t="shared" ref="J447:K447" si="54">(J446/J444)*100</f>
        <v>41.221374045801525</v>
      </c>
      <c r="K447" s="252">
        <f t="shared" si="54"/>
        <v>43.6</v>
      </c>
      <c r="L447" s="22"/>
    </row>
    <row r="448" spans="1:12" ht="15.6" customHeight="1" x14ac:dyDescent="0.25">
      <c r="A448" s="1776"/>
      <c r="B448" s="1151"/>
      <c r="C448" s="1159" t="s">
        <v>477</v>
      </c>
      <c r="D448" s="248" t="s">
        <v>251</v>
      </c>
      <c r="E448" s="249"/>
      <c r="F448" s="250"/>
      <c r="G448" s="250">
        <v>111</v>
      </c>
      <c r="H448" s="250">
        <v>214</v>
      </c>
      <c r="I448" s="250">
        <v>196</v>
      </c>
      <c r="J448" s="250">
        <v>168</v>
      </c>
      <c r="K448" s="36">
        <v>96</v>
      </c>
      <c r="L448" s="20"/>
    </row>
    <row r="449" spans="1:12" ht="15.6" customHeight="1" x14ac:dyDescent="0.25">
      <c r="A449" s="1776"/>
      <c r="B449" s="1151"/>
      <c r="C449" s="1160"/>
      <c r="D449" s="28" t="s">
        <v>257</v>
      </c>
      <c r="E449" s="94"/>
      <c r="F449" s="80"/>
      <c r="G449" s="80">
        <v>5</v>
      </c>
      <c r="H449" s="80">
        <v>22</v>
      </c>
      <c r="I449" s="80">
        <v>21</v>
      </c>
      <c r="J449" s="80">
        <v>17</v>
      </c>
      <c r="K449" s="1018">
        <v>18</v>
      </c>
      <c r="L449" s="21"/>
    </row>
    <row r="450" spans="1:12" ht="15.6" customHeight="1" x14ac:dyDescent="0.25">
      <c r="A450" s="1776"/>
      <c r="B450" s="1151"/>
      <c r="C450" s="1160"/>
      <c r="D450" s="28" t="s">
        <v>263</v>
      </c>
      <c r="E450" s="94"/>
      <c r="F450" s="80"/>
      <c r="G450" s="80">
        <v>106</v>
      </c>
      <c r="H450" s="80">
        <v>192</v>
      </c>
      <c r="I450" s="80">
        <v>175</v>
      </c>
      <c r="J450" s="80">
        <v>151</v>
      </c>
      <c r="K450" s="1018">
        <v>78</v>
      </c>
      <c r="L450" s="21"/>
    </row>
    <row r="451" spans="1:12" ht="15.6" customHeight="1" thickBot="1" x14ac:dyDescent="0.3">
      <c r="A451" s="1776"/>
      <c r="B451" s="1151"/>
      <c r="C451" s="1161"/>
      <c r="D451" s="203" t="s">
        <v>270</v>
      </c>
      <c r="E451" s="106"/>
      <c r="F451" s="197"/>
      <c r="G451" s="1046">
        <f t="shared" ref="G451:K451" si="55">(G450/G448)*100</f>
        <v>95.495495495495504</v>
      </c>
      <c r="H451" s="1046">
        <f t="shared" si="55"/>
        <v>89.719626168224295</v>
      </c>
      <c r="I451" s="1046">
        <f t="shared" si="55"/>
        <v>89.285714285714292</v>
      </c>
      <c r="J451" s="1046">
        <f t="shared" si="55"/>
        <v>89.88095238095238</v>
      </c>
      <c r="K451" s="1046">
        <f t="shared" si="55"/>
        <v>81.25</v>
      </c>
      <c r="L451" s="22"/>
    </row>
    <row r="452" spans="1:12" ht="15.6" customHeight="1" x14ac:dyDescent="0.25">
      <c r="A452" s="1776"/>
      <c r="B452" s="1151"/>
      <c r="C452" s="1159" t="s">
        <v>468</v>
      </c>
      <c r="D452" s="248" t="s">
        <v>251</v>
      </c>
      <c r="E452" s="249"/>
      <c r="F452" s="250">
        <v>87</v>
      </c>
      <c r="G452" s="250">
        <v>123</v>
      </c>
      <c r="H452" s="250">
        <v>143</v>
      </c>
      <c r="I452" s="250">
        <v>143</v>
      </c>
      <c r="J452" s="250">
        <v>135</v>
      </c>
      <c r="K452" s="36">
        <v>117</v>
      </c>
      <c r="L452" s="20"/>
    </row>
    <row r="453" spans="1:12" ht="15.6" customHeight="1" x14ac:dyDescent="0.25">
      <c r="A453" s="1776"/>
      <c r="B453" s="1151"/>
      <c r="C453" s="1160"/>
      <c r="D453" s="28" t="s">
        <v>257</v>
      </c>
      <c r="E453" s="94"/>
      <c r="F453" s="80">
        <v>42</v>
      </c>
      <c r="G453" s="80">
        <v>71</v>
      </c>
      <c r="H453" s="80">
        <v>68</v>
      </c>
      <c r="I453" s="80">
        <v>72</v>
      </c>
      <c r="J453" s="80">
        <v>69</v>
      </c>
      <c r="K453" s="1018">
        <v>66</v>
      </c>
      <c r="L453" s="21"/>
    </row>
    <row r="454" spans="1:12" ht="15.6" customHeight="1" x14ac:dyDescent="0.25">
      <c r="A454" s="1776"/>
      <c r="B454" s="1151"/>
      <c r="C454" s="1160"/>
      <c r="D454" s="28" t="s">
        <v>263</v>
      </c>
      <c r="E454" s="94"/>
      <c r="F454" s="80">
        <v>45</v>
      </c>
      <c r="G454" s="80">
        <v>52</v>
      </c>
      <c r="H454" s="80">
        <v>75</v>
      </c>
      <c r="I454" s="80">
        <v>71</v>
      </c>
      <c r="J454" s="80">
        <v>66</v>
      </c>
      <c r="K454" s="1018">
        <v>51</v>
      </c>
      <c r="L454" s="21"/>
    </row>
    <row r="455" spans="1:12" ht="15.6" customHeight="1" thickBot="1" x14ac:dyDescent="0.3">
      <c r="A455" s="1776"/>
      <c r="B455" s="1151"/>
      <c r="C455" s="1161"/>
      <c r="D455" s="203" t="s">
        <v>270</v>
      </c>
      <c r="E455" s="106"/>
      <c r="F455" s="252">
        <f t="shared" ref="F455:K455" si="56">(F454/F452)*100</f>
        <v>51.724137931034484</v>
      </c>
      <c r="G455" s="252">
        <f t="shared" si="56"/>
        <v>42.276422764227647</v>
      </c>
      <c r="H455" s="252">
        <f t="shared" si="56"/>
        <v>52.447552447552447</v>
      </c>
      <c r="I455" s="252">
        <f t="shared" si="56"/>
        <v>49.650349650349654</v>
      </c>
      <c r="J455" s="252">
        <f t="shared" si="56"/>
        <v>48.888888888888886</v>
      </c>
      <c r="K455" s="252">
        <f t="shared" si="56"/>
        <v>43.589743589743591</v>
      </c>
      <c r="L455" s="22"/>
    </row>
    <row r="456" spans="1:12" ht="15.6" customHeight="1" x14ac:dyDescent="0.25">
      <c r="A456" s="1776"/>
      <c r="B456" s="1151"/>
      <c r="C456" s="1159" t="s">
        <v>465</v>
      </c>
      <c r="D456" s="248" t="s">
        <v>251</v>
      </c>
      <c r="E456" s="249"/>
      <c r="F456" s="250"/>
      <c r="G456" s="250">
        <v>39</v>
      </c>
      <c r="H456" s="250">
        <v>278</v>
      </c>
      <c r="I456" s="250">
        <v>341</v>
      </c>
      <c r="J456" s="250">
        <v>239</v>
      </c>
      <c r="K456" s="36">
        <v>152</v>
      </c>
      <c r="L456" s="20"/>
    </row>
    <row r="457" spans="1:12" ht="15.6" customHeight="1" x14ac:dyDescent="0.25">
      <c r="A457" s="1776"/>
      <c r="B457" s="1151"/>
      <c r="C457" s="1160"/>
      <c r="D457" s="28" t="s">
        <v>257</v>
      </c>
      <c r="E457" s="94"/>
      <c r="F457" s="80"/>
      <c r="G457" s="80">
        <v>9</v>
      </c>
      <c r="H457" s="80">
        <v>67</v>
      </c>
      <c r="I457" s="80">
        <v>82</v>
      </c>
      <c r="J457" s="80">
        <v>56</v>
      </c>
      <c r="K457" s="1018">
        <v>30</v>
      </c>
      <c r="L457" s="21"/>
    </row>
    <row r="458" spans="1:12" ht="15.6" customHeight="1" x14ac:dyDescent="0.25">
      <c r="A458" s="1776"/>
      <c r="B458" s="1151"/>
      <c r="C458" s="1160"/>
      <c r="D458" s="28" t="s">
        <v>263</v>
      </c>
      <c r="E458" s="94"/>
      <c r="F458" s="80"/>
      <c r="G458" s="80">
        <v>30</v>
      </c>
      <c r="H458" s="80">
        <v>211</v>
      </c>
      <c r="I458" s="80">
        <v>259</v>
      </c>
      <c r="J458" s="80">
        <v>183</v>
      </c>
      <c r="K458" s="1018">
        <v>122</v>
      </c>
      <c r="L458" s="21"/>
    </row>
    <row r="459" spans="1:12" ht="15.6" customHeight="1" thickBot="1" x14ac:dyDescent="0.3">
      <c r="A459" s="1776"/>
      <c r="B459" s="1151"/>
      <c r="C459" s="1161"/>
      <c r="D459" s="203" t="s">
        <v>270</v>
      </c>
      <c r="E459" s="106"/>
      <c r="F459" s="197"/>
      <c r="G459" s="1046">
        <f t="shared" ref="G459:K459" si="57">(G458/G456)*100</f>
        <v>76.923076923076934</v>
      </c>
      <c r="H459" s="1046">
        <f t="shared" si="57"/>
        <v>75.899280575539578</v>
      </c>
      <c r="I459" s="1046">
        <f t="shared" si="57"/>
        <v>75.953079178885631</v>
      </c>
      <c r="J459" s="1046">
        <f t="shared" si="57"/>
        <v>76.569037656903774</v>
      </c>
      <c r="K459" s="1046">
        <f t="shared" si="57"/>
        <v>80.26315789473685</v>
      </c>
      <c r="L459" s="22"/>
    </row>
    <row r="460" spans="1:12" ht="15.6" customHeight="1" x14ac:dyDescent="0.25">
      <c r="A460" s="1776"/>
      <c r="B460" s="1151"/>
      <c r="C460" s="1159" t="s">
        <v>478</v>
      </c>
      <c r="D460" s="248" t="s">
        <v>251</v>
      </c>
      <c r="E460" s="249"/>
      <c r="F460" s="250"/>
      <c r="G460" s="250">
        <v>47</v>
      </c>
      <c r="H460" s="250">
        <v>55</v>
      </c>
      <c r="I460" s="250">
        <v>54</v>
      </c>
      <c r="J460" s="250">
        <v>51</v>
      </c>
      <c r="K460" s="36">
        <v>42</v>
      </c>
      <c r="L460" s="20"/>
    </row>
    <row r="461" spans="1:12" ht="15.6" customHeight="1" x14ac:dyDescent="0.25">
      <c r="A461" s="1776"/>
      <c r="B461" s="1151"/>
      <c r="C461" s="1160"/>
      <c r="D461" s="28" t="s">
        <v>257</v>
      </c>
      <c r="E461" s="94"/>
      <c r="F461" s="80"/>
      <c r="G461" s="80">
        <v>47</v>
      </c>
      <c r="H461" s="80">
        <v>55</v>
      </c>
      <c r="I461" s="80">
        <v>54</v>
      </c>
      <c r="J461" s="80">
        <v>51</v>
      </c>
      <c r="K461" s="28">
        <v>41</v>
      </c>
      <c r="L461" s="21"/>
    </row>
    <row r="462" spans="1:12" ht="15.6" customHeight="1" x14ac:dyDescent="0.25">
      <c r="A462" s="1776"/>
      <c r="B462" s="1151"/>
      <c r="C462" s="1160"/>
      <c r="D462" s="28" t="s">
        <v>263</v>
      </c>
      <c r="E462" s="94"/>
      <c r="F462" s="80"/>
      <c r="G462" s="80">
        <v>0</v>
      </c>
      <c r="H462" s="80">
        <v>0</v>
      </c>
      <c r="I462" s="80">
        <v>0</v>
      </c>
      <c r="J462" s="80">
        <v>0</v>
      </c>
      <c r="K462" s="28">
        <v>1</v>
      </c>
      <c r="L462" s="21"/>
    </row>
    <row r="463" spans="1:12" ht="15.6" customHeight="1" thickBot="1" x14ac:dyDescent="0.3">
      <c r="A463" s="1776"/>
      <c r="B463" s="1151"/>
      <c r="C463" s="1161"/>
      <c r="D463" s="203" t="s">
        <v>270</v>
      </c>
      <c r="E463" s="106"/>
      <c r="F463" s="197"/>
      <c r="G463" s="253">
        <f t="shared" ref="G463:K463" si="58">(G462/G460)*100</f>
        <v>0</v>
      </c>
      <c r="H463" s="253">
        <f t="shared" si="58"/>
        <v>0</v>
      </c>
      <c r="I463" s="253">
        <f t="shared" si="58"/>
        <v>0</v>
      </c>
      <c r="J463" s="253">
        <f t="shared" si="58"/>
        <v>0</v>
      </c>
      <c r="K463" s="253">
        <f t="shared" si="58"/>
        <v>2.3809523809523809</v>
      </c>
      <c r="L463" s="22"/>
    </row>
    <row r="464" spans="1:12" ht="15.6" customHeight="1" x14ac:dyDescent="0.25">
      <c r="A464" s="1776"/>
      <c r="B464" s="1151"/>
      <c r="C464" s="1159" t="s">
        <v>586</v>
      </c>
      <c r="D464" s="248" t="s">
        <v>251</v>
      </c>
      <c r="E464" s="249"/>
      <c r="F464" s="250">
        <v>76</v>
      </c>
      <c r="G464" s="250">
        <v>29</v>
      </c>
      <c r="H464" s="250"/>
      <c r="I464" s="250"/>
      <c r="J464" s="250"/>
      <c r="K464" s="36"/>
      <c r="L464" s="20"/>
    </row>
    <row r="465" spans="1:12" ht="15.6" customHeight="1" x14ac:dyDescent="0.25">
      <c r="A465" s="1776"/>
      <c r="B465" s="1151"/>
      <c r="C465" s="1160"/>
      <c r="D465" s="28" t="s">
        <v>257</v>
      </c>
      <c r="E465" s="94"/>
      <c r="F465" s="80">
        <v>62</v>
      </c>
      <c r="G465" s="80">
        <v>18</v>
      </c>
      <c r="H465" s="80"/>
      <c r="I465" s="80"/>
      <c r="J465" s="80"/>
      <c r="K465" s="28"/>
      <c r="L465" s="21"/>
    </row>
    <row r="466" spans="1:12" ht="15.6" customHeight="1" x14ac:dyDescent="0.25">
      <c r="A466" s="1776"/>
      <c r="B466" s="1151"/>
      <c r="C466" s="1160"/>
      <c r="D466" s="28" t="s">
        <v>263</v>
      </c>
      <c r="E466" s="94"/>
      <c r="F466" s="80">
        <v>14</v>
      </c>
      <c r="G466" s="80">
        <v>11</v>
      </c>
      <c r="H466" s="80"/>
      <c r="I466" s="80"/>
      <c r="J466" s="80"/>
      <c r="K466" s="28"/>
      <c r="L466" s="21"/>
    </row>
    <row r="467" spans="1:12" ht="15.6" customHeight="1" thickBot="1" x14ac:dyDescent="0.3">
      <c r="A467" s="1776"/>
      <c r="B467" s="1151"/>
      <c r="C467" s="1161"/>
      <c r="D467" s="203" t="s">
        <v>270</v>
      </c>
      <c r="E467" s="106"/>
      <c r="F467" s="253">
        <f t="shared" ref="F467:G467" si="59">(F466/F464)*100</f>
        <v>18.421052631578945</v>
      </c>
      <c r="G467" s="253">
        <f t="shared" si="59"/>
        <v>37.931034482758619</v>
      </c>
      <c r="H467" s="197"/>
      <c r="I467" s="197"/>
      <c r="J467" s="197"/>
      <c r="K467" s="33"/>
      <c r="L467" s="22"/>
    </row>
    <row r="468" spans="1:12" ht="15.6" customHeight="1" x14ac:dyDescent="0.25">
      <c r="A468" s="1776"/>
      <c r="B468" s="1151"/>
      <c r="C468" s="1166" t="s">
        <v>472</v>
      </c>
      <c r="D468" s="308" t="s">
        <v>473</v>
      </c>
      <c r="E468" s="612"/>
      <c r="F468" s="261">
        <f>5/8*100</f>
        <v>62.5</v>
      </c>
      <c r="G468" s="261">
        <f>7/12*100</f>
        <v>58.333333333333336</v>
      </c>
      <c r="H468" s="261">
        <f>6/11*100</f>
        <v>54.54545454545454</v>
      </c>
      <c r="I468" s="261">
        <f>6/11*100</f>
        <v>54.54545454545454</v>
      </c>
      <c r="J468" s="261">
        <f>5/11*100</f>
        <v>45.454545454545453</v>
      </c>
      <c r="K468" s="261">
        <f>5/11*100</f>
        <v>45.454545454545453</v>
      </c>
      <c r="L468" s="20"/>
    </row>
    <row r="469" spans="1:12" ht="15.6" customHeight="1" x14ac:dyDescent="0.25">
      <c r="A469" s="1776"/>
      <c r="B469" s="1151"/>
      <c r="C469" s="1167"/>
      <c r="D469" s="232" t="s">
        <v>474</v>
      </c>
      <c r="E469" s="92"/>
      <c r="F469" s="234">
        <f>2/8*100</f>
        <v>25</v>
      </c>
      <c r="G469" s="234">
        <f>4/12*100</f>
        <v>33.333333333333329</v>
      </c>
      <c r="H469" s="234">
        <f>4/11*100</f>
        <v>36.363636363636367</v>
      </c>
      <c r="I469" s="234">
        <f>4/11*100</f>
        <v>36.363636363636367</v>
      </c>
      <c r="J469" s="234">
        <f>4/11*100</f>
        <v>36.363636363636367</v>
      </c>
      <c r="K469" s="234">
        <f>4/11*100</f>
        <v>36.363636363636367</v>
      </c>
      <c r="L469" s="21"/>
    </row>
    <row r="470" spans="1:12" ht="15.6" customHeight="1" thickBot="1" x14ac:dyDescent="0.3">
      <c r="A470" s="1776"/>
      <c r="B470" s="1152"/>
      <c r="C470" s="1255"/>
      <c r="D470" s="311" t="s">
        <v>475</v>
      </c>
      <c r="E470" s="106"/>
      <c r="F470" s="312">
        <f>1/8*100</f>
        <v>12.5</v>
      </c>
      <c r="G470" s="312">
        <f>1/12*100</f>
        <v>8.3333333333333321</v>
      </c>
      <c r="H470" s="312">
        <f>1/11*100</f>
        <v>9.0909090909090917</v>
      </c>
      <c r="I470" s="312">
        <f>1/11*100</f>
        <v>9.0909090909090917</v>
      </c>
      <c r="J470" s="312">
        <f>2/9*100</f>
        <v>22.222222222222221</v>
      </c>
      <c r="K470" s="312">
        <f>2/11*100</f>
        <v>18.181818181818183</v>
      </c>
      <c r="L470" s="22"/>
    </row>
    <row r="471" spans="1:12" ht="16.5" thickBot="1" x14ac:dyDescent="0.3">
      <c r="A471" s="1775"/>
      <c r="B471" s="823" t="s">
        <v>249</v>
      </c>
      <c r="C471" s="1681"/>
      <c r="D471" s="1681"/>
      <c r="E471" s="112" t="s">
        <v>442</v>
      </c>
      <c r="F471" s="112" t="s">
        <v>443</v>
      </c>
      <c r="G471" s="112" t="s">
        <v>444</v>
      </c>
      <c r="H471" s="112" t="s">
        <v>445</v>
      </c>
      <c r="I471" s="112" t="s">
        <v>446</v>
      </c>
      <c r="J471" s="112" t="s">
        <v>447</v>
      </c>
      <c r="K471" s="112" t="s">
        <v>448</v>
      </c>
      <c r="L471" s="112" t="s">
        <v>449</v>
      </c>
    </row>
    <row r="472" spans="1:12" x14ac:dyDescent="0.25">
      <c r="A472" s="1776"/>
      <c r="B472" s="1744" t="s">
        <v>219</v>
      </c>
      <c r="C472" s="1251" t="s">
        <v>459</v>
      </c>
      <c r="D472" s="1206"/>
      <c r="E472" s="40"/>
      <c r="F472" s="260"/>
      <c r="G472" s="260"/>
      <c r="H472" s="359">
        <v>444</v>
      </c>
      <c r="I472" s="359">
        <v>958</v>
      </c>
      <c r="J472" s="359">
        <v>968</v>
      </c>
      <c r="K472" s="359">
        <v>929</v>
      </c>
      <c r="L472" s="20"/>
    </row>
    <row r="473" spans="1:12" x14ac:dyDescent="0.25">
      <c r="A473" s="1776"/>
      <c r="B473" s="1678"/>
      <c r="C473" s="1123" t="s">
        <v>436</v>
      </c>
      <c r="D473" s="1124"/>
      <c r="E473" s="28"/>
      <c r="F473" s="187"/>
      <c r="G473" s="187"/>
      <c r="H473" s="358">
        <v>330</v>
      </c>
      <c r="I473" s="358">
        <v>662</v>
      </c>
      <c r="J473" s="358">
        <v>679</v>
      </c>
      <c r="K473" s="358">
        <v>662</v>
      </c>
      <c r="L473" s="21"/>
    </row>
    <row r="474" spans="1:12" x14ac:dyDescent="0.25">
      <c r="A474" s="1776"/>
      <c r="B474" s="1678"/>
      <c r="C474" s="1123" t="s">
        <v>437</v>
      </c>
      <c r="D474" s="1124"/>
      <c r="E474" s="96"/>
      <c r="F474" s="96"/>
      <c r="G474" s="96"/>
      <c r="H474" s="358">
        <v>114</v>
      </c>
      <c r="I474" s="358">
        <v>296</v>
      </c>
      <c r="J474" s="358">
        <v>289</v>
      </c>
      <c r="K474" s="358">
        <v>267</v>
      </c>
      <c r="L474" s="21"/>
    </row>
    <row r="475" spans="1:12" x14ac:dyDescent="0.25">
      <c r="A475" s="1776"/>
      <c r="B475" s="1678"/>
      <c r="C475" s="1111" t="s">
        <v>353</v>
      </c>
      <c r="D475" s="1112"/>
      <c r="E475" s="157"/>
      <c r="F475" s="157"/>
      <c r="G475" s="157"/>
      <c r="H475" s="157">
        <f>H474-H473</f>
        <v>-216</v>
      </c>
      <c r="I475" s="157">
        <f>I474-I473</f>
        <v>-366</v>
      </c>
      <c r="J475" s="157">
        <f>J474-J473</f>
        <v>-390</v>
      </c>
      <c r="K475" s="157">
        <f>K474-K473</f>
        <v>-395</v>
      </c>
      <c r="L475" s="21"/>
    </row>
    <row r="476" spans="1:12" ht="16.5" thickBot="1" x14ac:dyDescent="0.3">
      <c r="A476" s="1776"/>
      <c r="B476" s="1678"/>
      <c r="C476" s="1353" t="s">
        <v>270</v>
      </c>
      <c r="D476" s="1178"/>
      <c r="E476" s="360"/>
      <c r="F476" s="360"/>
      <c r="G476" s="360"/>
      <c r="H476" s="423">
        <f>H474/H472*100</f>
        <v>25.675675675675674</v>
      </c>
      <c r="I476" s="423">
        <f>I474/I472*100</f>
        <v>30.897703549060541</v>
      </c>
      <c r="J476" s="423">
        <f>J474/J472*100</f>
        <v>29.855371900826444</v>
      </c>
      <c r="K476" s="423">
        <f>K474/K472*100</f>
        <v>28.740581270182989</v>
      </c>
      <c r="L476" s="53"/>
    </row>
    <row r="477" spans="1:12" x14ac:dyDescent="0.25">
      <c r="A477" s="1776"/>
      <c r="B477" s="1678"/>
      <c r="C477" s="1406" t="s">
        <v>484</v>
      </c>
      <c r="D477" s="1405"/>
      <c r="E477" s="225"/>
      <c r="F477" s="225"/>
      <c r="G477" s="225"/>
      <c r="H477" s="261">
        <f>10/13*100</f>
        <v>76.923076923076934</v>
      </c>
      <c r="I477" s="261">
        <f>3/6*100</f>
        <v>50</v>
      </c>
      <c r="J477" s="261">
        <f>16/23*100</f>
        <v>69.565217391304344</v>
      </c>
      <c r="K477" s="315">
        <v>53.846153846153847</v>
      </c>
      <c r="L477" s="20"/>
    </row>
    <row r="478" spans="1:12" x14ac:dyDescent="0.25">
      <c r="A478" s="1776"/>
      <c r="B478" s="1678"/>
      <c r="C478" s="1111" t="s">
        <v>485</v>
      </c>
      <c r="D478" s="1112"/>
      <c r="E478" s="96"/>
      <c r="F478" s="96"/>
      <c r="G478" s="96"/>
      <c r="H478" s="235">
        <v>0</v>
      </c>
      <c r="I478" s="235">
        <v>0</v>
      </c>
      <c r="J478" s="235">
        <f>1/23*100</f>
        <v>4.3478260869565215</v>
      </c>
      <c r="K478" s="237">
        <v>15.384615384615385</v>
      </c>
      <c r="L478" s="21"/>
    </row>
    <row r="479" spans="1:12" x14ac:dyDescent="0.25">
      <c r="A479" s="1777"/>
      <c r="B479" s="1679"/>
      <c r="C479" s="1277" t="s">
        <v>486</v>
      </c>
      <c r="D479" s="1142"/>
      <c r="E479" s="360"/>
      <c r="F479" s="360"/>
      <c r="G479" s="360"/>
      <c r="H479" s="356">
        <f>3/13*100</f>
        <v>23.076923076923077</v>
      </c>
      <c r="I479" s="356">
        <f>3/6*100</f>
        <v>50</v>
      </c>
      <c r="J479" s="356">
        <f>6/23*100</f>
        <v>26.086956521739129</v>
      </c>
      <c r="K479" s="361">
        <v>30.76923076923077</v>
      </c>
      <c r="L479" s="53"/>
    </row>
    <row r="480" spans="1:12" ht="16.5" thickBot="1" x14ac:dyDescent="0.3">
      <c r="A480" s="338" t="s">
        <v>248</v>
      </c>
      <c r="B480" s="463" t="s">
        <v>249</v>
      </c>
      <c r="C480" s="1433"/>
      <c r="D480" s="1433"/>
      <c r="E480" s="616">
        <v>2005</v>
      </c>
      <c r="F480" s="616">
        <v>2010</v>
      </c>
      <c r="G480" s="616">
        <v>2015</v>
      </c>
      <c r="H480" s="616">
        <v>2020</v>
      </c>
      <c r="I480" s="616">
        <v>2021</v>
      </c>
      <c r="J480" s="616">
        <v>2022</v>
      </c>
      <c r="K480" s="616">
        <v>2023</v>
      </c>
      <c r="L480" s="616">
        <v>2024</v>
      </c>
    </row>
    <row r="481" spans="1:12" ht="15" customHeight="1" x14ac:dyDescent="0.25">
      <c r="A481" s="1735" t="s">
        <v>487</v>
      </c>
      <c r="B481" s="1692" t="s">
        <v>227</v>
      </c>
      <c r="C481" s="1206" t="s">
        <v>435</v>
      </c>
      <c r="D481" s="1206"/>
      <c r="E481" s="36"/>
      <c r="F481" s="36"/>
      <c r="G481" s="36"/>
      <c r="H481" s="36"/>
      <c r="I481" s="36"/>
      <c r="J481" s="36"/>
      <c r="K481" s="195">
        <v>933</v>
      </c>
      <c r="L481" s="325">
        <v>946</v>
      </c>
    </row>
    <row r="482" spans="1:12" x14ac:dyDescent="0.25">
      <c r="A482" s="1736"/>
      <c r="B482" s="1693"/>
      <c r="C482" s="1124" t="s">
        <v>533</v>
      </c>
      <c r="D482" s="1124"/>
      <c r="E482" s="28"/>
      <c r="F482" s="28"/>
      <c r="G482" s="28"/>
      <c r="H482" s="28"/>
      <c r="I482" s="28"/>
      <c r="J482" s="28"/>
      <c r="K482" s="28">
        <v>379</v>
      </c>
      <c r="L482" s="21">
        <v>372</v>
      </c>
    </row>
    <row r="483" spans="1:12" x14ac:dyDescent="0.25">
      <c r="A483" s="1736"/>
      <c r="B483" s="1693"/>
      <c r="C483" s="1124" t="s">
        <v>534</v>
      </c>
      <c r="D483" s="1124"/>
      <c r="E483" s="28"/>
      <c r="F483" s="28"/>
      <c r="G483" s="28"/>
      <c r="H483" s="28"/>
      <c r="I483" s="28"/>
      <c r="J483" s="28"/>
      <c r="K483" s="28">
        <v>554</v>
      </c>
      <c r="L483" s="21">
        <v>574</v>
      </c>
    </row>
    <row r="484" spans="1:12" x14ac:dyDescent="0.25">
      <c r="A484" s="1736"/>
      <c r="B484" s="1693"/>
      <c r="C484" s="1128" t="s">
        <v>353</v>
      </c>
      <c r="D484" s="1128"/>
      <c r="E484" s="44"/>
      <c r="F484" s="44"/>
      <c r="G484" s="44"/>
      <c r="H484" s="44"/>
      <c r="I484" s="44"/>
      <c r="J484" s="44"/>
      <c r="K484" s="262">
        <f t="shared" ref="K484" si="60">K483-K482</f>
        <v>175</v>
      </c>
      <c r="L484" s="317">
        <v>202</v>
      </c>
    </row>
    <row r="485" spans="1:12" ht="16.5" thickBot="1" x14ac:dyDescent="0.3">
      <c r="A485" s="1736"/>
      <c r="B485" s="1875"/>
      <c r="C485" s="1178" t="s">
        <v>270</v>
      </c>
      <c r="D485" s="1178"/>
      <c r="E485" s="441"/>
      <c r="F485" s="441"/>
      <c r="G485" s="441"/>
      <c r="H485" s="441"/>
      <c r="I485" s="441"/>
      <c r="J485" s="441"/>
      <c r="K485" s="165">
        <f t="shared" ref="K485" si="61">K483/K481*100</f>
        <v>59.378349410503752</v>
      </c>
      <c r="L485" s="166">
        <v>60.676532769556026</v>
      </c>
    </row>
    <row r="486" spans="1:12" x14ac:dyDescent="0.25">
      <c r="A486" s="1736"/>
      <c r="B486" s="1692" t="s">
        <v>488</v>
      </c>
      <c r="C486" s="1405" t="s">
        <v>489</v>
      </c>
      <c r="D486" s="1405"/>
      <c r="E486" s="40"/>
      <c r="F486" s="40">
        <v>119</v>
      </c>
      <c r="G486" s="40">
        <v>129</v>
      </c>
      <c r="H486" s="40">
        <v>178</v>
      </c>
      <c r="I486" s="40"/>
      <c r="J486" s="40"/>
      <c r="K486" s="40">
        <v>207</v>
      </c>
      <c r="L486" s="1072">
        <v>49</v>
      </c>
    </row>
    <row r="487" spans="1:12" x14ac:dyDescent="0.25">
      <c r="A487" s="1736"/>
      <c r="B487" s="1693"/>
      <c r="C487" s="1112" t="s">
        <v>490</v>
      </c>
      <c r="D487" s="1112"/>
      <c r="E487" s="157"/>
      <c r="F487" s="44">
        <v>7</v>
      </c>
      <c r="G487" s="44">
        <v>4</v>
      </c>
      <c r="H487" s="44">
        <v>6</v>
      </c>
      <c r="I487" s="44"/>
      <c r="J487" s="44"/>
      <c r="K487" s="44">
        <v>7</v>
      </c>
      <c r="L487" s="1072">
        <v>3</v>
      </c>
    </row>
    <row r="488" spans="1:12" x14ac:dyDescent="0.25">
      <c r="A488" s="1874"/>
      <c r="B488" s="1875"/>
      <c r="C488" s="1142" t="s">
        <v>491</v>
      </c>
      <c r="D488" s="1142"/>
      <c r="E488" s="336"/>
      <c r="F488" s="165">
        <f>F487/F486*100</f>
        <v>5.8823529411764701</v>
      </c>
      <c r="G488" s="165">
        <f t="shared" ref="G488:H488" si="62">G487/G486*100</f>
        <v>3.1007751937984498</v>
      </c>
      <c r="H488" s="165">
        <f t="shared" si="62"/>
        <v>3.3707865168539324</v>
      </c>
      <c r="I488" s="336"/>
      <c r="J488" s="336"/>
      <c r="K488" s="165">
        <f>K487/K486*100</f>
        <v>3.3816425120772946</v>
      </c>
      <c r="L488" s="859">
        <v>6.1224489795918364</v>
      </c>
    </row>
    <row r="489" spans="1:12" ht="16.5" thickBot="1" x14ac:dyDescent="0.3">
      <c r="A489" s="338" t="s">
        <v>248</v>
      </c>
      <c r="B489" s="824" t="s">
        <v>249</v>
      </c>
      <c r="C489" s="1433"/>
      <c r="D489" s="1433"/>
      <c r="E489" s="617">
        <v>2005</v>
      </c>
      <c r="F489" s="617">
        <v>2010</v>
      </c>
      <c r="G489" s="617">
        <v>2015</v>
      </c>
      <c r="H489" s="617">
        <v>2020</v>
      </c>
      <c r="I489" s="617">
        <v>2021</v>
      </c>
      <c r="J489" s="617">
        <v>2022</v>
      </c>
      <c r="K489" s="617">
        <v>2023</v>
      </c>
      <c r="L489" s="616">
        <v>2024</v>
      </c>
    </row>
    <row r="490" spans="1:12" ht="15" customHeight="1" x14ac:dyDescent="0.25">
      <c r="A490" s="1621" t="s">
        <v>492</v>
      </c>
      <c r="B490" s="1624" t="s">
        <v>493</v>
      </c>
      <c r="C490" s="1251" t="s">
        <v>459</v>
      </c>
      <c r="D490" s="1206"/>
      <c r="E490" s="40"/>
      <c r="F490" s="195">
        <v>1582</v>
      </c>
      <c r="G490" s="195">
        <v>1856</v>
      </c>
      <c r="H490" s="195">
        <v>2635</v>
      </c>
      <c r="I490" s="195">
        <v>3326</v>
      </c>
      <c r="J490" s="195">
        <v>3679</v>
      </c>
      <c r="K490" s="195">
        <v>3836</v>
      </c>
      <c r="L490" s="195">
        <v>4000</v>
      </c>
    </row>
    <row r="491" spans="1:12" x14ac:dyDescent="0.25">
      <c r="A491" s="1622"/>
      <c r="B491" s="1625"/>
      <c r="C491" s="1160" t="s">
        <v>436</v>
      </c>
      <c r="D491" s="28" t="s">
        <v>494</v>
      </c>
      <c r="E491" s="28"/>
      <c r="F491" s="96">
        <v>629</v>
      </c>
      <c r="G491" s="96">
        <v>772</v>
      </c>
      <c r="H491" s="96">
        <v>1294</v>
      </c>
      <c r="I491" s="96">
        <v>1604</v>
      </c>
      <c r="J491" s="96">
        <v>1763</v>
      </c>
      <c r="K491" s="96">
        <v>1868</v>
      </c>
      <c r="L491" s="96">
        <v>1895</v>
      </c>
    </row>
    <row r="492" spans="1:12" x14ac:dyDescent="0.25">
      <c r="A492" s="1622"/>
      <c r="B492" s="1625"/>
      <c r="C492" s="1160"/>
      <c r="D492" s="28" t="s">
        <v>495</v>
      </c>
      <c r="E492" s="28"/>
      <c r="F492" s="96">
        <v>169</v>
      </c>
      <c r="G492" s="96">
        <v>187</v>
      </c>
      <c r="H492" s="96">
        <v>215</v>
      </c>
      <c r="I492" s="96">
        <v>275</v>
      </c>
      <c r="J492" s="96">
        <v>270</v>
      </c>
      <c r="K492" s="96">
        <v>321</v>
      </c>
      <c r="L492" s="96">
        <v>374</v>
      </c>
    </row>
    <row r="493" spans="1:12" x14ac:dyDescent="0.25">
      <c r="A493" s="1622"/>
      <c r="B493" s="1625"/>
      <c r="C493" s="1160" t="s">
        <v>437</v>
      </c>
      <c r="D493" s="28" t="s">
        <v>496</v>
      </c>
      <c r="E493" s="28"/>
      <c r="F493" s="96">
        <v>187</v>
      </c>
      <c r="G493" s="96">
        <v>229</v>
      </c>
      <c r="H493" s="96">
        <v>404</v>
      </c>
      <c r="I493" s="96">
        <v>590</v>
      </c>
      <c r="J493" s="96">
        <v>610</v>
      </c>
      <c r="K493" s="96">
        <v>607</v>
      </c>
      <c r="L493" s="96">
        <v>594</v>
      </c>
    </row>
    <row r="494" spans="1:12" ht="16.5" thickBot="1" x14ac:dyDescent="0.3">
      <c r="A494" s="1622"/>
      <c r="B494" s="1625"/>
      <c r="C494" s="1519"/>
      <c r="D494" s="110" t="s">
        <v>497</v>
      </c>
      <c r="E494" s="110"/>
      <c r="F494" s="360">
        <v>197</v>
      </c>
      <c r="G494" s="360">
        <v>282</v>
      </c>
      <c r="H494" s="360">
        <v>230</v>
      </c>
      <c r="I494" s="360">
        <v>357</v>
      </c>
      <c r="J494" s="360">
        <v>395</v>
      </c>
      <c r="K494" s="360">
        <v>381</v>
      </c>
      <c r="L494" s="360">
        <v>460</v>
      </c>
    </row>
    <row r="495" spans="1:12" x14ac:dyDescent="0.25">
      <c r="A495" s="1622"/>
      <c r="B495" s="1625"/>
      <c r="C495" s="1263" t="s">
        <v>353</v>
      </c>
      <c r="D495" s="40" t="s">
        <v>498</v>
      </c>
      <c r="E495" s="40"/>
      <c r="F495" s="81">
        <f t="shared" ref="F495:K495" si="63">+F493-F491</f>
        <v>-442</v>
      </c>
      <c r="G495" s="81">
        <f t="shared" si="63"/>
        <v>-543</v>
      </c>
      <c r="H495" s="81">
        <f t="shared" si="63"/>
        <v>-890</v>
      </c>
      <c r="I495" s="81">
        <f t="shared" si="63"/>
        <v>-1014</v>
      </c>
      <c r="J495" s="81">
        <f t="shared" si="63"/>
        <v>-1153</v>
      </c>
      <c r="K495" s="81">
        <f t="shared" si="63"/>
        <v>-1261</v>
      </c>
      <c r="L495" s="81">
        <f>+'MONCLOA-ARAVACA'!L553-'MONCLOA-ARAVACA'!L551</f>
        <v>-782</v>
      </c>
    </row>
    <row r="496" spans="1:12" x14ac:dyDescent="0.25">
      <c r="A496" s="1622"/>
      <c r="B496" s="1625"/>
      <c r="C496" s="1256"/>
      <c r="D496" s="44" t="s">
        <v>499</v>
      </c>
      <c r="E496" s="44"/>
      <c r="F496" s="79">
        <f t="shared" ref="F496:K496" si="64">F494-F492</f>
        <v>28</v>
      </c>
      <c r="G496" s="79">
        <f t="shared" si="64"/>
        <v>95</v>
      </c>
      <c r="H496" s="79">
        <f t="shared" si="64"/>
        <v>15</v>
      </c>
      <c r="I496" s="79">
        <f t="shared" si="64"/>
        <v>82</v>
      </c>
      <c r="J496" s="79">
        <f t="shared" si="64"/>
        <v>125</v>
      </c>
      <c r="K496" s="79">
        <f t="shared" si="64"/>
        <v>60</v>
      </c>
      <c r="L496" s="79">
        <f>'MONCLOA-ARAVACA'!L554-'MONCLOA-ARAVACA'!L552</f>
        <v>67</v>
      </c>
    </row>
    <row r="497" spans="1:12" ht="16.5" customHeight="1" x14ac:dyDescent="0.25">
      <c r="A497" s="1622"/>
      <c r="B497" s="1625"/>
      <c r="C497" s="1256" t="s">
        <v>270</v>
      </c>
      <c r="D497" s="44" t="s">
        <v>500</v>
      </c>
      <c r="E497" s="44"/>
      <c r="F497" s="263">
        <f t="shared" ref="F497:K498" si="65">+F493/(F493+F491)*100</f>
        <v>22.916666666666664</v>
      </c>
      <c r="G497" s="263">
        <f t="shared" si="65"/>
        <v>22.877122877122876</v>
      </c>
      <c r="H497" s="263">
        <f t="shared" si="65"/>
        <v>23.792697290930505</v>
      </c>
      <c r="I497" s="263">
        <f t="shared" si="65"/>
        <v>26.891522333637191</v>
      </c>
      <c r="J497" s="263">
        <f t="shared" si="65"/>
        <v>25.705857564264644</v>
      </c>
      <c r="K497" s="263">
        <f t="shared" si="65"/>
        <v>24.525252525252526</v>
      </c>
      <c r="L497" s="263">
        <f>+'MONCLOA-ARAVACA'!L553/('MONCLOA-ARAVACA'!L553+'MONCLOA-ARAVACA'!L551)*100</f>
        <v>27.372685185185187</v>
      </c>
    </row>
    <row r="498" spans="1:12" ht="16.5" thickBot="1" x14ac:dyDescent="0.3">
      <c r="A498" s="1623"/>
      <c r="B498" s="1626"/>
      <c r="C498" s="1257"/>
      <c r="D498" s="203" t="s">
        <v>501</v>
      </c>
      <c r="E498" s="203"/>
      <c r="F498" s="230">
        <f t="shared" si="65"/>
        <v>53.825136612021865</v>
      </c>
      <c r="G498" s="230">
        <f t="shared" si="65"/>
        <v>60.127931769722821</v>
      </c>
      <c r="H498" s="230">
        <f t="shared" si="65"/>
        <v>51.68539325842697</v>
      </c>
      <c r="I498" s="230">
        <f t="shared" si="65"/>
        <v>56.4873417721519</v>
      </c>
      <c r="J498" s="230">
        <f t="shared" si="65"/>
        <v>59.398496240601503</v>
      </c>
      <c r="K498" s="230">
        <f t="shared" si="65"/>
        <v>54.273504273504273</v>
      </c>
      <c r="L498" s="230">
        <f>+'MONCLOA-ARAVACA'!L554/('MONCLOA-ARAVACA'!L554+'MONCLOA-ARAVACA'!L552)*100</f>
        <v>59.029649595687331</v>
      </c>
    </row>
  </sheetData>
  <mergeCells count="235">
    <mergeCell ref="C497:C498"/>
    <mergeCell ref="B490:B498"/>
    <mergeCell ref="A490:A498"/>
    <mergeCell ref="B472:B479"/>
    <mergeCell ref="C472:D472"/>
    <mergeCell ref="C473:D473"/>
    <mergeCell ref="C412:C414"/>
    <mergeCell ref="C468:C470"/>
    <mergeCell ref="B372:B414"/>
    <mergeCell ref="B416:B470"/>
    <mergeCell ref="C418:D418"/>
    <mergeCell ref="C419:D419"/>
    <mergeCell ref="C460:C463"/>
    <mergeCell ref="C471:D471"/>
    <mergeCell ref="C396:C399"/>
    <mergeCell ref="C400:C403"/>
    <mergeCell ref="C404:C407"/>
    <mergeCell ref="C408:C411"/>
    <mergeCell ref="C415:D415"/>
    <mergeCell ref="C476:D476"/>
    <mergeCell ref="C477:D477"/>
    <mergeCell ref="C478:D478"/>
    <mergeCell ref="C479:D479"/>
    <mergeCell ref="C489:D489"/>
    <mergeCell ref="C490:D490"/>
    <mergeCell ref="C480:D480"/>
    <mergeCell ref="C484:D484"/>
    <mergeCell ref="A481:A488"/>
    <mergeCell ref="B481:B485"/>
    <mergeCell ref="C481:D481"/>
    <mergeCell ref="C482:D482"/>
    <mergeCell ref="C483:D483"/>
    <mergeCell ref="C485:D485"/>
    <mergeCell ref="B486:B488"/>
    <mergeCell ref="C486:D486"/>
    <mergeCell ref="C488:D488"/>
    <mergeCell ref="C487:D487"/>
    <mergeCell ref="A362:A479"/>
    <mergeCell ref="B362:B370"/>
    <mergeCell ref="C362:C364"/>
    <mergeCell ref="C365:C367"/>
    <mergeCell ref="C368:D368"/>
    <mergeCell ref="C369:D369"/>
    <mergeCell ref="C370:D370"/>
    <mergeCell ref="C372:D372"/>
    <mergeCell ref="C373:D373"/>
    <mergeCell ref="C416:D416"/>
    <mergeCell ref="C417:D417"/>
    <mergeCell ref="C420:C423"/>
    <mergeCell ref="C474:D474"/>
    <mergeCell ref="C475:D475"/>
    <mergeCell ref="C428:C431"/>
    <mergeCell ref="C432:C435"/>
    <mergeCell ref="C436:C439"/>
    <mergeCell ref="C440:C443"/>
    <mergeCell ref="C444:C447"/>
    <mergeCell ref="C448:C451"/>
    <mergeCell ref="C464:C467"/>
    <mergeCell ref="C452:C455"/>
    <mergeCell ref="C424:C427"/>
    <mergeCell ref="C456:C459"/>
    <mergeCell ref="C491:C492"/>
    <mergeCell ref="C493:C494"/>
    <mergeCell ref="C495:C496"/>
    <mergeCell ref="B322:B325"/>
    <mergeCell ref="C316:D316"/>
    <mergeCell ref="C341:D341"/>
    <mergeCell ref="A342:A349"/>
    <mergeCell ref="B342:B345"/>
    <mergeCell ref="C342:D342"/>
    <mergeCell ref="C343:D343"/>
    <mergeCell ref="C344:D344"/>
    <mergeCell ref="C345:D345"/>
    <mergeCell ref="B346:B349"/>
    <mergeCell ref="C346:D346"/>
    <mergeCell ref="C347:D347"/>
    <mergeCell ref="C348:D348"/>
    <mergeCell ref="C349:D349"/>
    <mergeCell ref="B326:B335"/>
    <mergeCell ref="C326:C330"/>
    <mergeCell ref="C350:D350"/>
    <mergeCell ref="C358:D358"/>
    <mergeCell ref="C359:D359"/>
    <mergeCell ref="C360:D360"/>
    <mergeCell ref="A351:A360"/>
    <mergeCell ref="C61:D61"/>
    <mergeCell ref="B62:B315"/>
    <mergeCell ref="C62:C64"/>
    <mergeCell ref="C65:C68"/>
    <mergeCell ref="C69:C72"/>
    <mergeCell ref="C73:C76"/>
    <mergeCell ref="A317:A340"/>
    <mergeCell ref="B317:B321"/>
    <mergeCell ref="C317:D317"/>
    <mergeCell ref="C318:D318"/>
    <mergeCell ref="C319:D319"/>
    <mergeCell ref="C320:D320"/>
    <mergeCell ref="C321:D321"/>
    <mergeCell ref="C322:D322"/>
    <mergeCell ref="C323:D323"/>
    <mergeCell ref="C324:D324"/>
    <mergeCell ref="C325:D325"/>
    <mergeCell ref="C331:C335"/>
    <mergeCell ref="B336:B340"/>
    <mergeCell ref="C336:D336"/>
    <mergeCell ref="C337:D337"/>
    <mergeCell ref="C338:D338"/>
    <mergeCell ref="C339:D339"/>
    <mergeCell ref="C340:D340"/>
    <mergeCell ref="C53:D53"/>
    <mergeCell ref="C54:D54"/>
    <mergeCell ref="C55:D55"/>
    <mergeCell ref="B56:B60"/>
    <mergeCell ref="C56:D56"/>
    <mergeCell ref="C57:D57"/>
    <mergeCell ref="C58:D58"/>
    <mergeCell ref="C59:D59"/>
    <mergeCell ref="C60:D60"/>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245:C248"/>
    <mergeCell ref="C249:C252"/>
    <mergeCell ref="C253:C256"/>
    <mergeCell ref="C185:C188"/>
    <mergeCell ref="C189:C192"/>
    <mergeCell ref="C193:C196"/>
    <mergeCell ref="C197:C200"/>
    <mergeCell ref="C201:C204"/>
    <mergeCell ref="C205:C208"/>
    <mergeCell ref="C209:C212"/>
    <mergeCell ref="C213:C216"/>
    <mergeCell ref="C217:C220"/>
    <mergeCell ref="A47:A315"/>
    <mergeCell ref="B47:B51"/>
    <mergeCell ref="C47:D47"/>
    <mergeCell ref="C48:D48"/>
    <mergeCell ref="C49:D49"/>
    <mergeCell ref="C50:D50"/>
    <mergeCell ref="C51:D51"/>
    <mergeCell ref="B52:B55"/>
    <mergeCell ref="C52:D52"/>
    <mergeCell ref="C257:C260"/>
    <mergeCell ref="C261:C264"/>
    <mergeCell ref="C265:C268"/>
    <mergeCell ref="C269:C272"/>
    <mergeCell ref="C273:C276"/>
    <mergeCell ref="C277:C280"/>
    <mergeCell ref="C281:C284"/>
    <mergeCell ref="C285:C288"/>
    <mergeCell ref="C289:C292"/>
    <mergeCell ref="C221:C224"/>
    <mergeCell ref="C225:C228"/>
    <mergeCell ref="C229:C232"/>
    <mergeCell ref="C233:C236"/>
    <mergeCell ref="C237:C240"/>
    <mergeCell ref="C241:C244"/>
    <mergeCell ref="C293:C296"/>
    <mergeCell ref="C297:C300"/>
    <mergeCell ref="C301:C304"/>
    <mergeCell ref="C305:C308"/>
    <mergeCell ref="C309:C312"/>
    <mergeCell ref="C313:D313"/>
    <mergeCell ref="C314:D314"/>
    <mergeCell ref="C315:D315"/>
    <mergeCell ref="C351:C353"/>
    <mergeCell ref="C357:D357"/>
    <mergeCell ref="B351:B360"/>
    <mergeCell ref="C354:C356"/>
    <mergeCell ref="C376:C379"/>
    <mergeCell ref="C380:C383"/>
    <mergeCell ref="C384:C387"/>
    <mergeCell ref="C388:C391"/>
    <mergeCell ref="C392:C395"/>
    <mergeCell ref="C361:D361"/>
    <mergeCell ref="C374:D374"/>
    <mergeCell ref="C375:D375"/>
    <mergeCell ref="C371:D371"/>
  </mergeCells>
  <conditionalFormatting sqref="E50 H50:L50">
    <cfRule type="cellIs" dxfId="575" priority="206" operator="greaterThan">
      <formula>1</formula>
    </cfRule>
    <cfRule type="cellIs" dxfId="574" priority="207" operator="lessThan">
      <formula>1</formula>
    </cfRule>
    <cfRule type="cellIs" dxfId="573" priority="205" operator="greaterThan">
      <formula>1</formula>
    </cfRule>
    <cfRule type="cellIs" dxfId="572" priority="204" operator="lessThan">
      <formula>1</formula>
    </cfRule>
    <cfRule type="cellIs" dxfId="571" priority="208" operator="greaterThan">
      <formula>1</formula>
    </cfRule>
  </conditionalFormatting>
  <conditionalFormatting sqref="E51 H51:L51">
    <cfRule type="cellIs" dxfId="570" priority="217" operator="lessThan">
      <formula>50</formula>
    </cfRule>
    <cfRule type="cellIs" dxfId="569" priority="215" operator="greaterThan">
      <formula>50</formula>
    </cfRule>
  </conditionalFormatting>
  <conditionalFormatting sqref="E349:F349">
    <cfRule type="cellIs" dxfId="568" priority="106" operator="lessThan">
      <formula>0</formula>
    </cfRule>
    <cfRule type="cellIs" dxfId="567" priority="107" operator="greaterThan">
      <formula>0</formula>
    </cfRule>
  </conditionalFormatting>
  <conditionalFormatting sqref="E39:L39">
    <cfRule type="cellIs" dxfId="566" priority="570" operator="greaterThan">
      <formula>1</formula>
    </cfRule>
    <cfRule type="cellIs" dxfId="565" priority="571" operator="greaterThan">
      <formula>1</formula>
    </cfRule>
    <cfRule type="cellIs" dxfId="564" priority="572" operator="lessThan">
      <formula>1</formula>
    </cfRule>
    <cfRule type="cellIs" dxfId="563" priority="573" operator="greaterThan">
      <formula>1</formula>
    </cfRule>
  </conditionalFormatting>
  <conditionalFormatting sqref="E40:L40">
    <cfRule type="cellIs" dxfId="562" priority="575" operator="greaterThan">
      <formula>50</formula>
    </cfRule>
    <cfRule type="cellIs" dxfId="561" priority="574" operator="lessThan">
      <formula>50</formula>
    </cfRule>
    <cfRule type="cellIs" dxfId="560" priority="569" operator="greaterThan">
      <formula>50</formula>
    </cfRule>
  </conditionalFormatting>
  <conditionalFormatting sqref="E44:L44">
    <cfRule type="cellIs" dxfId="559" priority="565" operator="greaterThan">
      <formula>1</formula>
    </cfRule>
    <cfRule type="cellIs" dxfId="558" priority="567" operator="lessThan">
      <formula>1</formula>
    </cfRule>
    <cfRule type="cellIs" dxfId="557" priority="566" operator="greaterThan">
      <formula>1</formula>
    </cfRule>
    <cfRule type="cellIs" dxfId="556" priority="568" operator="greaterThan">
      <formula>1</formula>
    </cfRule>
  </conditionalFormatting>
  <conditionalFormatting sqref="E45:L45">
    <cfRule type="cellIs" dxfId="555" priority="564" operator="greaterThan">
      <formula>50</formula>
    </cfRule>
    <cfRule type="cellIs" dxfId="554" priority="562" operator="greaterThan">
      <formula>50</formula>
    </cfRule>
    <cfRule type="cellIs" dxfId="553" priority="563" operator="lessThan">
      <formula>50</formula>
    </cfRule>
  </conditionalFormatting>
  <conditionalFormatting sqref="F370:K370">
    <cfRule type="cellIs" dxfId="552" priority="75" operator="lessThan">
      <formula>0</formula>
    </cfRule>
  </conditionalFormatting>
  <conditionalFormatting sqref="F320:L321">
    <cfRule type="cellIs" dxfId="551" priority="123" operator="lessThan">
      <formula>1</formula>
    </cfRule>
  </conditionalFormatting>
  <conditionalFormatting sqref="F495:L495">
    <cfRule type="cellIs" dxfId="550" priority="13" operator="lessThan">
      <formula>0</formula>
    </cfRule>
  </conditionalFormatting>
  <conditionalFormatting sqref="F496:L498">
    <cfRule type="cellIs" dxfId="549" priority="11" operator="greaterThan">
      <formula>0</formula>
    </cfRule>
  </conditionalFormatting>
  <conditionalFormatting sqref="F498:L498">
    <cfRule type="cellIs" dxfId="548" priority="16" operator="lessThan">
      <formula>0</formula>
    </cfRule>
    <cfRule type="cellIs" dxfId="547" priority="15" operator="greaterThan">
      <formula>0</formula>
    </cfRule>
  </conditionalFormatting>
  <conditionalFormatting sqref="G360:K360">
    <cfRule type="cellIs" dxfId="546" priority="26" operator="lessThan">
      <formula>0</formula>
    </cfRule>
    <cfRule type="cellIs" dxfId="545" priority="27" operator="greaterThan">
      <formula>0</formula>
    </cfRule>
  </conditionalFormatting>
  <conditionalFormatting sqref="G325:L325">
    <cfRule type="cellIs" dxfId="544" priority="129" operator="greaterThan">
      <formula>0</formula>
    </cfRule>
    <cfRule type="cellIs" dxfId="543" priority="130" operator="lessThan">
      <formula>1</formula>
    </cfRule>
  </conditionalFormatting>
  <conditionalFormatting sqref="H475:J475">
    <cfRule type="cellIs" dxfId="542" priority="2" operator="greaterThan">
      <formula>0</formula>
    </cfRule>
  </conditionalFormatting>
  <conditionalFormatting sqref="H59:K59">
    <cfRule type="cellIs" dxfId="541" priority="211" operator="greaterThan">
      <formula>0</formula>
    </cfRule>
  </conditionalFormatting>
  <conditionalFormatting sqref="H60:K60">
    <cfRule type="cellIs" dxfId="540" priority="213" operator="greaterThan">
      <formula>50</formula>
    </cfRule>
    <cfRule type="cellIs" dxfId="539" priority="212" operator="lessThan">
      <formula>50</formula>
    </cfRule>
    <cfRule type="cellIs" dxfId="538" priority="209" operator="lessThan">
      <formula>50</formula>
    </cfRule>
    <cfRule type="cellIs" dxfId="537" priority="210" operator="greaterThan">
      <formula>50</formula>
    </cfRule>
  </conditionalFormatting>
  <conditionalFormatting sqref="H339:K339">
    <cfRule type="cellIs" dxfId="536" priority="136" operator="greaterThan">
      <formula>0</formula>
    </cfRule>
    <cfRule type="cellIs" dxfId="535" priority="132" operator="lessThan">
      <formula>0</formula>
    </cfRule>
    <cfRule type="cellIs" dxfId="534" priority="138" operator="greaterThan">
      <formula>0</formula>
    </cfRule>
    <cfRule type="cellIs" dxfId="533" priority="137" operator="lessThan">
      <formula>0</formula>
    </cfRule>
  </conditionalFormatting>
  <conditionalFormatting sqref="H340:K340">
    <cfRule type="cellIs" dxfId="532" priority="131" operator="lessThan">
      <formula>50</formula>
    </cfRule>
    <cfRule type="cellIs" dxfId="531" priority="111" operator="greaterThan">
      <formula>50</formula>
    </cfRule>
    <cfRule type="cellIs" dxfId="530" priority="135" operator="greaterThan">
      <formula>50</formula>
    </cfRule>
  </conditionalFormatting>
  <conditionalFormatting sqref="H475:K475">
    <cfRule type="cellIs" dxfId="529" priority="1" operator="lessThan">
      <formula>0</formula>
    </cfRule>
  </conditionalFormatting>
  <conditionalFormatting sqref="H476:K476">
    <cfRule type="cellIs" dxfId="528" priority="4" operator="greaterThan">
      <formula>50</formula>
    </cfRule>
    <cfRule type="cellIs" dxfId="527" priority="3" operator="lessThan">
      <formula>50</formula>
    </cfRule>
  </conditionalFormatting>
  <conditionalFormatting sqref="H55:L55">
    <cfRule type="cellIs" dxfId="526" priority="214" operator="greaterThan">
      <formula>0</formula>
    </cfRule>
  </conditionalFormatting>
  <conditionalFormatting sqref="I329:I330">
    <cfRule type="cellIs" dxfId="525" priority="118" operator="greaterThan">
      <formula>50</formula>
    </cfRule>
  </conditionalFormatting>
  <conditionalFormatting sqref="I329:L329">
    <cfRule type="cellIs" dxfId="524" priority="126" operator="lessThan">
      <formula>1</formula>
    </cfRule>
    <cfRule type="cellIs" dxfId="523" priority="125" operator="greaterThan">
      <formula>0</formula>
    </cfRule>
  </conditionalFormatting>
  <conditionalFormatting sqref="I330:L330">
    <cfRule type="cellIs" dxfId="522" priority="127" operator="lessThan">
      <formula>50</formula>
    </cfRule>
    <cfRule type="cellIs" dxfId="521" priority="124" operator="greaterThan">
      <formula>50</formula>
    </cfRule>
  </conditionalFormatting>
  <conditionalFormatting sqref="I334:L334">
    <cfRule type="cellIs" dxfId="520" priority="133" operator="greaterThan">
      <formula>0</formula>
    </cfRule>
    <cfRule type="cellIs" dxfId="519" priority="134" operator="lessThan">
      <formula>1</formula>
    </cfRule>
    <cfRule type="cellIs" dxfId="518" priority="114" operator="greaterThan">
      <formula>0</formula>
    </cfRule>
  </conditionalFormatting>
  <conditionalFormatting sqref="I335:L335">
    <cfRule type="cellIs" dxfId="517" priority="112" operator="greaterThan">
      <formula>50</formula>
    </cfRule>
  </conditionalFormatting>
  <conditionalFormatting sqref="J329:L329">
    <cfRule type="cellIs" dxfId="516" priority="117" operator="greaterThan">
      <formula>0</formula>
    </cfRule>
  </conditionalFormatting>
  <conditionalFormatting sqref="J330:L330">
    <cfRule type="cellIs" dxfId="515" priority="116" operator="greaterThan">
      <formula>50</formula>
    </cfRule>
  </conditionalFormatting>
  <conditionalFormatting sqref="K485">
    <cfRule type="cellIs" dxfId="514" priority="9" operator="lessThan">
      <formula>50</formula>
    </cfRule>
    <cfRule type="cellIs" dxfId="513" priority="8" operator="lessThan">
      <formula>50</formula>
    </cfRule>
    <cfRule type="cellIs" dxfId="512" priority="10" operator="greaterThan">
      <formula>50</formula>
    </cfRule>
  </conditionalFormatting>
  <hyperlinks>
    <hyperlink ref="M1" location="INDICADORES!A1" display="INDICADORES" xr:uid="{3BAF5571-0823-40EF-965E-2A07E8798010}"/>
    <hyperlink ref="O1" location="DISTRITOS!A1" display="DISTRITOS" xr:uid="{A895BC2E-007C-4F8F-AB1F-DBCD810BDC12}"/>
  </hyperlinks>
  <pageMargins left="0.7" right="0.7" top="0.75" bottom="0.75" header="0.3" footer="0.3"/>
  <pageSetup paperSize="9" orientation="portrait" horizontalDpi="1200" verticalDpi="1200" r:id="rId1"/>
  <ignoredErrors>
    <ignoredError sqref="F354:I35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2DD5C-7598-49F5-851C-2AD62C064B1F}">
  <sheetPr codeName="Hoja17">
    <tabColor theme="8" tint="-0.249977111117893"/>
  </sheetPr>
  <dimension ref="A1:O458"/>
  <sheetViews>
    <sheetView showGridLines="0" topLeftCell="D1" zoomScale="70" zoomScaleNormal="70" workbookViewId="0">
      <pane ySplit="2" topLeftCell="A437" activePane="bottomLeft" state="frozen"/>
      <selection activeCell="C3" activeCellId="1" sqref="K60 C3:K3"/>
      <selection pane="bottomLeft" activeCell="L445" sqref="L445"/>
    </sheetView>
  </sheetViews>
  <sheetFormatPr baseColWidth="10" defaultColWidth="11.42578125" defaultRowHeight="15.75" x14ac:dyDescent="0.25"/>
  <cols>
    <col min="1" max="1" width="26.5703125" style="11" customWidth="1"/>
    <col min="2" max="2" width="50.5703125" style="11" customWidth="1"/>
    <col min="3" max="4" width="30.5703125" style="11" customWidth="1"/>
    <col min="5" max="12" width="13.5703125" style="11" customWidth="1"/>
    <col min="13" max="13" width="14.5703125" style="11" customWidth="1"/>
    <col min="14" max="14" width="6.85546875" style="11" customWidth="1"/>
    <col min="15" max="15" width="14.5703125" style="11" customWidth="1"/>
    <col min="16" max="16384" width="11.42578125" style="11"/>
  </cols>
  <sheetData>
    <row r="1" spans="1:15" ht="30" customHeight="1" thickTop="1" thickBot="1" x14ac:dyDescent="0.3">
      <c r="A1" s="1020" t="s">
        <v>587</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row>
    <row r="3" spans="1:15" s="64" customFormat="1" x14ac:dyDescent="0.25">
      <c r="A3" s="1878" t="s">
        <v>26</v>
      </c>
      <c r="B3" s="1194" t="s">
        <v>568</v>
      </c>
      <c r="C3" s="1210" t="s">
        <v>251</v>
      </c>
      <c r="D3" s="1211"/>
      <c r="E3" s="81">
        <v>106830</v>
      </c>
      <c r="F3" s="81">
        <v>102671</v>
      </c>
      <c r="G3" s="81">
        <v>94813</v>
      </c>
      <c r="H3" s="81">
        <v>95614</v>
      </c>
      <c r="I3" s="81">
        <v>93810</v>
      </c>
      <c r="J3" s="81">
        <v>92390</v>
      </c>
      <c r="K3" s="81">
        <v>92814</v>
      </c>
      <c r="L3" s="82">
        <v>95123</v>
      </c>
    </row>
    <row r="4" spans="1:15" x14ac:dyDescent="0.25">
      <c r="A4" s="1817"/>
      <c r="B4" s="1195"/>
      <c r="C4" s="1212" t="s">
        <v>257</v>
      </c>
      <c r="D4" s="1213"/>
      <c r="E4" s="80">
        <v>50380</v>
      </c>
      <c r="F4" s="80">
        <v>48057</v>
      </c>
      <c r="G4" s="80">
        <v>43602</v>
      </c>
      <c r="H4" s="80">
        <v>43585</v>
      </c>
      <c r="I4" s="80">
        <v>42662</v>
      </c>
      <c r="J4" s="80">
        <v>42095</v>
      </c>
      <c r="K4" s="80">
        <v>42212</v>
      </c>
      <c r="L4" s="83">
        <v>43412</v>
      </c>
    </row>
    <row r="5" spans="1:15" x14ac:dyDescent="0.25">
      <c r="A5" s="1817"/>
      <c r="B5" s="1195"/>
      <c r="C5" s="1212" t="s">
        <v>263</v>
      </c>
      <c r="D5" s="1213"/>
      <c r="E5" s="80">
        <v>56450</v>
      </c>
      <c r="F5" s="80">
        <v>54614</v>
      </c>
      <c r="G5" s="80">
        <v>51211</v>
      </c>
      <c r="H5" s="80">
        <v>52029</v>
      </c>
      <c r="I5" s="80">
        <v>51148</v>
      </c>
      <c r="J5" s="80">
        <v>50295</v>
      </c>
      <c r="K5" s="80">
        <v>50602</v>
      </c>
      <c r="L5" s="83">
        <v>51711</v>
      </c>
    </row>
    <row r="6" spans="1:15" x14ac:dyDescent="0.25">
      <c r="A6" s="1817"/>
      <c r="B6" s="1196"/>
      <c r="C6" s="1214" t="s">
        <v>269</v>
      </c>
      <c r="D6" s="1215"/>
      <c r="E6" s="363">
        <f t="shared" ref="E6:L6" si="0">+E5-E4</f>
        <v>6070</v>
      </c>
      <c r="F6" s="363">
        <f t="shared" si="0"/>
        <v>6557</v>
      </c>
      <c r="G6" s="363">
        <f t="shared" si="0"/>
        <v>7609</v>
      </c>
      <c r="H6" s="363">
        <f t="shared" si="0"/>
        <v>8444</v>
      </c>
      <c r="I6" s="363">
        <f t="shared" si="0"/>
        <v>8486</v>
      </c>
      <c r="J6" s="363">
        <f t="shared" si="0"/>
        <v>8200</v>
      </c>
      <c r="K6" s="363">
        <f t="shared" si="0"/>
        <v>8390</v>
      </c>
      <c r="L6" s="365">
        <f t="shared" si="0"/>
        <v>8299</v>
      </c>
    </row>
    <row r="7" spans="1:15" ht="16.5" thickBot="1" x14ac:dyDescent="0.3">
      <c r="A7" s="1817"/>
      <c r="B7" s="1197"/>
      <c r="C7" s="1169" t="s">
        <v>270</v>
      </c>
      <c r="D7" s="1126"/>
      <c r="E7" s="366">
        <f t="shared" ref="E7:L7" si="1">E5/E3*100</f>
        <v>52.840962276514091</v>
      </c>
      <c r="F7" s="366">
        <f t="shared" si="1"/>
        <v>53.193209377526273</v>
      </c>
      <c r="G7" s="366">
        <f t="shared" si="1"/>
        <v>54.01263539809942</v>
      </c>
      <c r="H7" s="366">
        <f t="shared" si="1"/>
        <v>54.415671345200487</v>
      </c>
      <c r="I7" s="366">
        <f t="shared" si="1"/>
        <v>54.522971964609312</v>
      </c>
      <c r="J7" s="366">
        <f t="shared" si="1"/>
        <v>54.437709708842952</v>
      </c>
      <c r="K7" s="366">
        <f t="shared" si="1"/>
        <v>54.519792272717481</v>
      </c>
      <c r="L7" s="367">
        <f t="shared" si="1"/>
        <v>54.36224677522786</v>
      </c>
    </row>
    <row r="8" spans="1:15" x14ac:dyDescent="0.25">
      <c r="A8" s="1817"/>
      <c r="B8" s="1879" t="s">
        <v>569</v>
      </c>
      <c r="C8" s="1300" t="s">
        <v>257</v>
      </c>
      <c r="D8" s="168" t="s">
        <v>272</v>
      </c>
      <c r="E8" s="81">
        <v>50380</v>
      </c>
      <c r="F8" s="81">
        <v>48057</v>
      </c>
      <c r="G8" s="81">
        <v>43602</v>
      </c>
      <c r="H8" s="81">
        <v>43585</v>
      </c>
      <c r="I8" s="81">
        <v>42662</v>
      </c>
      <c r="J8" s="81">
        <v>42095</v>
      </c>
      <c r="K8" s="81">
        <v>42212</v>
      </c>
      <c r="L8" s="82">
        <v>43412</v>
      </c>
    </row>
    <row r="9" spans="1:15" x14ac:dyDescent="0.25">
      <c r="A9" s="1817"/>
      <c r="B9" s="1788"/>
      <c r="C9" s="1301"/>
      <c r="D9" s="164" t="s">
        <v>275</v>
      </c>
      <c r="E9" s="80">
        <v>7750</v>
      </c>
      <c r="F9" s="80">
        <v>7290</v>
      </c>
      <c r="G9" s="80">
        <v>6133</v>
      </c>
      <c r="H9" s="80">
        <v>5600</v>
      </c>
      <c r="I9" s="80">
        <v>5397</v>
      </c>
      <c r="J9" s="80">
        <v>5233</v>
      </c>
      <c r="K9" s="80">
        <v>5141</v>
      </c>
      <c r="L9" s="83">
        <v>4789</v>
      </c>
    </row>
    <row r="10" spans="1:15" x14ac:dyDescent="0.25">
      <c r="A10" s="1817"/>
      <c r="B10" s="1788"/>
      <c r="C10" s="1301"/>
      <c r="D10" s="164" t="s">
        <v>282</v>
      </c>
      <c r="E10" s="80">
        <v>33778</v>
      </c>
      <c r="F10" s="80">
        <v>31317</v>
      </c>
      <c r="G10" s="80">
        <v>27886</v>
      </c>
      <c r="H10" s="80">
        <v>28288</v>
      </c>
      <c r="I10" s="80">
        <v>27802</v>
      </c>
      <c r="J10" s="80">
        <v>27491</v>
      </c>
      <c r="K10" s="80">
        <v>27672</v>
      </c>
      <c r="L10" s="83">
        <v>29014</v>
      </c>
    </row>
    <row r="11" spans="1:15" x14ac:dyDescent="0.25">
      <c r="A11" s="1817"/>
      <c r="B11" s="1788"/>
      <c r="C11" s="1301"/>
      <c r="D11" s="164" t="s">
        <v>288</v>
      </c>
      <c r="E11" s="80">
        <v>8852</v>
      </c>
      <c r="F11" s="80">
        <v>9450</v>
      </c>
      <c r="G11" s="80">
        <v>9583</v>
      </c>
      <c r="H11" s="80">
        <v>9697</v>
      </c>
      <c r="I11" s="80">
        <v>9463</v>
      </c>
      <c r="J11" s="80">
        <v>9371</v>
      </c>
      <c r="K11" s="80">
        <v>9399</v>
      </c>
      <c r="L11" s="83">
        <v>9609</v>
      </c>
    </row>
    <row r="12" spans="1:15" x14ac:dyDescent="0.25">
      <c r="A12" s="1817"/>
      <c r="B12" s="1788"/>
      <c r="C12" s="1301"/>
      <c r="D12" s="164" t="s">
        <v>295</v>
      </c>
      <c r="E12" s="80">
        <v>1407</v>
      </c>
      <c r="F12" s="80">
        <v>2035</v>
      </c>
      <c r="G12" s="80">
        <v>3079</v>
      </c>
      <c r="H12" s="80">
        <v>3568</v>
      </c>
      <c r="I12" s="80">
        <v>3532</v>
      </c>
      <c r="J12" s="80">
        <v>3501</v>
      </c>
      <c r="K12" s="80">
        <v>3484</v>
      </c>
      <c r="L12" s="83">
        <v>3576</v>
      </c>
    </row>
    <row r="13" spans="1:15" ht="16.5" thickBot="1" x14ac:dyDescent="0.3">
      <c r="A13" s="1817"/>
      <c r="B13" s="1788"/>
      <c r="C13" s="1302"/>
      <c r="D13" s="169" t="s">
        <v>296</v>
      </c>
      <c r="E13" s="381">
        <v>0</v>
      </c>
      <c r="F13" s="381">
        <v>0</v>
      </c>
      <c r="G13" s="381">
        <v>0</v>
      </c>
      <c r="H13" s="381">
        <v>0</v>
      </c>
      <c r="I13" s="381">
        <v>0</v>
      </c>
      <c r="J13" s="381">
        <v>0</v>
      </c>
      <c r="K13" s="381">
        <v>0</v>
      </c>
      <c r="L13" s="268">
        <v>0</v>
      </c>
    </row>
    <row r="14" spans="1:15" x14ac:dyDescent="0.25">
      <c r="A14" s="1817"/>
      <c r="B14" s="1788"/>
      <c r="C14" s="1303" t="s">
        <v>263</v>
      </c>
      <c r="D14" s="168" t="s">
        <v>272</v>
      </c>
      <c r="E14" s="81">
        <v>56450</v>
      </c>
      <c r="F14" s="81">
        <v>54614</v>
      </c>
      <c r="G14" s="81">
        <v>51211</v>
      </c>
      <c r="H14" s="81">
        <v>52029</v>
      </c>
      <c r="I14" s="81">
        <v>51148</v>
      </c>
      <c r="J14" s="81">
        <v>50295</v>
      </c>
      <c r="K14" s="81">
        <v>50602</v>
      </c>
      <c r="L14" s="82">
        <v>51711</v>
      </c>
    </row>
    <row r="15" spans="1:15" x14ac:dyDescent="0.25">
      <c r="A15" s="1817"/>
      <c r="B15" s="1788"/>
      <c r="C15" s="1304"/>
      <c r="D15" s="164" t="s">
        <v>275</v>
      </c>
      <c r="E15" s="80">
        <v>7458</v>
      </c>
      <c r="F15" s="80">
        <v>6998</v>
      </c>
      <c r="G15" s="80">
        <v>5975</v>
      </c>
      <c r="H15" s="80">
        <v>5459</v>
      </c>
      <c r="I15" s="80">
        <v>5305</v>
      </c>
      <c r="J15" s="80">
        <v>5037</v>
      </c>
      <c r="K15" s="80">
        <v>5017</v>
      </c>
      <c r="L15" s="83">
        <v>4690</v>
      </c>
    </row>
    <row r="16" spans="1:15" x14ac:dyDescent="0.25">
      <c r="A16" s="1817"/>
      <c r="B16" s="1788"/>
      <c r="C16" s="1304"/>
      <c r="D16" s="164" t="s">
        <v>282</v>
      </c>
      <c r="E16" s="80">
        <v>36376</v>
      </c>
      <c r="F16" s="80">
        <v>33642</v>
      </c>
      <c r="G16" s="80">
        <v>30531</v>
      </c>
      <c r="H16" s="80">
        <v>31445</v>
      </c>
      <c r="I16" s="80">
        <v>30865</v>
      </c>
      <c r="J16" s="80">
        <v>30259</v>
      </c>
      <c r="K16" s="80">
        <v>30469</v>
      </c>
      <c r="L16" s="83">
        <v>31717</v>
      </c>
    </row>
    <row r="17" spans="1:13" x14ac:dyDescent="0.25">
      <c r="A17" s="1817"/>
      <c r="B17" s="1788"/>
      <c r="C17" s="1304"/>
      <c r="D17" s="164" t="s">
        <v>288</v>
      </c>
      <c r="E17" s="80">
        <v>12613</v>
      </c>
      <c r="F17" s="80">
        <v>13973</v>
      </c>
      <c r="G17" s="80">
        <v>14705</v>
      </c>
      <c r="H17" s="80">
        <v>15125</v>
      </c>
      <c r="I17" s="80">
        <v>14978</v>
      </c>
      <c r="J17" s="80">
        <v>14999</v>
      </c>
      <c r="K17" s="80">
        <v>15116</v>
      </c>
      <c r="L17" s="83">
        <v>15304</v>
      </c>
    </row>
    <row r="18" spans="1:13" x14ac:dyDescent="0.25">
      <c r="A18" s="1817"/>
      <c r="B18" s="1788"/>
      <c r="C18" s="1304"/>
      <c r="D18" s="164" t="s">
        <v>295</v>
      </c>
      <c r="E18" s="80">
        <v>2923</v>
      </c>
      <c r="F18" s="80">
        <v>3797</v>
      </c>
      <c r="G18" s="80">
        <v>5107</v>
      </c>
      <c r="H18" s="80">
        <v>6200</v>
      </c>
      <c r="I18" s="80">
        <v>6320</v>
      </c>
      <c r="J18" s="80">
        <v>6392</v>
      </c>
      <c r="K18" s="80">
        <v>6471</v>
      </c>
      <c r="L18" s="83">
        <v>6670</v>
      </c>
    </row>
    <row r="19" spans="1:13" ht="16.5" thickBot="1" x14ac:dyDescent="0.3">
      <c r="A19" s="1817"/>
      <c r="B19" s="1788"/>
      <c r="C19" s="1305"/>
      <c r="D19" s="169" t="s">
        <v>296</v>
      </c>
      <c r="E19" s="381">
        <v>3</v>
      </c>
      <c r="F19" s="381">
        <v>1</v>
      </c>
      <c r="G19" s="381">
        <v>0</v>
      </c>
      <c r="H19" s="381">
        <v>0</v>
      </c>
      <c r="I19" s="381">
        <v>0</v>
      </c>
      <c r="J19" s="381">
        <v>0</v>
      </c>
      <c r="K19" s="381">
        <v>0</v>
      </c>
      <c r="L19" s="756">
        <v>0</v>
      </c>
    </row>
    <row r="20" spans="1:13" x14ac:dyDescent="0.25">
      <c r="A20" s="1817"/>
      <c r="B20" s="1788"/>
      <c r="C20" s="1306" t="s">
        <v>269</v>
      </c>
      <c r="D20" s="535" t="s">
        <v>272</v>
      </c>
      <c r="E20" s="375">
        <f t="shared" ref="E20:L24" si="2">E14-E8</f>
        <v>6070</v>
      </c>
      <c r="F20" s="375">
        <f t="shared" si="2"/>
        <v>6557</v>
      </c>
      <c r="G20" s="375">
        <f t="shared" si="2"/>
        <v>7609</v>
      </c>
      <c r="H20" s="375">
        <f t="shared" si="2"/>
        <v>8444</v>
      </c>
      <c r="I20" s="375">
        <f t="shared" si="2"/>
        <v>8486</v>
      </c>
      <c r="J20" s="375">
        <f t="shared" si="2"/>
        <v>8200</v>
      </c>
      <c r="K20" s="375">
        <f t="shared" si="2"/>
        <v>8390</v>
      </c>
      <c r="L20" s="376">
        <f t="shared" si="2"/>
        <v>8299</v>
      </c>
    </row>
    <row r="21" spans="1:13" x14ac:dyDescent="0.25">
      <c r="A21" s="1817"/>
      <c r="B21" s="1788"/>
      <c r="C21" s="1307"/>
      <c r="D21" s="527" t="s">
        <v>275</v>
      </c>
      <c r="E21" s="157">
        <f t="shared" si="2"/>
        <v>-292</v>
      </c>
      <c r="F21" s="157">
        <f t="shared" si="2"/>
        <v>-292</v>
      </c>
      <c r="G21" s="157">
        <f t="shared" si="2"/>
        <v>-158</v>
      </c>
      <c r="H21" s="157">
        <f t="shared" si="2"/>
        <v>-141</v>
      </c>
      <c r="I21" s="157">
        <f t="shared" si="2"/>
        <v>-92</v>
      </c>
      <c r="J21" s="157">
        <f t="shared" si="2"/>
        <v>-196</v>
      </c>
      <c r="K21" s="157">
        <f t="shared" si="2"/>
        <v>-124</v>
      </c>
      <c r="L21" s="160">
        <f t="shared" si="2"/>
        <v>-99</v>
      </c>
    </row>
    <row r="22" spans="1:13" x14ac:dyDescent="0.25">
      <c r="A22" s="1817"/>
      <c r="B22" s="1788"/>
      <c r="C22" s="1307"/>
      <c r="D22" s="527" t="s">
        <v>282</v>
      </c>
      <c r="E22" s="363">
        <f t="shared" si="2"/>
        <v>2598</v>
      </c>
      <c r="F22" s="363">
        <f t="shared" si="2"/>
        <v>2325</v>
      </c>
      <c r="G22" s="363">
        <f t="shared" si="2"/>
        <v>2645</v>
      </c>
      <c r="H22" s="363">
        <f t="shared" si="2"/>
        <v>3157</v>
      </c>
      <c r="I22" s="363">
        <f t="shared" si="2"/>
        <v>3063</v>
      </c>
      <c r="J22" s="363">
        <f t="shared" si="2"/>
        <v>2768</v>
      </c>
      <c r="K22" s="363">
        <f t="shared" si="2"/>
        <v>2797</v>
      </c>
      <c r="L22" s="365">
        <f t="shared" si="2"/>
        <v>2703</v>
      </c>
    </row>
    <row r="23" spans="1:13" x14ac:dyDescent="0.25">
      <c r="A23" s="1817"/>
      <c r="B23" s="1788"/>
      <c r="C23" s="1307"/>
      <c r="D23" s="527" t="s">
        <v>288</v>
      </c>
      <c r="E23" s="363">
        <f t="shared" si="2"/>
        <v>3761</v>
      </c>
      <c r="F23" s="363">
        <f t="shared" si="2"/>
        <v>4523</v>
      </c>
      <c r="G23" s="363">
        <f t="shared" si="2"/>
        <v>5122</v>
      </c>
      <c r="H23" s="363">
        <f t="shared" si="2"/>
        <v>5428</v>
      </c>
      <c r="I23" s="363">
        <f t="shared" si="2"/>
        <v>5515</v>
      </c>
      <c r="J23" s="363">
        <f t="shared" si="2"/>
        <v>5628</v>
      </c>
      <c r="K23" s="363">
        <f t="shared" si="2"/>
        <v>5717</v>
      </c>
      <c r="L23" s="365">
        <f t="shared" si="2"/>
        <v>5695</v>
      </c>
    </row>
    <row r="24" spans="1:13" ht="16.5" thickBot="1" x14ac:dyDescent="0.3">
      <c r="A24" s="1817"/>
      <c r="B24" s="1788"/>
      <c r="C24" s="1308"/>
      <c r="D24" s="538" t="s">
        <v>295</v>
      </c>
      <c r="E24" s="382">
        <f t="shared" si="2"/>
        <v>1516</v>
      </c>
      <c r="F24" s="382">
        <f t="shared" si="2"/>
        <v>1762</v>
      </c>
      <c r="G24" s="382">
        <f t="shared" si="2"/>
        <v>2028</v>
      </c>
      <c r="H24" s="382">
        <f t="shared" si="2"/>
        <v>2632</v>
      </c>
      <c r="I24" s="382">
        <f t="shared" si="2"/>
        <v>2788</v>
      </c>
      <c r="J24" s="382">
        <f t="shared" si="2"/>
        <v>2891</v>
      </c>
      <c r="K24" s="382">
        <f t="shared" si="2"/>
        <v>2987</v>
      </c>
      <c r="L24" s="383">
        <f t="shared" si="2"/>
        <v>3094</v>
      </c>
    </row>
    <row r="25" spans="1:13" x14ac:dyDescent="0.25">
      <c r="A25" s="1817"/>
      <c r="B25" s="1788"/>
      <c r="C25" s="1265" t="s">
        <v>270</v>
      </c>
      <c r="D25" s="535" t="s">
        <v>272</v>
      </c>
      <c r="E25" s="384">
        <f t="shared" ref="E25:L25" si="3">E14/E3*100</f>
        <v>52.840962276514091</v>
      </c>
      <c r="F25" s="384">
        <f t="shared" si="3"/>
        <v>53.193209377526273</v>
      </c>
      <c r="G25" s="384">
        <f t="shared" si="3"/>
        <v>54.01263539809942</v>
      </c>
      <c r="H25" s="384">
        <f t="shared" si="3"/>
        <v>54.415671345200487</v>
      </c>
      <c r="I25" s="384">
        <f t="shared" si="3"/>
        <v>54.522971964609312</v>
      </c>
      <c r="J25" s="384">
        <f t="shared" si="3"/>
        <v>54.437709708842952</v>
      </c>
      <c r="K25" s="384">
        <f t="shared" si="3"/>
        <v>54.519792272717481</v>
      </c>
      <c r="L25" s="385">
        <f t="shared" si="3"/>
        <v>54.36224677522786</v>
      </c>
    </row>
    <row r="26" spans="1:13" x14ac:dyDescent="0.25">
      <c r="A26" s="1817"/>
      <c r="B26" s="1788"/>
      <c r="C26" s="1360"/>
      <c r="D26" s="527" t="s">
        <v>275</v>
      </c>
      <c r="E26" s="158">
        <f t="shared" ref="E26:L29" si="4">(E15/(E15+E9))*100</f>
        <v>49.039978958442923</v>
      </c>
      <c r="F26" s="158">
        <f t="shared" si="4"/>
        <v>48.978163493840988</v>
      </c>
      <c r="G26" s="158">
        <f t="shared" si="4"/>
        <v>49.34753881731087</v>
      </c>
      <c r="H26" s="158">
        <f t="shared" si="4"/>
        <v>49.36251017271001</v>
      </c>
      <c r="I26" s="158">
        <f t="shared" si="4"/>
        <v>49.570173799289854</v>
      </c>
      <c r="J26" s="158">
        <f t="shared" si="4"/>
        <v>49.045764362220055</v>
      </c>
      <c r="K26" s="158">
        <f t="shared" si="4"/>
        <v>49.389643630635952</v>
      </c>
      <c r="L26" s="330">
        <f t="shared" si="4"/>
        <v>49.477793016140943</v>
      </c>
    </row>
    <row r="27" spans="1:13" x14ac:dyDescent="0.25">
      <c r="A27" s="1817"/>
      <c r="B27" s="1788"/>
      <c r="C27" s="1360"/>
      <c r="D27" s="527" t="s">
        <v>282</v>
      </c>
      <c r="E27" s="364">
        <f t="shared" si="4"/>
        <v>51.851640676226587</v>
      </c>
      <c r="F27" s="364">
        <f t="shared" si="4"/>
        <v>51.78959035699441</v>
      </c>
      <c r="G27" s="364">
        <f t="shared" si="4"/>
        <v>52.263895783761569</v>
      </c>
      <c r="H27" s="364">
        <f t="shared" si="4"/>
        <v>52.642592871612003</v>
      </c>
      <c r="I27" s="364">
        <f t="shared" si="4"/>
        <v>52.61049653126971</v>
      </c>
      <c r="J27" s="364">
        <f t="shared" si="4"/>
        <v>52.396536796536793</v>
      </c>
      <c r="K27" s="364">
        <f t="shared" si="4"/>
        <v>52.405359384943495</v>
      </c>
      <c r="L27" s="386">
        <f t="shared" si="4"/>
        <v>52.225387363949217</v>
      </c>
    </row>
    <row r="28" spans="1:13" x14ac:dyDescent="0.25">
      <c r="A28" s="1817"/>
      <c r="B28" s="1788"/>
      <c r="C28" s="1360"/>
      <c r="D28" s="527" t="s">
        <v>288</v>
      </c>
      <c r="E28" s="364">
        <f t="shared" si="4"/>
        <v>58.760773351968318</v>
      </c>
      <c r="F28" s="364">
        <f t="shared" si="4"/>
        <v>59.655039918029281</v>
      </c>
      <c r="G28" s="364">
        <f t="shared" si="4"/>
        <v>60.544301712779969</v>
      </c>
      <c r="H28" s="364">
        <f t="shared" si="4"/>
        <v>60.933849004914997</v>
      </c>
      <c r="I28" s="364">
        <f t="shared" si="4"/>
        <v>61.282271592815349</v>
      </c>
      <c r="J28" s="364">
        <f t="shared" si="4"/>
        <v>61.546983996717273</v>
      </c>
      <c r="K28" s="364">
        <f t="shared" si="4"/>
        <v>61.660208035896389</v>
      </c>
      <c r="L28" s="386">
        <f t="shared" si="4"/>
        <v>61.429775619154661</v>
      </c>
    </row>
    <row r="29" spans="1:13" ht="16.5" thickBot="1" x14ac:dyDescent="0.3">
      <c r="A29" s="1817"/>
      <c r="B29" s="1789"/>
      <c r="C29" s="1361"/>
      <c r="D29" s="538" t="s">
        <v>295</v>
      </c>
      <c r="E29" s="366">
        <f t="shared" si="4"/>
        <v>67.505773672055426</v>
      </c>
      <c r="F29" s="366">
        <f t="shared" si="4"/>
        <v>65.106310013717419</v>
      </c>
      <c r="G29" s="366">
        <f t="shared" si="4"/>
        <v>62.387002198876132</v>
      </c>
      <c r="H29" s="366">
        <f t="shared" si="4"/>
        <v>63.472563472563472</v>
      </c>
      <c r="I29" s="366">
        <f t="shared" si="4"/>
        <v>64.149411287048324</v>
      </c>
      <c r="J29" s="366">
        <f t="shared" si="4"/>
        <v>64.611341352471442</v>
      </c>
      <c r="K29" s="366">
        <f t="shared" si="4"/>
        <v>65.00251130085384</v>
      </c>
      <c r="L29" s="367">
        <f t="shared" si="4"/>
        <v>65.098575053679482</v>
      </c>
    </row>
    <row r="30" spans="1:13" ht="17.25" thickTop="1" thickBot="1" x14ac:dyDescent="0.3">
      <c r="A30" s="1783"/>
      <c r="B30" s="823" t="s">
        <v>249</v>
      </c>
      <c r="C30" s="1675"/>
      <c r="D30" s="1675"/>
      <c r="E30" s="112">
        <v>2005</v>
      </c>
      <c r="F30" s="112">
        <v>2010</v>
      </c>
      <c r="G30" s="112">
        <v>2015</v>
      </c>
      <c r="H30" s="112">
        <v>2020</v>
      </c>
      <c r="I30" s="112">
        <v>2021</v>
      </c>
      <c r="J30" s="112">
        <v>2022</v>
      </c>
      <c r="K30" s="112">
        <v>2023</v>
      </c>
      <c r="L30" s="112">
        <v>2024</v>
      </c>
      <c r="M30" s="482"/>
    </row>
    <row r="31" spans="1:13" x14ac:dyDescent="0.25">
      <c r="A31" s="1817"/>
      <c r="B31" s="1194" t="s">
        <v>570</v>
      </c>
      <c r="C31" s="1210" t="s">
        <v>272</v>
      </c>
      <c r="D31" s="1541"/>
      <c r="E31" s="81">
        <v>8625</v>
      </c>
      <c r="F31" s="81">
        <v>11248</v>
      </c>
      <c r="G31" s="81">
        <v>7218</v>
      </c>
      <c r="H31" s="81">
        <v>10077</v>
      </c>
      <c r="I31" s="81">
        <v>10030</v>
      </c>
      <c r="J31" s="81">
        <v>9874</v>
      </c>
      <c r="K31" s="81">
        <v>11123</v>
      </c>
      <c r="L31" s="82">
        <f>L32+L33</f>
        <v>13242</v>
      </c>
    </row>
    <row r="32" spans="1:13" x14ac:dyDescent="0.25">
      <c r="A32" s="1817"/>
      <c r="B32" s="1195"/>
      <c r="C32" s="1148" t="s">
        <v>257</v>
      </c>
      <c r="D32" s="1124"/>
      <c r="E32" s="80">
        <v>4087</v>
      </c>
      <c r="F32" s="80">
        <v>5413</v>
      </c>
      <c r="G32" s="80">
        <v>3263</v>
      </c>
      <c r="H32" s="80">
        <v>4409</v>
      </c>
      <c r="I32" s="80">
        <v>4434</v>
      </c>
      <c r="J32" s="80">
        <v>4459</v>
      </c>
      <c r="K32" s="80">
        <v>5008</v>
      </c>
      <c r="L32" s="83">
        <v>6112</v>
      </c>
    </row>
    <row r="33" spans="1:12" x14ac:dyDescent="0.25">
      <c r="A33" s="1817"/>
      <c r="B33" s="1195"/>
      <c r="C33" s="1148" t="s">
        <v>263</v>
      </c>
      <c r="D33" s="1124"/>
      <c r="E33" s="80">
        <v>4538</v>
      </c>
      <c r="F33" s="80">
        <v>5835</v>
      </c>
      <c r="G33" s="80">
        <v>3955</v>
      </c>
      <c r="H33" s="80">
        <v>5668</v>
      </c>
      <c r="I33" s="80">
        <v>5596</v>
      </c>
      <c r="J33" s="80">
        <v>5415</v>
      </c>
      <c r="K33" s="80">
        <v>6115</v>
      </c>
      <c r="L33" s="83">
        <v>7130</v>
      </c>
    </row>
    <row r="34" spans="1:12" x14ac:dyDescent="0.25">
      <c r="A34" s="1817"/>
      <c r="B34" s="1195"/>
      <c r="C34" s="1190" t="s">
        <v>269</v>
      </c>
      <c r="D34" s="1112"/>
      <c r="E34" s="363">
        <f>+E33-E32</f>
        <v>451</v>
      </c>
      <c r="F34" s="363">
        <f t="shared" ref="F34:L34" si="5">+F33-F32</f>
        <v>422</v>
      </c>
      <c r="G34" s="363">
        <f t="shared" si="5"/>
        <v>692</v>
      </c>
      <c r="H34" s="363">
        <f t="shared" si="5"/>
        <v>1259</v>
      </c>
      <c r="I34" s="363">
        <f t="shared" si="5"/>
        <v>1162</v>
      </c>
      <c r="J34" s="363">
        <f t="shared" si="5"/>
        <v>956</v>
      </c>
      <c r="K34" s="363">
        <f t="shared" si="5"/>
        <v>1107</v>
      </c>
      <c r="L34" s="365">
        <f t="shared" si="5"/>
        <v>1018</v>
      </c>
    </row>
    <row r="35" spans="1:12" ht="16.5" thickBot="1" x14ac:dyDescent="0.3">
      <c r="A35" s="1817"/>
      <c r="B35" s="1595"/>
      <c r="C35" s="1169" t="s">
        <v>270</v>
      </c>
      <c r="D35" s="1126"/>
      <c r="E35" s="366">
        <f>E33/E31*100</f>
        <v>52.614492753623189</v>
      </c>
      <c r="F35" s="366">
        <f t="shared" ref="F35:L35" si="6">F33/F31*100</f>
        <v>51.87588904694168</v>
      </c>
      <c r="G35" s="366">
        <f t="shared" si="6"/>
        <v>54.793571626489332</v>
      </c>
      <c r="H35" s="366">
        <f t="shared" si="6"/>
        <v>56.246898878634511</v>
      </c>
      <c r="I35" s="366">
        <f t="shared" si="6"/>
        <v>55.792622133599203</v>
      </c>
      <c r="J35" s="366">
        <f t="shared" si="6"/>
        <v>54.840996556613334</v>
      </c>
      <c r="K35" s="366">
        <f t="shared" si="6"/>
        <v>54.976175492223319</v>
      </c>
      <c r="L35" s="367">
        <f t="shared" si="6"/>
        <v>53.843830237124301</v>
      </c>
    </row>
    <row r="36" spans="1:12" x14ac:dyDescent="0.25">
      <c r="A36" s="1817"/>
      <c r="B36" s="1194" t="s">
        <v>342</v>
      </c>
      <c r="C36" s="1146" t="s">
        <v>343</v>
      </c>
      <c r="D36" s="1147"/>
      <c r="E36" s="195">
        <f t="shared" ref="E36:L36" si="7">E37+E38</f>
        <v>4057</v>
      </c>
      <c r="F36" s="195">
        <f t="shared" si="7"/>
        <v>4703</v>
      </c>
      <c r="G36" s="195">
        <f t="shared" si="7"/>
        <v>5495</v>
      </c>
      <c r="H36" s="195">
        <f t="shared" si="7"/>
        <v>5873</v>
      </c>
      <c r="I36" s="195">
        <f t="shared" si="7"/>
        <v>6070</v>
      </c>
      <c r="J36" s="195">
        <f t="shared" si="7"/>
        <v>6194</v>
      </c>
      <c r="K36" s="195">
        <f t="shared" si="7"/>
        <v>6232</v>
      </c>
      <c r="L36" s="196">
        <f t="shared" si="7"/>
        <v>6387</v>
      </c>
    </row>
    <row r="37" spans="1:12" x14ac:dyDescent="0.25">
      <c r="A37" s="1817"/>
      <c r="B37" s="1195"/>
      <c r="C37" s="1148" t="s">
        <v>344</v>
      </c>
      <c r="D37" s="1124"/>
      <c r="E37" s="80">
        <v>739</v>
      </c>
      <c r="F37" s="80">
        <v>861</v>
      </c>
      <c r="G37" s="80">
        <v>1055</v>
      </c>
      <c r="H37" s="80">
        <v>1183</v>
      </c>
      <c r="I37" s="80">
        <v>1223</v>
      </c>
      <c r="J37" s="80">
        <v>1231</v>
      </c>
      <c r="K37" s="80">
        <v>1243</v>
      </c>
      <c r="L37" s="83">
        <v>1323</v>
      </c>
    </row>
    <row r="38" spans="1:12" x14ac:dyDescent="0.25">
      <c r="A38" s="1817"/>
      <c r="B38" s="1195"/>
      <c r="C38" s="1148" t="s">
        <v>345</v>
      </c>
      <c r="D38" s="1124"/>
      <c r="E38" s="80">
        <v>3318</v>
      </c>
      <c r="F38" s="80">
        <v>3842</v>
      </c>
      <c r="G38" s="80">
        <v>4440</v>
      </c>
      <c r="H38" s="80">
        <v>4690</v>
      </c>
      <c r="I38" s="80">
        <v>4847</v>
      </c>
      <c r="J38" s="80">
        <v>4963</v>
      </c>
      <c r="K38" s="80">
        <v>4989</v>
      </c>
      <c r="L38" s="83">
        <v>5064</v>
      </c>
    </row>
    <row r="39" spans="1:12" x14ac:dyDescent="0.25">
      <c r="A39" s="1817"/>
      <c r="B39" s="1195"/>
      <c r="C39" s="1190" t="s">
        <v>269</v>
      </c>
      <c r="D39" s="1112"/>
      <c r="E39" s="157">
        <f>E38-E37</f>
        <v>2579</v>
      </c>
      <c r="F39" s="157">
        <f t="shared" ref="F39:L39" si="8">F38-F37</f>
        <v>2981</v>
      </c>
      <c r="G39" s="157">
        <f t="shared" si="8"/>
        <v>3385</v>
      </c>
      <c r="H39" s="157">
        <f t="shared" si="8"/>
        <v>3507</v>
      </c>
      <c r="I39" s="157">
        <f t="shared" si="8"/>
        <v>3624</v>
      </c>
      <c r="J39" s="157">
        <f t="shared" si="8"/>
        <v>3732</v>
      </c>
      <c r="K39" s="157">
        <f t="shared" si="8"/>
        <v>3746</v>
      </c>
      <c r="L39" s="160">
        <f t="shared" si="8"/>
        <v>3741</v>
      </c>
    </row>
    <row r="40" spans="1:12" ht="16.5" thickBot="1" x14ac:dyDescent="0.3">
      <c r="A40" s="1817"/>
      <c r="B40" s="1755"/>
      <c r="C40" s="1177" t="s">
        <v>346</v>
      </c>
      <c r="D40" s="1178"/>
      <c r="E40" s="165">
        <f t="shared" ref="E40:L40" si="9">E38/E36*100</f>
        <v>81.78456987922111</v>
      </c>
      <c r="F40" s="165">
        <f t="shared" si="9"/>
        <v>81.692536678715712</v>
      </c>
      <c r="G40" s="165">
        <f t="shared" si="9"/>
        <v>80.800727934485892</v>
      </c>
      <c r="H40" s="165">
        <f t="shared" si="9"/>
        <v>79.856972586412397</v>
      </c>
      <c r="I40" s="165">
        <f t="shared" si="9"/>
        <v>79.851729818780896</v>
      </c>
      <c r="J40" s="165">
        <f t="shared" si="9"/>
        <v>80.125928317726832</v>
      </c>
      <c r="K40" s="165">
        <f t="shared" si="9"/>
        <v>80.05455712451861</v>
      </c>
      <c r="L40" s="166">
        <f t="shared" si="9"/>
        <v>79.286049788633164</v>
      </c>
    </row>
    <row r="41" spans="1:12" ht="15" customHeight="1" x14ac:dyDescent="0.25">
      <c r="A41" s="1817"/>
      <c r="B41" s="1194" t="s">
        <v>134</v>
      </c>
      <c r="C41" s="1205" t="s">
        <v>348</v>
      </c>
      <c r="D41" s="1206"/>
      <c r="E41" s="195">
        <f t="shared" ref="E41:L41" si="10">E42+E43</f>
        <v>755</v>
      </c>
      <c r="F41" s="195">
        <f t="shared" si="10"/>
        <v>791</v>
      </c>
      <c r="G41" s="195">
        <f t="shared" si="10"/>
        <v>790</v>
      </c>
      <c r="H41" s="195">
        <f t="shared" si="10"/>
        <v>827</v>
      </c>
      <c r="I41" s="195">
        <f t="shared" si="10"/>
        <v>802</v>
      </c>
      <c r="J41" s="195">
        <f t="shared" si="10"/>
        <v>758</v>
      </c>
      <c r="K41" s="195">
        <f t="shared" si="10"/>
        <v>749</v>
      </c>
      <c r="L41" s="196">
        <f t="shared" si="10"/>
        <v>810</v>
      </c>
    </row>
    <row r="42" spans="1:12" x14ac:dyDescent="0.25">
      <c r="A42" s="1817"/>
      <c r="B42" s="1195"/>
      <c r="C42" s="1148" t="s">
        <v>349</v>
      </c>
      <c r="D42" s="1124"/>
      <c r="E42" s="80">
        <v>145</v>
      </c>
      <c r="F42" s="80">
        <v>146</v>
      </c>
      <c r="G42" s="80">
        <v>145</v>
      </c>
      <c r="H42" s="80">
        <v>121</v>
      </c>
      <c r="I42" s="80">
        <v>116</v>
      </c>
      <c r="J42" s="80">
        <v>118</v>
      </c>
      <c r="K42" s="80">
        <v>107</v>
      </c>
      <c r="L42" s="83">
        <v>121</v>
      </c>
    </row>
    <row r="43" spans="1:12" x14ac:dyDescent="0.25">
      <c r="A43" s="1817"/>
      <c r="B43" s="1195"/>
      <c r="C43" s="1148" t="s">
        <v>350</v>
      </c>
      <c r="D43" s="1124"/>
      <c r="E43" s="80">
        <v>610</v>
      </c>
      <c r="F43" s="80">
        <v>645</v>
      </c>
      <c r="G43" s="80">
        <v>645</v>
      </c>
      <c r="H43" s="80">
        <v>706</v>
      </c>
      <c r="I43" s="80">
        <v>686</v>
      </c>
      <c r="J43" s="80">
        <v>640</v>
      </c>
      <c r="K43" s="80">
        <v>642</v>
      </c>
      <c r="L43" s="83">
        <v>689</v>
      </c>
    </row>
    <row r="44" spans="1:12" x14ac:dyDescent="0.25">
      <c r="A44" s="1817"/>
      <c r="B44" s="1195"/>
      <c r="C44" s="1190" t="s">
        <v>269</v>
      </c>
      <c r="D44" s="1112"/>
      <c r="E44" s="157">
        <f>E43-E42</f>
        <v>465</v>
      </c>
      <c r="F44" s="157">
        <f t="shared" ref="F44:L44" si="11">F43-F42</f>
        <v>499</v>
      </c>
      <c r="G44" s="157">
        <f t="shared" si="11"/>
        <v>500</v>
      </c>
      <c r="H44" s="157">
        <f t="shared" si="11"/>
        <v>585</v>
      </c>
      <c r="I44" s="157">
        <f t="shared" si="11"/>
        <v>570</v>
      </c>
      <c r="J44" s="157">
        <f t="shared" si="11"/>
        <v>522</v>
      </c>
      <c r="K44" s="157">
        <f t="shared" si="11"/>
        <v>535</v>
      </c>
      <c r="L44" s="160">
        <f t="shared" si="11"/>
        <v>568</v>
      </c>
    </row>
    <row r="45" spans="1:12" x14ac:dyDescent="0.25">
      <c r="A45" s="1818"/>
      <c r="B45" s="1755"/>
      <c r="C45" s="1177" t="s">
        <v>351</v>
      </c>
      <c r="D45" s="1178"/>
      <c r="E45" s="165">
        <f t="shared" ref="E45:L45" si="12">E43/E41*100</f>
        <v>80.794701986754973</v>
      </c>
      <c r="F45" s="165">
        <f t="shared" si="12"/>
        <v>81.542351453855872</v>
      </c>
      <c r="G45" s="165">
        <f t="shared" si="12"/>
        <v>81.64556962025317</v>
      </c>
      <c r="H45" s="165">
        <f t="shared" si="12"/>
        <v>85.36880290205562</v>
      </c>
      <c r="I45" s="165">
        <f t="shared" si="12"/>
        <v>85.536159600997507</v>
      </c>
      <c r="J45" s="165">
        <f t="shared" si="12"/>
        <v>84.432717678100261</v>
      </c>
      <c r="K45" s="165">
        <f t="shared" si="12"/>
        <v>85.714285714285708</v>
      </c>
      <c r="L45" s="166">
        <f t="shared" si="12"/>
        <v>85.061728395061735</v>
      </c>
    </row>
    <row r="46" spans="1:12" ht="16.5" thickBot="1" x14ac:dyDescent="0.3">
      <c r="A46" s="338" t="s">
        <v>248</v>
      </c>
      <c r="B46" s="338" t="s">
        <v>249</v>
      </c>
      <c r="C46" s="1422"/>
      <c r="D46" s="1422"/>
      <c r="E46" s="616">
        <v>2005</v>
      </c>
      <c r="F46" s="616">
        <v>2010</v>
      </c>
      <c r="G46" s="616">
        <v>2015</v>
      </c>
      <c r="H46" s="616">
        <v>2020</v>
      </c>
      <c r="I46" s="616">
        <v>2021</v>
      </c>
      <c r="J46" s="616">
        <v>2022</v>
      </c>
      <c r="K46" s="616">
        <v>2023</v>
      </c>
      <c r="L46" s="616">
        <v>2024</v>
      </c>
    </row>
    <row r="47" spans="1:12" x14ac:dyDescent="0.25">
      <c r="A47" s="1814" t="s">
        <v>38</v>
      </c>
      <c r="B47" s="1392" t="s">
        <v>352</v>
      </c>
      <c r="C47" s="1147" t="s">
        <v>251</v>
      </c>
      <c r="D47" s="1147"/>
      <c r="E47" s="195">
        <v>3675</v>
      </c>
      <c r="F47" s="195">
        <v>6947</v>
      </c>
      <c r="G47" s="195">
        <v>6615</v>
      </c>
      <c r="H47" s="195">
        <v>5905</v>
      </c>
      <c r="I47" s="195">
        <v>5974</v>
      </c>
      <c r="J47" s="195">
        <v>4425</v>
      </c>
      <c r="K47" s="195">
        <v>4366</v>
      </c>
      <c r="L47" s="82">
        <v>4170</v>
      </c>
    </row>
    <row r="48" spans="1:12" x14ac:dyDescent="0.25">
      <c r="A48" s="1815"/>
      <c r="B48" s="1393"/>
      <c r="C48" s="1124" t="s">
        <v>257</v>
      </c>
      <c r="D48" s="1124"/>
      <c r="E48" s="96">
        <v>1472</v>
      </c>
      <c r="F48" s="96">
        <v>3354</v>
      </c>
      <c r="G48" s="96">
        <v>3069</v>
      </c>
      <c r="H48" s="96">
        <v>2572</v>
      </c>
      <c r="I48" s="96">
        <v>2571</v>
      </c>
      <c r="J48" s="96">
        <v>1834</v>
      </c>
      <c r="K48" s="96">
        <v>1808</v>
      </c>
      <c r="L48" s="83">
        <v>1725</v>
      </c>
    </row>
    <row r="49" spans="1:12" x14ac:dyDescent="0.25">
      <c r="A49" s="1815"/>
      <c r="B49" s="1393"/>
      <c r="C49" s="1124" t="s">
        <v>263</v>
      </c>
      <c r="D49" s="1124"/>
      <c r="E49" s="96">
        <v>2203</v>
      </c>
      <c r="F49" s="96">
        <v>3593</v>
      </c>
      <c r="G49" s="96">
        <v>3546</v>
      </c>
      <c r="H49" s="96">
        <v>3333</v>
      </c>
      <c r="I49" s="96">
        <v>3403</v>
      </c>
      <c r="J49" s="96">
        <v>2591</v>
      </c>
      <c r="K49" s="96">
        <v>2558</v>
      </c>
      <c r="L49" s="83">
        <v>2445</v>
      </c>
    </row>
    <row r="50" spans="1:12" x14ac:dyDescent="0.25">
      <c r="A50" s="1815"/>
      <c r="B50" s="1393"/>
      <c r="C50" s="1112" t="s">
        <v>353</v>
      </c>
      <c r="D50" s="1112"/>
      <c r="E50" s="157">
        <f t="shared" ref="E50:L50" si="13">+E49-E48</f>
        <v>731</v>
      </c>
      <c r="F50" s="157">
        <f t="shared" si="13"/>
        <v>239</v>
      </c>
      <c r="G50" s="157">
        <f t="shared" si="13"/>
        <v>477</v>
      </c>
      <c r="H50" s="157">
        <f t="shared" si="13"/>
        <v>761</v>
      </c>
      <c r="I50" s="157">
        <f t="shared" si="13"/>
        <v>832</v>
      </c>
      <c r="J50" s="157">
        <f t="shared" si="13"/>
        <v>757</v>
      </c>
      <c r="K50" s="157">
        <f t="shared" si="13"/>
        <v>750</v>
      </c>
      <c r="L50" s="160">
        <f t="shared" si="13"/>
        <v>720</v>
      </c>
    </row>
    <row r="51" spans="1:12" ht="16.5" thickBot="1" x14ac:dyDescent="0.3">
      <c r="A51" s="1815"/>
      <c r="B51" s="1402"/>
      <c r="C51" s="1126" t="s">
        <v>270</v>
      </c>
      <c r="D51" s="1126"/>
      <c r="E51" s="161">
        <f>E49/E47*100</f>
        <v>59.945578231292515</v>
      </c>
      <c r="F51" s="161">
        <f t="shared" ref="F51:L51" si="14">F49/F47*100</f>
        <v>51.720166978551894</v>
      </c>
      <c r="G51" s="161">
        <f t="shared" si="14"/>
        <v>53.605442176870746</v>
      </c>
      <c r="H51" s="161">
        <f t="shared" si="14"/>
        <v>56.443691786621507</v>
      </c>
      <c r="I51" s="161">
        <f t="shared" si="14"/>
        <v>56.963508536993636</v>
      </c>
      <c r="J51" s="161">
        <f t="shared" si="14"/>
        <v>58.553672316384173</v>
      </c>
      <c r="K51" s="161">
        <f t="shared" si="14"/>
        <v>58.589097572148418</v>
      </c>
      <c r="L51" s="162">
        <f t="shared" si="14"/>
        <v>58.633093525179859</v>
      </c>
    </row>
    <row r="52" spans="1:12" x14ac:dyDescent="0.25">
      <c r="A52" s="1815"/>
      <c r="B52" s="1392" t="s">
        <v>146</v>
      </c>
      <c r="C52" s="1650" t="s">
        <v>251</v>
      </c>
      <c r="D52" s="1650"/>
      <c r="E52" s="36"/>
      <c r="F52" s="36"/>
      <c r="G52" s="36"/>
      <c r="H52" s="36">
        <v>10.35</v>
      </c>
      <c r="I52" s="36">
        <v>9.01</v>
      </c>
      <c r="J52" s="36">
        <v>7.34</v>
      </c>
      <c r="K52" s="36">
        <v>6.97</v>
      </c>
      <c r="L52" s="20">
        <v>5.52</v>
      </c>
    </row>
    <row r="53" spans="1:12" x14ac:dyDescent="0.25">
      <c r="A53" s="1815"/>
      <c r="B53" s="1393"/>
      <c r="C53" s="1124" t="s">
        <v>257</v>
      </c>
      <c r="D53" s="1124"/>
      <c r="E53" s="28"/>
      <c r="F53" s="28"/>
      <c r="G53" s="28"/>
      <c r="H53" s="28">
        <v>9.65</v>
      </c>
      <c r="I53" s="28">
        <v>8.0299999999999994</v>
      </c>
      <c r="J53" s="28">
        <v>6.51</v>
      </c>
      <c r="K53" s="28">
        <v>6.11</v>
      </c>
      <c r="L53" s="21">
        <v>4.76</v>
      </c>
    </row>
    <row r="54" spans="1:12" x14ac:dyDescent="0.25">
      <c r="A54" s="1815"/>
      <c r="B54" s="1393"/>
      <c r="C54" s="1223" t="s">
        <v>263</v>
      </c>
      <c r="D54" s="1223"/>
      <c r="E54" s="28"/>
      <c r="F54" s="28"/>
      <c r="G54" s="28"/>
      <c r="H54" s="28">
        <v>10.97</v>
      </c>
      <c r="I54" s="28">
        <v>9.9</v>
      </c>
      <c r="J54" s="28">
        <v>8.1</v>
      </c>
      <c r="K54" s="28">
        <v>7.76</v>
      </c>
      <c r="L54" s="21">
        <v>6.21</v>
      </c>
    </row>
    <row r="55" spans="1:12" ht="16.5" thickBot="1" x14ac:dyDescent="0.3">
      <c r="A55" s="1815"/>
      <c r="B55" s="1402"/>
      <c r="C55" s="1225" t="s">
        <v>354</v>
      </c>
      <c r="D55" s="1225"/>
      <c r="E55" s="33"/>
      <c r="F55" s="33"/>
      <c r="G55" s="33"/>
      <c r="H55" s="34">
        <f>+H54-H53</f>
        <v>1.3200000000000003</v>
      </c>
      <c r="I55" s="34">
        <f>+I54-I53</f>
        <v>1.870000000000001</v>
      </c>
      <c r="J55" s="34">
        <f>+J54-J53</f>
        <v>1.5899999999999999</v>
      </c>
      <c r="K55" s="34">
        <f>+K54-K53</f>
        <v>1.6499999999999995</v>
      </c>
      <c r="L55" s="35">
        <f>+L54-L53</f>
        <v>1.4500000000000002</v>
      </c>
    </row>
    <row r="56" spans="1:12" x14ac:dyDescent="0.25">
      <c r="A56" s="1815"/>
      <c r="B56" s="1683" t="s">
        <v>151</v>
      </c>
      <c r="C56" s="1430" t="s">
        <v>251</v>
      </c>
      <c r="D56" s="1430"/>
      <c r="E56" s="36"/>
      <c r="F56" s="36"/>
      <c r="G56" s="36"/>
      <c r="H56" s="225">
        <v>374</v>
      </c>
      <c r="I56" s="225">
        <v>368</v>
      </c>
      <c r="J56" s="225">
        <v>727</v>
      </c>
      <c r="K56" s="225">
        <v>452</v>
      </c>
      <c r="L56" s="20"/>
    </row>
    <row r="57" spans="1:12" x14ac:dyDescent="0.25">
      <c r="A57" s="1815"/>
      <c r="B57" s="1684"/>
      <c r="C57" s="1230" t="s">
        <v>257</v>
      </c>
      <c r="D57" s="1230"/>
      <c r="E57" s="28"/>
      <c r="F57" s="28"/>
      <c r="G57" s="28"/>
      <c r="H57" s="96">
        <v>133</v>
      </c>
      <c r="I57" s="96">
        <v>127</v>
      </c>
      <c r="J57" s="96">
        <v>270</v>
      </c>
      <c r="K57" s="96">
        <v>165</v>
      </c>
      <c r="L57" s="21"/>
    </row>
    <row r="58" spans="1:12" x14ac:dyDescent="0.25">
      <c r="A58" s="1815"/>
      <c r="B58" s="1684"/>
      <c r="C58" s="1124" t="s">
        <v>263</v>
      </c>
      <c r="D58" s="1124"/>
      <c r="E58" s="28"/>
      <c r="F58" s="28"/>
      <c r="G58" s="28"/>
      <c r="H58" s="96">
        <v>241</v>
      </c>
      <c r="I58" s="96">
        <v>241</v>
      </c>
      <c r="J58" s="96">
        <v>457</v>
      </c>
      <c r="K58" s="96">
        <v>287</v>
      </c>
      <c r="L58" s="21"/>
    </row>
    <row r="59" spans="1:12" x14ac:dyDescent="0.25">
      <c r="A59" s="1815"/>
      <c r="B59" s="1684"/>
      <c r="C59" s="1112" t="s">
        <v>353</v>
      </c>
      <c r="D59" s="1112"/>
      <c r="E59" s="28"/>
      <c r="F59" s="28"/>
      <c r="G59" s="28"/>
      <c r="H59" s="44">
        <f>+H58-H57</f>
        <v>108</v>
      </c>
      <c r="I59" s="44">
        <f>+I58-I57</f>
        <v>114</v>
      </c>
      <c r="J59" s="44">
        <f>+J58-J57</f>
        <v>187</v>
      </c>
      <c r="K59" s="44">
        <f>+K58-K57</f>
        <v>122</v>
      </c>
      <c r="L59" s="21"/>
    </row>
    <row r="60" spans="1:12" ht="16.5" thickBot="1" x14ac:dyDescent="0.3">
      <c r="A60" s="1815"/>
      <c r="B60" s="1754"/>
      <c r="C60" s="1126" t="s">
        <v>270</v>
      </c>
      <c r="D60" s="1126"/>
      <c r="E60" s="33"/>
      <c r="F60" s="33"/>
      <c r="G60" s="33"/>
      <c r="H60" s="898">
        <f>H58/H56*100</f>
        <v>64.438502673796791</v>
      </c>
      <c r="I60" s="898">
        <f>I58/I56*100</f>
        <v>65.489130434782609</v>
      </c>
      <c r="J60" s="898">
        <f>J58/J56*100</f>
        <v>62.861072902338378</v>
      </c>
      <c r="K60" s="898">
        <f>K58/K56*100</f>
        <v>63.495575221238944</v>
      </c>
      <c r="L60" s="22"/>
    </row>
    <row r="61" spans="1:12" ht="16.5" thickBot="1" x14ac:dyDescent="0.3">
      <c r="A61" s="1779"/>
      <c r="B61" s="896" t="s">
        <v>249</v>
      </c>
      <c r="C61" s="1675"/>
      <c r="D61" s="1675"/>
      <c r="E61" s="112"/>
      <c r="F61" s="112">
        <v>2011</v>
      </c>
      <c r="G61" s="112"/>
      <c r="H61" s="112"/>
      <c r="I61" s="112">
        <v>2021</v>
      </c>
      <c r="J61" s="112"/>
      <c r="K61" s="112"/>
      <c r="L61" s="112">
        <v>2024</v>
      </c>
    </row>
    <row r="62" spans="1:12" x14ac:dyDescent="0.25">
      <c r="A62" s="1815"/>
      <c r="B62" s="1392" t="s">
        <v>156</v>
      </c>
      <c r="C62" s="1431" t="s">
        <v>355</v>
      </c>
      <c r="D62" s="207" t="s">
        <v>251</v>
      </c>
      <c r="E62" s="612"/>
      <c r="F62" s="81">
        <v>38645</v>
      </c>
      <c r="G62" s="103"/>
      <c r="H62" s="103"/>
      <c r="I62" s="81">
        <v>37218</v>
      </c>
      <c r="J62" s="36"/>
      <c r="K62" s="36"/>
      <c r="L62" s="20"/>
    </row>
    <row r="63" spans="1:12" ht="15" customHeight="1" x14ac:dyDescent="0.25">
      <c r="A63" s="1815"/>
      <c r="B63" s="1393"/>
      <c r="C63" s="1432"/>
      <c r="D63" s="28" t="s">
        <v>257</v>
      </c>
      <c r="E63" s="94"/>
      <c r="F63" s="80">
        <v>19480</v>
      </c>
      <c r="G63" s="95"/>
      <c r="H63" s="95"/>
      <c r="I63" s="80">
        <v>18192</v>
      </c>
      <c r="J63" s="28"/>
      <c r="K63" s="28"/>
      <c r="L63" s="21"/>
    </row>
    <row r="64" spans="1:12" x14ac:dyDescent="0.25">
      <c r="A64" s="1815"/>
      <c r="B64" s="1393"/>
      <c r="C64" s="1432"/>
      <c r="D64" s="28" t="s">
        <v>263</v>
      </c>
      <c r="E64" s="94"/>
      <c r="F64" s="80">
        <v>19160</v>
      </c>
      <c r="G64" s="95"/>
      <c r="H64" s="95"/>
      <c r="I64" s="80">
        <v>19023</v>
      </c>
      <c r="J64" s="28"/>
      <c r="K64" s="28"/>
      <c r="L64" s="21"/>
    </row>
    <row r="65" spans="1:12" hidden="1" x14ac:dyDescent="0.25">
      <c r="A65" s="1815"/>
      <c r="B65" s="1393"/>
      <c r="C65" s="1403" t="s">
        <v>356</v>
      </c>
      <c r="D65" s="144" t="s">
        <v>251</v>
      </c>
      <c r="E65" s="94"/>
      <c r="F65" s="80">
        <v>245</v>
      </c>
      <c r="G65" s="95"/>
      <c r="H65" s="95"/>
      <c r="I65" s="96"/>
      <c r="J65" s="28"/>
      <c r="K65" s="28"/>
      <c r="L65" s="21"/>
    </row>
    <row r="66" spans="1:12" hidden="1" x14ac:dyDescent="0.25">
      <c r="A66" s="1815"/>
      <c r="B66" s="1393"/>
      <c r="C66" s="1403"/>
      <c r="D66" s="28" t="s">
        <v>257</v>
      </c>
      <c r="E66" s="94"/>
      <c r="F66" s="80">
        <v>225</v>
      </c>
      <c r="G66" s="95"/>
      <c r="H66" s="95"/>
      <c r="I66" s="96"/>
      <c r="J66" s="28"/>
      <c r="K66" s="28"/>
      <c r="L66" s="21"/>
    </row>
    <row r="67" spans="1:12" hidden="1" x14ac:dyDescent="0.25">
      <c r="A67" s="1815"/>
      <c r="B67" s="1393"/>
      <c r="C67" s="1403"/>
      <c r="D67" s="28" t="s">
        <v>263</v>
      </c>
      <c r="E67" s="94"/>
      <c r="F67" s="80">
        <v>20</v>
      </c>
      <c r="G67" s="95"/>
      <c r="H67" s="95"/>
      <c r="I67" s="96"/>
      <c r="J67" s="28"/>
      <c r="K67" s="28"/>
      <c r="L67" s="21"/>
    </row>
    <row r="68" spans="1:12" hidden="1" x14ac:dyDescent="0.25">
      <c r="A68" s="1815"/>
      <c r="B68" s="1393"/>
      <c r="C68" s="1403"/>
      <c r="D68" s="28" t="s">
        <v>357</v>
      </c>
      <c r="E68" s="94"/>
      <c r="F68" s="97">
        <f>F67/F65*100</f>
        <v>8.1632653061224492</v>
      </c>
      <c r="G68" s="94"/>
      <c r="H68" s="94"/>
      <c r="I68" s="28"/>
      <c r="J68" s="28"/>
      <c r="K68" s="28"/>
      <c r="L68" s="21"/>
    </row>
    <row r="69" spans="1:12" ht="14.85" hidden="1" customHeight="1" x14ac:dyDescent="0.25">
      <c r="A69" s="1815"/>
      <c r="B69" s="1393"/>
      <c r="C69" s="1403" t="s">
        <v>358</v>
      </c>
      <c r="D69" s="144" t="s">
        <v>251</v>
      </c>
      <c r="E69" s="94"/>
      <c r="F69" s="80">
        <v>240</v>
      </c>
      <c r="G69" s="80"/>
      <c r="H69" s="80"/>
      <c r="I69" s="80">
        <v>117</v>
      </c>
      <c r="J69" s="28"/>
      <c r="K69" s="28"/>
      <c r="L69" s="21"/>
    </row>
    <row r="70" spans="1:12" hidden="1" x14ac:dyDescent="0.25">
      <c r="A70" s="1815"/>
      <c r="B70" s="1393"/>
      <c r="C70" s="1403"/>
      <c r="D70" s="28" t="s">
        <v>257</v>
      </c>
      <c r="E70" s="94"/>
      <c r="F70" s="80">
        <v>175</v>
      </c>
      <c r="G70" s="80"/>
      <c r="H70" s="80"/>
      <c r="I70" s="80">
        <v>81</v>
      </c>
      <c r="J70" s="28"/>
      <c r="K70" s="28"/>
      <c r="L70" s="21"/>
    </row>
    <row r="71" spans="1:12" hidden="1" x14ac:dyDescent="0.25">
      <c r="A71" s="1815"/>
      <c r="B71" s="1393"/>
      <c r="C71" s="1403"/>
      <c r="D71" s="28" t="s">
        <v>263</v>
      </c>
      <c r="E71" s="94"/>
      <c r="F71" s="80">
        <v>65</v>
      </c>
      <c r="G71" s="80"/>
      <c r="H71" s="80"/>
      <c r="I71" s="80">
        <v>39</v>
      </c>
      <c r="J71" s="28"/>
      <c r="K71" s="28"/>
      <c r="L71" s="21"/>
    </row>
    <row r="72" spans="1:12" hidden="1" x14ac:dyDescent="0.25">
      <c r="A72" s="1815"/>
      <c r="B72" s="1393"/>
      <c r="C72" s="1403"/>
      <c r="D72" s="28" t="s">
        <v>357</v>
      </c>
      <c r="E72" s="94"/>
      <c r="F72" s="97">
        <f>F71/F69*100</f>
        <v>27.083333333333332</v>
      </c>
      <c r="G72" s="94"/>
      <c r="H72" s="94"/>
      <c r="I72" s="97">
        <f>I71/I69*100</f>
        <v>33.333333333333329</v>
      </c>
      <c r="J72" s="28"/>
      <c r="K72" s="28"/>
      <c r="L72" s="21"/>
    </row>
    <row r="73" spans="1:12" hidden="1" x14ac:dyDescent="0.25">
      <c r="A73" s="1815"/>
      <c r="B73" s="1393"/>
      <c r="C73" s="1403" t="s">
        <v>359</v>
      </c>
      <c r="D73" s="144" t="s">
        <v>251</v>
      </c>
      <c r="E73" s="94"/>
      <c r="F73" s="80">
        <v>515</v>
      </c>
      <c r="G73" s="80"/>
      <c r="H73" s="80"/>
      <c r="I73" s="80">
        <v>690</v>
      </c>
      <c r="J73" s="28"/>
      <c r="K73" s="28"/>
      <c r="L73" s="21"/>
    </row>
    <row r="74" spans="1:12" hidden="1" x14ac:dyDescent="0.25">
      <c r="A74" s="1815"/>
      <c r="B74" s="1393"/>
      <c r="C74" s="1403"/>
      <c r="D74" s="28" t="s">
        <v>257</v>
      </c>
      <c r="E74" s="94"/>
      <c r="F74" s="80">
        <v>345</v>
      </c>
      <c r="G74" s="80"/>
      <c r="H74" s="80"/>
      <c r="I74" s="80">
        <v>444</v>
      </c>
      <c r="J74" s="28"/>
      <c r="K74" s="28"/>
      <c r="L74" s="21"/>
    </row>
    <row r="75" spans="1:12" hidden="1" x14ac:dyDescent="0.25">
      <c r="A75" s="1815"/>
      <c r="B75" s="1393"/>
      <c r="C75" s="1403"/>
      <c r="D75" s="28" t="s">
        <v>263</v>
      </c>
      <c r="E75" s="94"/>
      <c r="F75" s="80">
        <v>170</v>
      </c>
      <c r="G75" s="80"/>
      <c r="H75" s="80"/>
      <c r="I75" s="80">
        <v>246</v>
      </c>
      <c r="J75" s="28"/>
      <c r="K75" s="28"/>
      <c r="L75" s="21"/>
    </row>
    <row r="76" spans="1:12" hidden="1" x14ac:dyDescent="0.25">
      <c r="A76" s="1815"/>
      <c r="B76" s="1393"/>
      <c r="C76" s="1403"/>
      <c r="D76" s="28" t="s">
        <v>357</v>
      </c>
      <c r="E76" s="94"/>
      <c r="F76" s="97">
        <f>F75/F73*100</f>
        <v>33.009708737864081</v>
      </c>
      <c r="G76" s="94"/>
      <c r="H76" s="94"/>
      <c r="I76" s="97">
        <f>I75/I73*100</f>
        <v>35.652173913043477</v>
      </c>
      <c r="J76" s="28"/>
      <c r="K76" s="28"/>
      <c r="L76" s="21"/>
    </row>
    <row r="77" spans="1:12" hidden="1" x14ac:dyDescent="0.25">
      <c r="A77" s="1815"/>
      <c r="B77" s="1393"/>
      <c r="C77" s="1403" t="s">
        <v>360</v>
      </c>
      <c r="D77" s="144" t="s">
        <v>251</v>
      </c>
      <c r="E77" s="94"/>
      <c r="F77" s="80">
        <v>765</v>
      </c>
      <c r="G77" s="80"/>
      <c r="H77" s="80"/>
      <c r="I77" s="80">
        <v>240</v>
      </c>
      <c r="J77" s="28"/>
      <c r="K77" s="28"/>
      <c r="L77" s="21"/>
    </row>
    <row r="78" spans="1:12" hidden="1" x14ac:dyDescent="0.25">
      <c r="A78" s="1815"/>
      <c r="B78" s="1393"/>
      <c r="C78" s="1403"/>
      <c r="D78" s="28" t="s">
        <v>257</v>
      </c>
      <c r="E78" s="94"/>
      <c r="F78" s="80">
        <v>555</v>
      </c>
      <c r="G78" s="80"/>
      <c r="H78" s="80"/>
      <c r="I78" s="80">
        <v>168</v>
      </c>
      <c r="J78" s="28"/>
      <c r="K78" s="28"/>
      <c r="L78" s="21"/>
    </row>
    <row r="79" spans="1:12" hidden="1" x14ac:dyDescent="0.25">
      <c r="A79" s="1815"/>
      <c r="B79" s="1393"/>
      <c r="C79" s="1403"/>
      <c r="D79" s="28" t="s">
        <v>263</v>
      </c>
      <c r="E79" s="94"/>
      <c r="F79" s="80">
        <v>210</v>
      </c>
      <c r="G79" s="80"/>
      <c r="H79" s="80"/>
      <c r="I79" s="80">
        <v>72</v>
      </c>
      <c r="J79" s="28"/>
      <c r="K79" s="28"/>
      <c r="L79" s="21"/>
    </row>
    <row r="80" spans="1:12" hidden="1" x14ac:dyDescent="0.25">
      <c r="A80" s="1815"/>
      <c r="B80" s="1393"/>
      <c r="C80" s="1403"/>
      <c r="D80" s="28" t="s">
        <v>357</v>
      </c>
      <c r="E80" s="94"/>
      <c r="F80" s="97">
        <f>F79/F77*100</f>
        <v>27.450980392156865</v>
      </c>
      <c r="G80" s="94"/>
      <c r="H80" s="94"/>
      <c r="I80" s="97">
        <f>I79/I77*100</f>
        <v>30</v>
      </c>
      <c r="J80" s="28"/>
      <c r="K80" s="28"/>
      <c r="L80" s="21"/>
    </row>
    <row r="81" spans="1:12" hidden="1" x14ac:dyDescent="0.25">
      <c r="A81" s="1815"/>
      <c r="B81" s="1393"/>
      <c r="C81" s="1403" t="s">
        <v>361</v>
      </c>
      <c r="D81" s="144" t="s">
        <v>251</v>
      </c>
      <c r="E81" s="94"/>
      <c r="F81" s="80">
        <v>170</v>
      </c>
      <c r="G81" s="80"/>
      <c r="H81" s="80"/>
      <c r="I81" s="80">
        <v>186</v>
      </c>
      <c r="J81" s="28"/>
      <c r="K81" s="28"/>
      <c r="L81" s="21"/>
    </row>
    <row r="82" spans="1:12" hidden="1" x14ac:dyDescent="0.25">
      <c r="A82" s="1815"/>
      <c r="B82" s="1393"/>
      <c r="C82" s="1403"/>
      <c r="D82" s="28" t="s">
        <v>257</v>
      </c>
      <c r="E82" s="94"/>
      <c r="F82" s="80">
        <v>115</v>
      </c>
      <c r="G82" s="80"/>
      <c r="H82" s="80"/>
      <c r="I82" s="80">
        <v>120</v>
      </c>
      <c r="J82" s="28"/>
      <c r="K82" s="28"/>
      <c r="L82" s="21"/>
    </row>
    <row r="83" spans="1:12" hidden="1" x14ac:dyDescent="0.25">
      <c r="A83" s="1815"/>
      <c r="B83" s="1393"/>
      <c r="C83" s="1403"/>
      <c r="D83" s="28" t="s">
        <v>263</v>
      </c>
      <c r="E83" s="94"/>
      <c r="F83" s="80">
        <v>55</v>
      </c>
      <c r="G83" s="80"/>
      <c r="H83" s="80"/>
      <c r="I83" s="80">
        <v>66</v>
      </c>
      <c r="J83" s="28"/>
      <c r="K83" s="28"/>
      <c r="L83" s="21"/>
    </row>
    <row r="84" spans="1:12" hidden="1" x14ac:dyDescent="0.25">
      <c r="A84" s="1815"/>
      <c r="B84" s="1393"/>
      <c r="C84" s="1403"/>
      <c r="D84" s="28" t="s">
        <v>357</v>
      </c>
      <c r="E84" s="94"/>
      <c r="F84" s="97">
        <f>(F83/F81)*100</f>
        <v>32.352941176470587</v>
      </c>
      <c r="G84" s="94"/>
      <c r="H84" s="94"/>
      <c r="I84" s="97">
        <f>I83/I81*100</f>
        <v>35.483870967741936</v>
      </c>
      <c r="J84" s="28"/>
      <c r="K84" s="28"/>
      <c r="L84" s="21"/>
    </row>
    <row r="85" spans="1:12" hidden="1" x14ac:dyDescent="0.25">
      <c r="A85" s="1815"/>
      <c r="B85" s="1393"/>
      <c r="C85" s="1403" t="s">
        <v>362</v>
      </c>
      <c r="D85" s="144" t="s">
        <v>251</v>
      </c>
      <c r="E85" s="94"/>
      <c r="F85" s="80">
        <v>65</v>
      </c>
      <c r="G85" s="80"/>
      <c r="H85" s="80"/>
      <c r="I85" s="80">
        <v>213</v>
      </c>
      <c r="J85" s="28"/>
      <c r="K85" s="28"/>
      <c r="L85" s="21"/>
    </row>
    <row r="86" spans="1:12" ht="15" hidden="1" customHeight="1" x14ac:dyDescent="0.25">
      <c r="A86" s="1815"/>
      <c r="B86" s="1393"/>
      <c r="C86" s="1403"/>
      <c r="D86" s="28" t="s">
        <v>257</v>
      </c>
      <c r="E86" s="94"/>
      <c r="F86" s="80">
        <v>35</v>
      </c>
      <c r="G86" s="80"/>
      <c r="H86" s="80"/>
      <c r="I86" s="80">
        <v>138</v>
      </c>
      <c r="J86" s="28"/>
      <c r="K86" s="28"/>
      <c r="L86" s="21"/>
    </row>
    <row r="87" spans="1:12" hidden="1" x14ac:dyDescent="0.25">
      <c r="A87" s="1815"/>
      <c r="B87" s="1393"/>
      <c r="C87" s="1403"/>
      <c r="D87" s="28" t="s">
        <v>263</v>
      </c>
      <c r="E87" s="94"/>
      <c r="F87" s="80">
        <v>35</v>
      </c>
      <c r="G87" s="80"/>
      <c r="H87" s="80"/>
      <c r="I87" s="80">
        <v>75</v>
      </c>
      <c r="J87" s="28"/>
      <c r="K87" s="28"/>
      <c r="L87" s="21"/>
    </row>
    <row r="88" spans="1:12" hidden="1" x14ac:dyDescent="0.25">
      <c r="A88" s="1815"/>
      <c r="B88" s="1393"/>
      <c r="C88" s="1403"/>
      <c r="D88" s="28" t="s">
        <v>357</v>
      </c>
      <c r="E88" s="94"/>
      <c r="F88" s="98">
        <f>(F87/F85)*100</f>
        <v>53.846153846153847</v>
      </c>
      <c r="G88" s="94"/>
      <c r="H88" s="94"/>
      <c r="I88" s="97">
        <f>I87/I85*100</f>
        <v>35.2112676056338</v>
      </c>
      <c r="J88" s="28"/>
      <c r="K88" s="28"/>
      <c r="L88" s="21"/>
    </row>
    <row r="89" spans="1:12" hidden="1" x14ac:dyDescent="0.25">
      <c r="A89" s="1815"/>
      <c r="B89" s="1393"/>
      <c r="C89" s="1403" t="s">
        <v>363</v>
      </c>
      <c r="D89" s="144" t="s">
        <v>251</v>
      </c>
      <c r="E89" s="94"/>
      <c r="F89" s="80">
        <v>1720</v>
      </c>
      <c r="G89" s="80"/>
      <c r="H89" s="80"/>
      <c r="I89" s="80">
        <v>1746</v>
      </c>
      <c r="J89" s="28"/>
      <c r="K89" s="28"/>
      <c r="L89" s="21"/>
    </row>
    <row r="90" spans="1:12" hidden="1" x14ac:dyDescent="0.25">
      <c r="A90" s="1815"/>
      <c r="B90" s="1393"/>
      <c r="C90" s="1403"/>
      <c r="D90" s="28" t="s">
        <v>257</v>
      </c>
      <c r="E90" s="94"/>
      <c r="F90" s="80">
        <v>495</v>
      </c>
      <c r="G90" s="80"/>
      <c r="H90" s="80"/>
      <c r="I90" s="80">
        <v>435</v>
      </c>
      <c r="J90" s="28"/>
      <c r="K90" s="28"/>
      <c r="L90" s="21"/>
    </row>
    <row r="91" spans="1:12" hidden="1" x14ac:dyDescent="0.25">
      <c r="A91" s="1815"/>
      <c r="B91" s="1393"/>
      <c r="C91" s="1403"/>
      <c r="D91" s="28" t="s">
        <v>263</v>
      </c>
      <c r="E91" s="94"/>
      <c r="F91" s="80">
        <v>1225</v>
      </c>
      <c r="G91" s="80"/>
      <c r="H91" s="80"/>
      <c r="I91" s="80">
        <v>1308</v>
      </c>
      <c r="J91" s="28"/>
      <c r="K91" s="28"/>
      <c r="L91" s="21"/>
    </row>
    <row r="92" spans="1:12" hidden="1" x14ac:dyDescent="0.25">
      <c r="A92" s="1815"/>
      <c r="B92" s="1393"/>
      <c r="C92" s="1403"/>
      <c r="D92" s="28" t="s">
        <v>357</v>
      </c>
      <c r="E92" s="94"/>
      <c r="F92" s="99">
        <f>(F91/F89)*100</f>
        <v>71.220930232558146</v>
      </c>
      <c r="G92" s="94"/>
      <c r="H92" s="94"/>
      <c r="I92" s="99">
        <f>I91/I89*100</f>
        <v>74.914089347079042</v>
      </c>
      <c r="J92" s="28"/>
      <c r="K92" s="28"/>
      <c r="L92" s="21"/>
    </row>
    <row r="93" spans="1:12" hidden="1" x14ac:dyDescent="0.25">
      <c r="A93" s="1815"/>
      <c r="B93" s="1393"/>
      <c r="C93" s="1403" t="s">
        <v>364</v>
      </c>
      <c r="D93" s="144" t="s">
        <v>251</v>
      </c>
      <c r="E93" s="94"/>
      <c r="F93" s="80">
        <v>1795</v>
      </c>
      <c r="G93" s="80"/>
      <c r="H93" s="80"/>
      <c r="I93" s="80">
        <v>1905</v>
      </c>
      <c r="J93" s="28"/>
      <c r="K93" s="28"/>
      <c r="L93" s="21"/>
    </row>
    <row r="94" spans="1:12" ht="14.85" hidden="1" customHeight="1" x14ac:dyDescent="0.25">
      <c r="A94" s="1815"/>
      <c r="B94" s="1393"/>
      <c r="C94" s="1403"/>
      <c r="D94" s="28" t="s">
        <v>257</v>
      </c>
      <c r="E94" s="94"/>
      <c r="F94" s="80">
        <v>550</v>
      </c>
      <c r="G94" s="80"/>
      <c r="H94" s="80"/>
      <c r="I94" s="80">
        <v>618</v>
      </c>
      <c r="J94" s="28"/>
      <c r="K94" s="28"/>
      <c r="L94" s="21"/>
    </row>
    <row r="95" spans="1:12" hidden="1" x14ac:dyDescent="0.25">
      <c r="A95" s="1815"/>
      <c r="B95" s="1393"/>
      <c r="C95" s="1403"/>
      <c r="D95" s="28" t="s">
        <v>263</v>
      </c>
      <c r="E95" s="94"/>
      <c r="F95" s="80">
        <v>1245</v>
      </c>
      <c r="G95" s="80"/>
      <c r="H95" s="80"/>
      <c r="I95" s="80">
        <v>1290</v>
      </c>
      <c r="J95" s="28"/>
      <c r="K95" s="28"/>
      <c r="L95" s="21"/>
    </row>
    <row r="96" spans="1:12" hidden="1" x14ac:dyDescent="0.25">
      <c r="A96" s="1815"/>
      <c r="B96" s="1393"/>
      <c r="C96" s="1403"/>
      <c r="D96" s="28" t="s">
        <v>357</v>
      </c>
      <c r="E96" s="94"/>
      <c r="F96" s="99">
        <f>(F95/F93)*100</f>
        <v>69.359331476323121</v>
      </c>
      <c r="G96" s="94"/>
      <c r="H96" s="94"/>
      <c r="I96" s="99">
        <f>I95/I93*100</f>
        <v>67.716535433070874</v>
      </c>
      <c r="J96" s="28"/>
      <c r="K96" s="28"/>
      <c r="L96" s="21"/>
    </row>
    <row r="97" spans="1:12" hidden="1" x14ac:dyDescent="0.25">
      <c r="A97" s="1815"/>
      <c r="B97" s="1393"/>
      <c r="C97" s="1403" t="s">
        <v>365</v>
      </c>
      <c r="D97" s="144" t="s">
        <v>251</v>
      </c>
      <c r="E97" s="94"/>
      <c r="F97" s="80">
        <v>355</v>
      </c>
      <c r="G97" s="80"/>
      <c r="H97" s="80"/>
      <c r="I97" s="80">
        <v>480</v>
      </c>
      <c r="J97" s="28"/>
      <c r="K97" s="28"/>
      <c r="L97" s="21"/>
    </row>
    <row r="98" spans="1:12" hidden="1" x14ac:dyDescent="0.25">
      <c r="A98" s="1815"/>
      <c r="B98" s="1393"/>
      <c r="C98" s="1403"/>
      <c r="D98" s="28" t="s">
        <v>257</v>
      </c>
      <c r="E98" s="94"/>
      <c r="F98" s="80">
        <v>155</v>
      </c>
      <c r="G98" s="80"/>
      <c r="H98" s="80"/>
      <c r="I98" s="80">
        <v>189</v>
      </c>
      <c r="J98" s="28"/>
      <c r="K98" s="28"/>
      <c r="L98" s="21"/>
    </row>
    <row r="99" spans="1:12" hidden="1" x14ac:dyDescent="0.25">
      <c r="A99" s="1815"/>
      <c r="B99" s="1393"/>
      <c r="C99" s="1403"/>
      <c r="D99" s="28" t="s">
        <v>263</v>
      </c>
      <c r="E99" s="94"/>
      <c r="F99" s="80">
        <v>205</v>
      </c>
      <c r="G99" s="80"/>
      <c r="H99" s="80"/>
      <c r="I99" s="80">
        <v>291</v>
      </c>
      <c r="J99" s="28"/>
      <c r="K99" s="28"/>
      <c r="L99" s="21"/>
    </row>
    <row r="100" spans="1:12" hidden="1" x14ac:dyDescent="0.25">
      <c r="A100" s="1815"/>
      <c r="B100" s="1393"/>
      <c r="C100" s="1403"/>
      <c r="D100" s="28" t="s">
        <v>357</v>
      </c>
      <c r="E100" s="94"/>
      <c r="F100" s="98">
        <f>F99/F97*100</f>
        <v>57.74647887323944</v>
      </c>
      <c r="G100" s="94"/>
      <c r="H100" s="94"/>
      <c r="I100" s="99">
        <f>I99/I97*100</f>
        <v>60.624999999999993</v>
      </c>
      <c r="J100" s="28"/>
      <c r="K100" s="28"/>
      <c r="L100" s="21"/>
    </row>
    <row r="101" spans="1:12" hidden="1" x14ac:dyDescent="0.25">
      <c r="A101" s="1815"/>
      <c r="B101" s="1393"/>
      <c r="C101" s="1403" t="s">
        <v>366</v>
      </c>
      <c r="D101" s="144" t="s">
        <v>251</v>
      </c>
      <c r="E101" s="94"/>
      <c r="F101" s="80">
        <v>1805</v>
      </c>
      <c r="G101" s="80"/>
      <c r="H101" s="80"/>
      <c r="I101" s="80">
        <v>1404</v>
      </c>
      <c r="J101" s="28"/>
      <c r="K101" s="28"/>
      <c r="L101" s="21"/>
    </row>
    <row r="102" spans="1:12" hidden="1" x14ac:dyDescent="0.25">
      <c r="A102" s="1815"/>
      <c r="B102" s="1393"/>
      <c r="C102" s="1403"/>
      <c r="D102" s="28" t="s">
        <v>257</v>
      </c>
      <c r="E102" s="94"/>
      <c r="F102" s="80">
        <v>1205</v>
      </c>
      <c r="G102" s="80"/>
      <c r="H102" s="80"/>
      <c r="I102" s="80">
        <v>939</v>
      </c>
      <c r="J102" s="28"/>
      <c r="K102" s="28"/>
      <c r="L102" s="21"/>
    </row>
    <row r="103" spans="1:12" hidden="1" x14ac:dyDescent="0.25">
      <c r="A103" s="1815"/>
      <c r="B103" s="1393"/>
      <c r="C103" s="1403"/>
      <c r="D103" s="28" t="s">
        <v>263</v>
      </c>
      <c r="E103" s="94"/>
      <c r="F103" s="80">
        <v>600</v>
      </c>
      <c r="G103" s="80"/>
      <c r="H103" s="80"/>
      <c r="I103" s="80">
        <v>468</v>
      </c>
      <c r="J103" s="28"/>
      <c r="K103" s="28"/>
      <c r="L103" s="21"/>
    </row>
    <row r="104" spans="1:12" hidden="1" x14ac:dyDescent="0.25">
      <c r="A104" s="1815"/>
      <c r="B104" s="1393"/>
      <c r="C104" s="1403"/>
      <c r="D104" s="28" t="s">
        <v>357</v>
      </c>
      <c r="E104" s="94"/>
      <c r="F104" s="97">
        <f>(F103/F101)*100</f>
        <v>33.2409972299169</v>
      </c>
      <c r="G104" s="94"/>
      <c r="H104" s="94"/>
      <c r="I104" s="97">
        <f>I103/I101*100</f>
        <v>33.333333333333329</v>
      </c>
      <c r="J104" s="28"/>
      <c r="K104" s="28"/>
      <c r="L104" s="21"/>
    </row>
    <row r="105" spans="1:12" hidden="1" x14ac:dyDescent="0.25">
      <c r="A105" s="1815"/>
      <c r="B105" s="1393"/>
      <c r="C105" s="1403" t="s">
        <v>367</v>
      </c>
      <c r="D105" s="144" t="s">
        <v>251</v>
      </c>
      <c r="E105" s="94"/>
      <c r="F105" s="80">
        <v>490</v>
      </c>
      <c r="G105" s="80"/>
      <c r="H105" s="80"/>
      <c r="I105" s="80">
        <v>459</v>
      </c>
      <c r="J105" s="96"/>
      <c r="K105" s="28"/>
      <c r="L105" s="21"/>
    </row>
    <row r="106" spans="1:12" hidden="1" x14ac:dyDescent="0.25">
      <c r="A106" s="1815"/>
      <c r="B106" s="1393"/>
      <c r="C106" s="1403"/>
      <c r="D106" s="28" t="s">
        <v>257</v>
      </c>
      <c r="E106" s="94"/>
      <c r="F106" s="80">
        <v>260</v>
      </c>
      <c r="G106" s="80"/>
      <c r="H106" s="80"/>
      <c r="I106" s="80">
        <v>207</v>
      </c>
      <c r="J106" s="96"/>
      <c r="K106" s="28"/>
      <c r="L106" s="21"/>
    </row>
    <row r="107" spans="1:12" hidden="1" x14ac:dyDescent="0.25">
      <c r="A107" s="1815"/>
      <c r="B107" s="1393"/>
      <c r="C107" s="1403"/>
      <c r="D107" s="28" t="s">
        <v>263</v>
      </c>
      <c r="E107" s="94"/>
      <c r="F107" s="80">
        <v>230</v>
      </c>
      <c r="G107" s="80"/>
      <c r="H107" s="80"/>
      <c r="I107" s="80">
        <v>252</v>
      </c>
      <c r="J107" s="96"/>
      <c r="K107" s="28"/>
      <c r="L107" s="21"/>
    </row>
    <row r="108" spans="1:12" hidden="1" x14ac:dyDescent="0.25">
      <c r="A108" s="1815"/>
      <c r="B108" s="1393"/>
      <c r="C108" s="1403"/>
      <c r="D108" s="28" t="s">
        <v>357</v>
      </c>
      <c r="E108" s="94"/>
      <c r="F108" s="98">
        <f>(F107/F105)*100</f>
        <v>46.938775510204081</v>
      </c>
      <c r="G108" s="94"/>
      <c r="H108" s="94"/>
      <c r="I108" s="98">
        <f>I107/I105*100</f>
        <v>54.901960784313729</v>
      </c>
      <c r="J108" s="96"/>
      <c r="K108" s="28"/>
      <c r="L108" s="21"/>
    </row>
    <row r="109" spans="1:12" hidden="1" x14ac:dyDescent="0.25">
      <c r="A109" s="1815"/>
      <c r="B109" s="1393"/>
      <c r="C109" s="1403" t="s">
        <v>368</v>
      </c>
      <c r="D109" s="144" t="s">
        <v>251</v>
      </c>
      <c r="E109" s="94"/>
      <c r="F109" s="80">
        <v>1075</v>
      </c>
      <c r="G109" s="80"/>
      <c r="H109" s="80"/>
      <c r="I109" s="80">
        <v>1617</v>
      </c>
      <c r="J109" s="96"/>
      <c r="K109" s="28"/>
      <c r="L109" s="21"/>
    </row>
    <row r="110" spans="1:12" hidden="1" x14ac:dyDescent="0.25">
      <c r="A110" s="1815"/>
      <c r="B110" s="1393"/>
      <c r="C110" s="1403"/>
      <c r="D110" s="28" t="s">
        <v>257</v>
      </c>
      <c r="E110" s="94"/>
      <c r="F110" s="80">
        <v>515</v>
      </c>
      <c r="G110" s="80"/>
      <c r="H110" s="80"/>
      <c r="I110" s="80">
        <v>699</v>
      </c>
      <c r="J110" s="96"/>
      <c r="K110" s="28"/>
      <c r="L110" s="21"/>
    </row>
    <row r="111" spans="1:12" hidden="1" x14ac:dyDescent="0.25">
      <c r="A111" s="1815"/>
      <c r="B111" s="1393"/>
      <c r="C111" s="1403"/>
      <c r="D111" s="28" t="s">
        <v>263</v>
      </c>
      <c r="E111" s="94"/>
      <c r="F111" s="80">
        <v>555</v>
      </c>
      <c r="G111" s="80"/>
      <c r="H111" s="80"/>
      <c r="I111" s="80">
        <v>915</v>
      </c>
      <c r="J111" s="96"/>
      <c r="K111" s="28"/>
      <c r="L111" s="21"/>
    </row>
    <row r="112" spans="1:12" hidden="1" x14ac:dyDescent="0.25">
      <c r="A112" s="1815"/>
      <c r="B112" s="1393"/>
      <c r="C112" s="1403"/>
      <c r="D112" s="28" t="s">
        <v>357</v>
      </c>
      <c r="E112" s="94"/>
      <c r="F112" s="98">
        <f>(F111/F109)*100</f>
        <v>51.627906976744185</v>
      </c>
      <c r="G112" s="94"/>
      <c r="H112" s="94"/>
      <c r="I112" s="98">
        <f>I111/I109*100</f>
        <v>56.586270871985157</v>
      </c>
      <c r="J112" s="96"/>
      <c r="K112" s="28"/>
      <c r="L112" s="21"/>
    </row>
    <row r="113" spans="1:12" hidden="1" x14ac:dyDescent="0.25">
      <c r="A113" s="1815"/>
      <c r="B113" s="1393"/>
      <c r="C113" s="1403" t="s">
        <v>369</v>
      </c>
      <c r="D113" s="144" t="s">
        <v>251</v>
      </c>
      <c r="E113" s="94"/>
      <c r="F113" s="80">
        <v>650</v>
      </c>
      <c r="G113" s="80"/>
      <c r="H113" s="80"/>
      <c r="I113" s="80">
        <v>1047</v>
      </c>
      <c r="J113" s="96"/>
      <c r="K113" s="28"/>
      <c r="L113" s="21"/>
    </row>
    <row r="114" spans="1:12" hidden="1" x14ac:dyDescent="0.25">
      <c r="A114" s="1815"/>
      <c r="B114" s="1393"/>
      <c r="C114" s="1403"/>
      <c r="D114" s="28" t="s">
        <v>257</v>
      </c>
      <c r="E114" s="94"/>
      <c r="F114" s="80">
        <v>530</v>
      </c>
      <c r="G114" s="80"/>
      <c r="H114" s="80"/>
      <c r="I114" s="80">
        <v>735</v>
      </c>
      <c r="J114" s="96"/>
      <c r="K114" s="28"/>
      <c r="L114" s="21"/>
    </row>
    <row r="115" spans="1:12" hidden="1" x14ac:dyDescent="0.25">
      <c r="A115" s="1815"/>
      <c r="B115" s="1393"/>
      <c r="C115" s="1403"/>
      <c r="D115" s="28" t="s">
        <v>263</v>
      </c>
      <c r="E115" s="94"/>
      <c r="F115" s="80">
        <v>120</v>
      </c>
      <c r="G115" s="80"/>
      <c r="H115" s="80"/>
      <c r="I115" s="80">
        <v>315</v>
      </c>
      <c r="J115" s="96"/>
      <c r="K115" s="28"/>
      <c r="L115" s="21"/>
    </row>
    <row r="116" spans="1:12" hidden="1" x14ac:dyDescent="0.25">
      <c r="A116" s="1815"/>
      <c r="B116" s="1393"/>
      <c r="C116" s="1403"/>
      <c r="D116" s="28" t="s">
        <v>357</v>
      </c>
      <c r="E116" s="94"/>
      <c r="F116" s="97">
        <f>(F115/F113)*100</f>
        <v>18.461538461538463</v>
      </c>
      <c r="G116" s="94"/>
      <c r="H116" s="94"/>
      <c r="I116" s="97">
        <f>I115/I113*100</f>
        <v>30.085959885386821</v>
      </c>
      <c r="J116" s="96"/>
      <c r="K116" s="28"/>
      <c r="L116" s="21"/>
    </row>
    <row r="117" spans="1:12" hidden="1" x14ac:dyDescent="0.25">
      <c r="A117" s="1815"/>
      <c r="B117" s="1393"/>
      <c r="C117" s="1403" t="s">
        <v>370</v>
      </c>
      <c r="D117" s="144" t="s">
        <v>251</v>
      </c>
      <c r="E117" s="94"/>
      <c r="F117" s="80">
        <v>925</v>
      </c>
      <c r="G117" s="80"/>
      <c r="H117" s="80"/>
      <c r="I117" s="80">
        <v>462</v>
      </c>
      <c r="J117" s="96"/>
      <c r="K117" s="28"/>
      <c r="L117" s="21"/>
    </row>
    <row r="118" spans="1:12" hidden="1" x14ac:dyDescent="0.25">
      <c r="A118" s="1815"/>
      <c r="B118" s="1393"/>
      <c r="C118" s="1403"/>
      <c r="D118" s="28" t="s">
        <v>257</v>
      </c>
      <c r="E118" s="94"/>
      <c r="F118" s="80">
        <v>450</v>
      </c>
      <c r="G118" s="80"/>
      <c r="H118" s="80"/>
      <c r="I118" s="80">
        <v>135</v>
      </c>
      <c r="J118" s="96"/>
      <c r="K118" s="28"/>
      <c r="L118" s="21"/>
    </row>
    <row r="119" spans="1:12" hidden="1" x14ac:dyDescent="0.25">
      <c r="A119" s="1815"/>
      <c r="B119" s="1393"/>
      <c r="C119" s="1403"/>
      <c r="D119" s="28" t="s">
        <v>263</v>
      </c>
      <c r="E119" s="94"/>
      <c r="F119" s="80">
        <v>475</v>
      </c>
      <c r="G119" s="80"/>
      <c r="H119" s="80"/>
      <c r="I119" s="80">
        <v>324</v>
      </c>
      <c r="J119" s="96"/>
      <c r="K119" s="28"/>
      <c r="L119" s="21"/>
    </row>
    <row r="120" spans="1:12" hidden="1" x14ac:dyDescent="0.25">
      <c r="A120" s="1815"/>
      <c r="B120" s="1393"/>
      <c r="C120" s="1403"/>
      <c r="D120" s="28" t="s">
        <v>357</v>
      </c>
      <c r="E120" s="94"/>
      <c r="F120" s="98">
        <f>(F119/F117)*100</f>
        <v>51.351351351351347</v>
      </c>
      <c r="G120" s="94"/>
      <c r="H120" s="94"/>
      <c r="I120" s="99">
        <f>I119/I117*100</f>
        <v>70.129870129870127</v>
      </c>
      <c r="J120" s="96"/>
      <c r="K120" s="28"/>
      <c r="L120" s="21"/>
    </row>
    <row r="121" spans="1:12" hidden="1" x14ac:dyDescent="0.25">
      <c r="A121" s="1815"/>
      <c r="B121" s="1393"/>
      <c r="C121" s="1403" t="s">
        <v>371</v>
      </c>
      <c r="D121" s="144" t="s">
        <v>251</v>
      </c>
      <c r="E121" s="94"/>
      <c r="F121" s="80">
        <v>85</v>
      </c>
      <c r="G121" s="80"/>
      <c r="H121" s="80"/>
      <c r="I121" s="80">
        <v>489</v>
      </c>
      <c r="J121" s="96"/>
      <c r="K121" s="28"/>
      <c r="L121" s="21"/>
    </row>
    <row r="122" spans="1:12" hidden="1" x14ac:dyDescent="0.25">
      <c r="A122" s="1815"/>
      <c r="B122" s="1393"/>
      <c r="C122" s="1403"/>
      <c r="D122" s="28" t="s">
        <v>257</v>
      </c>
      <c r="E122" s="94"/>
      <c r="F122" s="80">
        <v>60</v>
      </c>
      <c r="G122" s="80"/>
      <c r="H122" s="80"/>
      <c r="I122" s="80">
        <v>240</v>
      </c>
      <c r="J122" s="96"/>
      <c r="K122" s="28"/>
      <c r="L122" s="21"/>
    </row>
    <row r="123" spans="1:12" hidden="1" x14ac:dyDescent="0.25">
      <c r="A123" s="1815"/>
      <c r="B123" s="1393"/>
      <c r="C123" s="1403"/>
      <c r="D123" s="28" t="s">
        <v>263</v>
      </c>
      <c r="E123" s="94"/>
      <c r="F123" s="80">
        <v>30</v>
      </c>
      <c r="G123" s="80"/>
      <c r="H123" s="80"/>
      <c r="I123" s="80">
        <v>246</v>
      </c>
      <c r="J123" s="96"/>
      <c r="K123" s="28"/>
      <c r="L123" s="21"/>
    </row>
    <row r="124" spans="1:12" hidden="1" x14ac:dyDescent="0.25">
      <c r="A124" s="1815"/>
      <c r="B124" s="1393"/>
      <c r="C124" s="1403"/>
      <c r="D124" s="28" t="s">
        <v>357</v>
      </c>
      <c r="E124" s="94"/>
      <c r="F124" s="97">
        <f>(F123/F121)*100</f>
        <v>35.294117647058826</v>
      </c>
      <c r="G124" s="94"/>
      <c r="H124" s="94"/>
      <c r="I124" s="98">
        <f>I123/I121*100</f>
        <v>50.306748466257666</v>
      </c>
      <c r="J124" s="96"/>
      <c r="K124" s="28"/>
      <c r="L124" s="21"/>
    </row>
    <row r="125" spans="1:12" hidden="1" x14ac:dyDescent="0.25">
      <c r="A125" s="1815"/>
      <c r="B125" s="1393"/>
      <c r="C125" s="1403" t="s">
        <v>372</v>
      </c>
      <c r="D125" s="144" t="s">
        <v>251</v>
      </c>
      <c r="E125" s="94"/>
      <c r="F125" s="80">
        <v>1250</v>
      </c>
      <c r="G125" s="80"/>
      <c r="H125" s="80"/>
      <c r="I125" s="80">
        <v>624</v>
      </c>
      <c r="J125" s="96"/>
      <c r="K125" s="28"/>
      <c r="L125" s="21"/>
    </row>
    <row r="126" spans="1:12" ht="14.85" hidden="1" customHeight="1" x14ac:dyDescent="0.25">
      <c r="A126" s="1815"/>
      <c r="B126" s="1393"/>
      <c r="C126" s="1403"/>
      <c r="D126" s="28" t="s">
        <v>257</v>
      </c>
      <c r="E126" s="94"/>
      <c r="F126" s="80">
        <v>970</v>
      </c>
      <c r="G126" s="80"/>
      <c r="H126" s="80"/>
      <c r="I126" s="80">
        <v>438</v>
      </c>
      <c r="J126" s="96"/>
      <c r="K126" s="28"/>
      <c r="L126" s="21"/>
    </row>
    <row r="127" spans="1:12" hidden="1" x14ac:dyDescent="0.25">
      <c r="A127" s="1815"/>
      <c r="B127" s="1393"/>
      <c r="C127" s="1403"/>
      <c r="D127" s="28" t="s">
        <v>263</v>
      </c>
      <c r="E127" s="94"/>
      <c r="F127" s="80">
        <v>280</v>
      </c>
      <c r="G127" s="80"/>
      <c r="H127" s="80"/>
      <c r="I127" s="80">
        <v>186</v>
      </c>
      <c r="J127" s="96"/>
      <c r="K127" s="28"/>
      <c r="L127" s="21"/>
    </row>
    <row r="128" spans="1:12" hidden="1" x14ac:dyDescent="0.25">
      <c r="A128" s="1815"/>
      <c r="B128" s="1393"/>
      <c r="C128" s="1403"/>
      <c r="D128" s="28" t="s">
        <v>357</v>
      </c>
      <c r="E128" s="94"/>
      <c r="F128" s="97">
        <f>(F127/F125)*100</f>
        <v>22.400000000000002</v>
      </c>
      <c r="G128" s="94"/>
      <c r="H128" s="94"/>
      <c r="I128" s="97">
        <f>I127/I125*100</f>
        <v>29.807692307692307</v>
      </c>
      <c r="J128" s="96"/>
      <c r="K128" s="28"/>
      <c r="L128" s="21"/>
    </row>
    <row r="129" spans="1:12" hidden="1" x14ac:dyDescent="0.25">
      <c r="A129" s="1815"/>
      <c r="B129" s="1393"/>
      <c r="C129" s="1403" t="s">
        <v>373</v>
      </c>
      <c r="D129" s="144" t="s">
        <v>251</v>
      </c>
      <c r="E129" s="94"/>
      <c r="F129" s="80">
        <v>285</v>
      </c>
      <c r="G129" s="80"/>
      <c r="H129" s="80"/>
      <c r="I129" s="80">
        <v>84</v>
      </c>
      <c r="J129" s="96"/>
      <c r="K129" s="28"/>
      <c r="L129" s="21"/>
    </row>
    <row r="130" spans="1:12" hidden="1" x14ac:dyDescent="0.25">
      <c r="A130" s="1815"/>
      <c r="B130" s="1393"/>
      <c r="C130" s="1403"/>
      <c r="D130" s="28" t="s">
        <v>257</v>
      </c>
      <c r="E130" s="94"/>
      <c r="F130" s="80">
        <v>210</v>
      </c>
      <c r="G130" s="80"/>
      <c r="H130" s="80"/>
      <c r="I130" s="80">
        <v>75</v>
      </c>
      <c r="J130" s="96"/>
      <c r="K130" s="28"/>
      <c r="L130" s="21"/>
    </row>
    <row r="131" spans="1:12" hidden="1" x14ac:dyDescent="0.25">
      <c r="A131" s="1815"/>
      <c r="B131" s="1393"/>
      <c r="C131" s="1403"/>
      <c r="D131" s="28" t="s">
        <v>263</v>
      </c>
      <c r="E131" s="94"/>
      <c r="F131" s="80">
        <v>75</v>
      </c>
      <c r="G131" s="80"/>
      <c r="H131" s="80"/>
      <c r="I131" s="80">
        <v>9</v>
      </c>
      <c r="J131" s="96"/>
      <c r="K131" s="28"/>
      <c r="L131" s="21"/>
    </row>
    <row r="132" spans="1:12" hidden="1" x14ac:dyDescent="0.25">
      <c r="A132" s="1815"/>
      <c r="B132" s="1393"/>
      <c r="C132" s="1403"/>
      <c r="D132" s="28" t="s">
        <v>357</v>
      </c>
      <c r="E132" s="94"/>
      <c r="F132" s="97">
        <f>(F131/F129)*100</f>
        <v>26.315789473684209</v>
      </c>
      <c r="G132" s="94"/>
      <c r="H132" s="94"/>
      <c r="I132" s="97">
        <f>I131/I129*100</f>
        <v>10.714285714285714</v>
      </c>
      <c r="J132" s="96"/>
      <c r="K132" s="28"/>
      <c r="L132" s="21"/>
    </row>
    <row r="133" spans="1:12" hidden="1" x14ac:dyDescent="0.25">
      <c r="A133" s="1815"/>
      <c r="B133" s="1393"/>
      <c r="C133" s="1403" t="s">
        <v>374</v>
      </c>
      <c r="D133" s="144" t="s">
        <v>251</v>
      </c>
      <c r="E133" s="94"/>
      <c r="F133" s="80">
        <v>290</v>
      </c>
      <c r="G133" s="80"/>
      <c r="H133" s="80"/>
      <c r="I133" s="80">
        <v>282</v>
      </c>
      <c r="J133" s="96"/>
      <c r="K133" s="28"/>
      <c r="L133" s="21"/>
    </row>
    <row r="134" spans="1:12" hidden="1" x14ac:dyDescent="0.25">
      <c r="A134" s="1815"/>
      <c r="B134" s="1393"/>
      <c r="C134" s="1403"/>
      <c r="D134" s="28" t="s">
        <v>257</v>
      </c>
      <c r="E134" s="94"/>
      <c r="F134" s="80">
        <v>120</v>
      </c>
      <c r="G134" s="80"/>
      <c r="H134" s="80"/>
      <c r="I134" s="80">
        <v>84</v>
      </c>
      <c r="J134" s="96"/>
      <c r="K134" s="28"/>
      <c r="L134" s="21"/>
    </row>
    <row r="135" spans="1:12" hidden="1" x14ac:dyDescent="0.25">
      <c r="A135" s="1815"/>
      <c r="B135" s="1393"/>
      <c r="C135" s="1403"/>
      <c r="D135" s="28" t="s">
        <v>263</v>
      </c>
      <c r="E135" s="94"/>
      <c r="F135" s="80">
        <v>170</v>
      </c>
      <c r="G135" s="80"/>
      <c r="H135" s="80"/>
      <c r="I135" s="80">
        <v>198</v>
      </c>
      <c r="J135" s="96"/>
      <c r="K135" s="28"/>
      <c r="L135" s="21"/>
    </row>
    <row r="136" spans="1:12" hidden="1" x14ac:dyDescent="0.25">
      <c r="A136" s="1815"/>
      <c r="B136" s="1393"/>
      <c r="C136" s="1403"/>
      <c r="D136" s="28" t="s">
        <v>357</v>
      </c>
      <c r="E136" s="94"/>
      <c r="F136" s="98">
        <f>(F135/F133)*100</f>
        <v>58.620689655172406</v>
      </c>
      <c r="G136" s="94"/>
      <c r="H136" s="94"/>
      <c r="I136" s="99">
        <f>I135/I133*100</f>
        <v>70.212765957446805</v>
      </c>
      <c r="J136" s="96"/>
      <c r="K136" s="28"/>
      <c r="L136" s="21"/>
    </row>
    <row r="137" spans="1:12" hidden="1" x14ac:dyDescent="0.25">
      <c r="A137" s="1815"/>
      <c r="B137" s="1393"/>
      <c r="C137" s="1403" t="s">
        <v>375</v>
      </c>
      <c r="D137" s="144" t="s">
        <v>251</v>
      </c>
      <c r="E137" s="94"/>
      <c r="F137" s="80">
        <v>25</v>
      </c>
      <c r="G137" s="80"/>
      <c r="H137" s="80"/>
      <c r="I137" s="80">
        <v>87</v>
      </c>
      <c r="J137" s="96"/>
      <c r="K137" s="28"/>
      <c r="L137" s="21"/>
    </row>
    <row r="138" spans="1:12" ht="14.85" hidden="1" customHeight="1" x14ac:dyDescent="0.25">
      <c r="A138" s="1815"/>
      <c r="B138" s="1393"/>
      <c r="C138" s="1403"/>
      <c r="D138" s="28" t="s">
        <v>257</v>
      </c>
      <c r="E138" s="94"/>
      <c r="F138" s="80">
        <v>15</v>
      </c>
      <c r="G138" s="80"/>
      <c r="H138" s="80"/>
      <c r="I138" s="80">
        <v>42</v>
      </c>
      <c r="J138" s="96"/>
      <c r="K138" s="28"/>
      <c r="L138" s="21"/>
    </row>
    <row r="139" spans="1:12" hidden="1" x14ac:dyDescent="0.25">
      <c r="A139" s="1815"/>
      <c r="B139" s="1393"/>
      <c r="C139" s="1403"/>
      <c r="D139" s="28" t="s">
        <v>263</v>
      </c>
      <c r="E139" s="94"/>
      <c r="F139" s="80">
        <v>15</v>
      </c>
      <c r="G139" s="80"/>
      <c r="H139" s="80"/>
      <c r="I139" s="80">
        <v>45</v>
      </c>
      <c r="J139" s="96"/>
      <c r="K139" s="28"/>
      <c r="L139" s="21"/>
    </row>
    <row r="140" spans="1:12" hidden="1" x14ac:dyDescent="0.25">
      <c r="A140" s="1815"/>
      <c r="B140" s="1393"/>
      <c r="C140" s="1403"/>
      <c r="D140" s="28" t="s">
        <v>357</v>
      </c>
      <c r="E140" s="94"/>
      <c r="F140" s="99">
        <f>(F139/F137)*100</f>
        <v>60</v>
      </c>
      <c r="G140" s="94"/>
      <c r="H140" s="94"/>
      <c r="I140" s="98">
        <f>I139/I137*100</f>
        <v>51.724137931034484</v>
      </c>
      <c r="J140" s="96"/>
      <c r="K140" s="28"/>
      <c r="L140" s="21"/>
    </row>
    <row r="141" spans="1:12" hidden="1" x14ac:dyDescent="0.25">
      <c r="A141" s="1815"/>
      <c r="B141" s="1393"/>
      <c r="C141" s="1403" t="s">
        <v>376</v>
      </c>
      <c r="D141" s="144" t="s">
        <v>251</v>
      </c>
      <c r="E141" s="94"/>
      <c r="F141" s="80">
        <v>940</v>
      </c>
      <c r="G141" s="80"/>
      <c r="H141" s="80"/>
      <c r="I141" s="80">
        <v>1044</v>
      </c>
      <c r="J141" s="96"/>
      <c r="K141" s="28"/>
      <c r="L141" s="21"/>
    </row>
    <row r="142" spans="1:12" ht="14.85" hidden="1" customHeight="1" x14ac:dyDescent="0.25">
      <c r="A142" s="1815"/>
      <c r="B142" s="1393"/>
      <c r="C142" s="1403"/>
      <c r="D142" s="28" t="s">
        <v>257</v>
      </c>
      <c r="E142" s="94"/>
      <c r="F142" s="80">
        <v>725</v>
      </c>
      <c r="G142" s="80"/>
      <c r="H142" s="80"/>
      <c r="I142" s="80">
        <v>636</v>
      </c>
      <c r="J142" s="96"/>
      <c r="K142" s="28"/>
      <c r="L142" s="21"/>
    </row>
    <row r="143" spans="1:12" hidden="1" x14ac:dyDescent="0.25">
      <c r="A143" s="1815"/>
      <c r="B143" s="1393"/>
      <c r="C143" s="1403"/>
      <c r="D143" s="28" t="s">
        <v>263</v>
      </c>
      <c r="E143" s="94"/>
      <c r="F143" s="80">
        <v>210</v>
      </c>
      <c r="G143" s="80"/>
      <c r="H143" s="80"/>
      <c r="I143" s="80">
        <v>405</v>
      </c>
      <c r="J143" s="96"/>
      <c r="K143" s="28"/>
      <c r="L143" s="21"/>
    </row>
    <row r="144" spans="1:12" hidden="1" x14ac:dyDescent="0.25">
      <c r="A144" s="1815"/>
      <c r="B144" s="1393"/>
      <c r="C144" s="1403"/>
      <c r="D144" s="28" t="s">
        <v>357</v>
      </c>
      <c r="E144" s="94"/>
      <c r="F144" s="97">
        <f>(F143/F141)*100</f>
        <v>22.340425531914892</v>
      </c>
      <c r="G144" s="94"/>
      <c r="H144" s="94"/>
      <c r="I144" s="97">
        <f>I143/I141*100</f>
        <v>38.793103448275865</v>
      </c>
      <c r="J144" s="96"/>
      <c r="K144" s="28"/>
      <c r="L144" s="21"/>
    </row>
    <row r="145" spans="1:12" hidden="1" x14ac:dyDescent="0.25">
      <c r="A145" s="1815"/>
      <c r="B145" s="1393"/>
      <c r="C145" s="1403" t="s">
        <v>377</v>
      </c>
      <c r="D145" s="144" t="s">
        <v>251</v>
      </c>
      <c r="E145" s="94"/>
      <c r="F145" s="80">
        <v>1260</v>
      </c>
      <c r="G145" s="80"/>
      <c r="H145" s="80"/>
      <c r="I145" s="80">
        <v>1092</v>
      </c>
      <c r="J145" s="96"/>
      <c r="K145" s="28"/>
      <c r="L145" s="21"/>
    </row>
    <row r="146" spans="1:12" hidden="1" x14ac:dyDescent="0.25">
      <c r="A146" s="1815"/>
      <c r="B146" s="1393"/>
      <c r="C146" s="1403"/>
      <c r="D146" s="28" t="s">
        <v>257</v>
      </c>
      <c r="E146" s="94"/>
      <c r="F146" s="80">
        <v>140</v>
      </c>
      <c r="G146" s="80"/>
      <c r="H146" s="80"/>
      <c r="I146" s="80">
        <v>342</v>
      </c>
      <c r="J146" s="96"/>
      <c r="K146" s="28"/>
      <c r="L146" s="21"/>
    </row>
    <row r="147" spans="1:12" hidden="1" x14ac:dyDescent="0.25">
      <c r="A147" s="1815"/>
      <c r="B147" s="1393"/>
      <c r="C147" s="1403"/>
      <c r="D147" s="28" t="s">
        <v>263</v>
      </c>
      <c r="E147" s="94"/>
      <c r="F147" s="80">
        <v>1120</v>
      </c>
      <c r="G147" s="80"/>
      <c r="H147" s="80"/>
      <c r="I147" s="80">
        <v>750</v>
      </c>
      <c r="J147" s="96"/>
      <c r="K147" s="28"/>
      <c r="L147" s="21"/>
    </row>
    <row r="148" spans="1:12" hidden="1" x14ac:dyDescent="0.25">
      <c r="A148" s="1815"/>
      <c r="B148" s="1393"/>
      <c r="C148" s="1403"/>
      <c r="D148" s="28" t="s">
        <v>357</v>
      </c>
      <c r="E148" s="94"/>
      <c r="F148" s="99">
        <f>(F147/F145)*100</f>
        <v>88.888888888888886</v>
      </c>
      <c r="G148" s="94"/>
      <c r="H148" s="94"/>
      <c r="I148" s="99">
        <f>I147/I145*100</f>
        <v>68.681318681318686</v>
      </c>
      <c r="J148" s="96"/>
      <c r="K148" s="28"/>
      <c r="L148" s="21"/>
    </row>
    <row r="149" spans="1:12" hidden="1" x14ac:dyDescent="0.25">
      <c r="A149" s="1815"/>
      <c r="B149" s="1393"/>
      <c r="C149" s="1403" t="s">
        <v>378</v>
      </c>
      <c r="D149" s="144" t="s">
        <v>251</v>
      </c>
      <c r="E149" s="94"/>
      <c r="F149" s="80">
        <v>440</v>
      </c>
      <c r="G149" s="80"/>
      <c r="H149" s="80"/>
      <c r="I149" s="80">
        <v>690</v>
      </c>
      <c r="J149" s="96"/>
      <c r="K149" s="28"/>
      <c r="L149" s="21"/>
    </row>
    <row r="150" spans="1:12" hidden="1" x14ac:dyDescent="0.25">
      <c r="A150" s="1815"/>
      <c r="B150" s="1393"/>
      <c r="C150" s="1403"/>
      <c r="D150" s="28" t="s">
        <v>257</v>
      </c>
      <c r="E150" s="94"/>
      <c r="F150" s="80">
        <v>275</v>
      </c>
      <c r="G150" s="80"/>
      <c r="H150" s="80"/>
      <c r="I150" s="80">
        <v>327</v>
      </c>
      <c r="J150" s="96"/>
      <c r="K150" s="28"/>
      <c r="L150" s="21"/>
    </row>
    <row r="151" spans="1:12" hidden="1" x14ac:dyDescent="0.25">
      <c r="A151" s="1815"/>
      <c r="B151" s="1393"/>
      <c r="C151" s="1403"/>
      <c r="D151" s="28" t="s">
        <v>263</v>
      </c>
      <c r="E151" s="94"/>
      <c r="F151" s="80">
        <v>165</v>
      </c>
      <c r="G151" s="80"/>
      <c r="H151" s="80"/>
      <c r="I151" s="80">
        <v>366</v>
      </c>
      <c r="J151" s="96"/>
      <c r="K151" s="28"/>
      <c r="L151" s="21"/>
    </row>
    <row r="152" spans="1:12" hidden="1" x14ac:dyDescent="0.25">
      <c r="A152" s="1815"/>
      <c r="B152" s="1393"/>
      <c r="C152" s="1403"/>
      <c r="D152" s="28" t="s">
        <v>357</v>
      </c>
      <c r="E152" s="94"/>
      <c r="F152" s="97">
        <f>(F151/F149)*100</f>
        <v>37.5</v>
      </c>
      <c r="G152" s="94"/>
      <c r="H152" s="94"/>
      <c r="I152" s="98">
        <f>I151/I149*100</f>
        <v>53.04347826086957</v>
      </c>
      <c r="J152" s="96"/>
      <c r="K152" s="28"/>
      <c r="L152" s="21"/>
    </row>
    <row r="153" spans="1:12" hidden="1" x14ac:dyDescent="0.25">
      <c r="A153" s="1815"/>
      <c r="B153" s="1393"/>
      <c r="C153" s="1403" t="s">
        <v>379</v>
      </c>
      <c r="D153" s="144" t="s">
        <v>251</v>
      </c>
      <c r="E153" s="94"/>
      <c r="F153" s="80">
        <v>1290</v>
      </c>
      <c r="G153" s="80"/>
      <c r="H153" s="80"/>
      <c r="I153" s="80">
        <v>963</v>
      </c>
      <c r="J153" s="96"/>
      <c r="K153" s="28"/>
      <c r="L153" s="21"/>
    </row>
    <row r="154" spans="1:12" hidden="1" x14ac:dyDescent="0.25">
      <c r="A154" s="1815"/>
      <c r="B154" s="1393"/>
      <c r="C154" s="1403"/>
      <c r="D154" s="28" t="s">
        <v>257</v>
      </c>
      <c r="E154" s="94"/>
      <c r="F154" s="80">
        <v>1005</v>
      </c>
      <c r="G154" s="80"/>
      <c r="H154" s="80"/>
      <c r="I154" s="80">
        <v>717</v>
      </c>
      <c r="J154" s="96"/>
      <c r="K154" s="28"/>
      <c r="L154" s="21"/>
    </row>
    <row r="155" spans="1:12" hidden="1" x14ac:dyDescent="0.25">
      <c r="A155" s="1815"/>
      <c r="B155" s="1393"/>
      <c r="C155" s="1403"/>
      <c r="D155" s="28" t="s">
        <v>263</v>
      </c>
      <c r="E155" s="94"/>
      <c r="F155" s="80">
        <v>285</v>
      </c>
      <c r="G155" s="80"/>
      <c r="H155" s="80"/>
      <c r="I155" s="80">
        <v>246</v>
      </c>
      <c r="J155" s="96"/>
      <c r="K155" s="28"/>
      <c r="L155" s="21"/>
    </row>
    <row r="156" spans="1:12" hidden="1" x14ac:dyDescent="0.25">
      <c r="A156" s="1815"/>
      <c r="B156" s="1393"/>
      <c r="C156" s="1403"/>
      <c r="D156" s="28" t="s">
        <v>357</v>
      </c>
      <c r="E156" s="94"/>
      <c r="F156" s="97">
        <f>(F155/F153)*100</f>
        <v>22.093023255813954</v>
      </c>
      <c r="G156" s="94"/>
      <c r="H156" s="94"/>
      <c r="I156" s="97">
        <f>I155/I153*100</f>
        <v>25.545171339563861</v>
      </c>
      <c r="J156" s="96"/>
      <c r="K156" s="28"/>
      <c r="L156" s="21"/>
    </row>
    <row r="157" spans="1:12" ht="14.85" hidden="1" customHeight="1" x14ac:dyDescent="0.25">
      <c r="A157" s="1815"/>
      <c r="B157" s="1393"/>
      <c r="C157" s="1403" t="s">
        <v>380</v>
      </c>
      <c r="D157" s="144" t="s">
        <v>251</v>
      </c>
      <c r="E157" s="94"/>
      <c r="F157" s="80">
        <v>2090</v>
      </c>
      <c r="G157" s="80"/>
      <c r="H157" s="80"/>
      <c r="I157" s="80">
        <v>1008</v>
      </c>
      <c r="J157" s="96"/>
      <c r="K157" s="28"/>
      <c r="L157" s="21"/>
    </row>
    <row r="158" spans="1:12" hidden="1" x14ac:dyDescent="0.25">
      <c r="A158" s="1815"/>
      <c r="B158" s="1393"/>
      <c r="C158" s="1403"/>
      <c r="D158" s="28" t="s">
        <v>257</v>
      </c>
      <c r="E158" s="94"/>
      <c r="F158" s="80">
        <v>930</v>
      </c>
      <c r="G158" s="80"/>
      <c r="H158" s="80"/>
      <c r="I158" s="80">
        <v>498</v>
      </c>
      <c r="J158" s="96"/>
      <c r="K158" s="28"/>
      <c r="L158" s="21"/>
    </row>
    <row r="159" spans="1:12" hidden="1" x14ac:dyDescent="0.25">
      <c r="A159" s="1815"/>
      <c r="B159" s="1393"/>
      <c r="C159" s="1403"/>
      <c r="D159" s="28" t="s">
        <v>263</v>
      </c>
      <c r="E159" s="94"/>
      <c r="F159" s="80">
        <v>1160</v>
      </c>
      <c r="G159" s="80"/>
      <c r="H159" s="80"/>
      <c r="I159" s="80">
        <v>510</v>
      </c>
      <c r="J159" s="96"/>
      <c r="K159" s="28"/>
      <c r="L159" s="21"/>
    </row>
    <row r="160" spans="1:12" hidden="1" x14ac:dyDescent="0.25">
      <c r="A160" s="1815"/>
      <c r="B160" s="1393"/>
      <c r="C160" s="1403"/>
      <c r="D160" s="28" t="s">
        <v>357</v>
      </c>
      <c r="E160" s="94"/>
      <c r="F160" s="98">
        <f>(F159/F157)*100</f>
        <v>55.502392344497608</v>
      </c>
      <c r="G160" s="94"/>
      <c r="H160" s="94"/>
      <c r="I160" s="98">
        <f>I159/I157*100</f>
        <v>50.595238095238095</v>
      </c>
      <c r="J160" s="96"/>
      <c r="K160" s="28"/>
      <c r="L160" s="21"/>
    </row>
    <row r="161" spans="1:12" hidden="1" x14ac:dyDescent="0.25">
      <c r="A161" s="1815"/>
      <c r="B161" s="1393"/>
      <c r="C161" s="1403" t="s">
        <v>381</v>
      </c>
      <c r="D161" s="144" t="s">
        <v>251</v>
      </c>
      <c r="E161" s="94"/>
      <c r="F161" s="80">
        <v>190</v>
      </c>
      <c r="G161" s="80"/>
      <c r="H161" s="80"/>
      <c r="I161" s="80">
        <v>285</v>
      </c>
      <c r="J161" s="28"/>
      <c r="K161" s="28"/>
      <c r="L161" s="21"/>
    </row>
    <row r="162" spans="1:12" ht="14.85" hidden="1" customHeight="1" x14ac:dyDescent="0.25">
      <c r="A162" s="1815"/>
      <c r="B162" s="1393"/>
      <c r="C162" s="1403"/>
      <c r="D162" s="28" t="s">
        <v>257</v>
      </c>
      <c r="E162" s="94"/>
      <c r="F162" s="80">
        <v>75</v>
      </c>
      <c r="G162" s="80"/>
      <c r="H162" s="80"/>
      <c r="I162" s="80">
        <v>138</v>
      </c>
      <c r="J162" s="28"/>
      <c r="K162" s="28"/>
      <c r="L162" s="21"/>
    </row>
    <row r="163" spans="1:12" hidden="1" x14ac:dyDescent="0.25">
      <c r="A163" s="1815"/>
      <c r="B163" s="1393"/>
      <c r="C163" s="1403"/>
      <c r="D163" s="28" t="s">
        <v>263</v>
      </c>
      <c r="E163" s="94"/>
      <c r="F163" s="80">
        <v>115</v>
      </c>
      <c r="G163" s="80"/>
      <c r="H163" s="80"/>
      <c r="I163" s="80">
        <v>147</v>
      </c>
      <c r="J163" s="28"/>
      <c r="K163" s="28"/>
      <c r="L163" s="21"/>
    </row>
    <row r="164" spans="1:12" hidden="1" x14ac:dyDescent="0.25">
      <c r="A164" s="1815"/>
      <c r="B164" s="1393"/>
      <c r="C164" s="1403"/>
      <c r="D164" s="28" t="s">
        <v>357</v>
      </c>
      <c r="E164" s="94"/>
      <c r="F164" s="99">
        <f>(F163/F161)*100</f>
        <v>60.526315789473685</v>
      </c>
      <c r="G164" s="94"/>
      <c r="H164" s="94"/>
      <c r="I164" s="98">
        <f>I163/I161*100</f>
        <v>51.578947368421055</v>
      </c>
      <c r="J164" s="28"/>
      <c r="K164" s="28"/>
      <c r="L164" s="21"/>
    </row>
    <row r="165" spans="1:12" hidden="1" x14ac:dyDescent="0.25">
      <c r="A165" s="1815"/>
      <c r="B165" s="1393"/>
      <c r="C165" s="1437" t="s">
        <v>382</v>
      </c>
      <c r="D165" s="145" t="s">
        <v>251</v>
      </c>
      <c r="E165" s="95"/>
      <c r="F165" s="80">
        <v>2260</v>
      </c>
      <c r="G165" s="80"/>
      <c r="H165" s="80"/>
      <c r="I165" s="80">
        <v>1767</v>
      </c>
      <c r="J165" s="96"/>
      <c r="K165" s="96"/>
      <c r="L165" s="200"/>
    </row>
    <row r="166" spans="1:12" hidden="1" x14ac:dyDescent="0.25">
      <c r="A166" s="1815"/>
      <c r="B166" s="1393"/>
      <c r="C166" s="1437"/>
      <c r="D166" s="96" t="s">
        <v>257</v>
      </c>
      <c r="E166" s="95"/>
      <c r="F166" s="80">
        <v>625</v>
      </c>
      <c r="G166" s="80"/>
      <c r="H166" s="80"/>
      <c r="I166" s="80">
        <v>543</v>
      </c>
      <c r="J166" s="96"/>
      <c r="K166" s="96"/>
      <c r="L166" s="200"/>
    </row>
    <row r="167" spans="1:12" hidden="1" x14ac:dyDescent="0.25">
      <c r="A167" s="1815"/>
      <c r="B167" s="1393"/>
      <c r="C167" s="1437"/>
      <c r="D167" s="96" t="s">
        <v>263</v>
      </c>
      <c r="E167" s="95"/>
      <c r="F167" s="80">
        <v>1635</v>
      </c>
      <c r="G167" s="80"/>
      <c r="H167" s="80"/>
      <c r="I167" s="80">
        <v>1221</v>
      </c>
      <c r="J167" s="96"/>
      <c r="K167" s="96"/>
      <c r="L167" s="200"/>
    </row>
    <row r="168" spans="1:12" hidden="1" x14ac:dyDescent="0.25">
      <c r="A168" s="1815"/>
      <c r="B168" s="1393"/>
      <c r="C168" s="1437"/>
      <c r="D168" s="96" t="s">
        <v>357</v>
      </c>
      <c r="E168" s="95"/>
      <c r="F168" s="99">
        <f>(F167/F165)*100</f>
        <v>72.345132743362825</v>
      </c>
      <c r="G168" s="94"/>
      <c r="H168" s="94"/>
      <c r="I168" s="99">
        <f>I167/I165*100</f>
        <v>69.100169779286929</v>
      </c>
      <c r="J168" s="96"/>
      <c r="K168" s="96"/>
      <c r="L168" s="200"/>
    </row>
    <row r="169" spans="1:12" ht="14.85" hidden="1" customHeight="1" x14ac:dyDescent="0.25">
      <c r="A169" s="1815"/>
      <c r="B169" s="1393"/>
      <c r="C169" s="1437" t="s">
        <v>383</v>
      </c>
      <c r="D169" s="145" t="s">
        <v>251</v>
      </c>
      <c r="E169" s="95"/>
      <c r="F169" s="80">
        <v>1525</v>
      </c>
      <c r="G169" s="80"/>
      <c r="H169" s="80"/>
      <c r="I169" s="80">
        <v>1086</v>
      </c>
      <c r="J169" s="96"/>
      <c r="K169" s="96"/>
      <c r="L169" s="200"/>
    </row>
    <row r="170" spans="1:12" hidden="1" x14ac:dyDescent="0.25">
      <c r="A170" s="1815"/>
      <c r="B170" s="1393"/>
      <c r="C170" s="1437"/>
      <c r="D170" s="96" t="s">
        <v>257</v>
      </c>
      <c r="E170" s="95"/>
      <c r="F170" s="80">
        <v>535</v>
      </c>
      <c r="G170" s="80"/>
      <c r="H170" s="80"/>
      <c r="I170" s="80">
        <v>327</v>
      </c>
      <c r="J170" s="96"/>
      <c r="K170" s="96"/>
      <c r="L170" s="200"/>
    </row>
    <row r="171" spans="1:12" hidden="1" x14ac:dyDescent="0.25">
      <c r="A171" s="1815"/>
      <c r="B171" s="1393"/>
      <c r="C171" s="1437"/>
      <c r="D171" s="96" t="s">
        <v>263</v>
      </c>
      <c r="E171" s="95"/>
      <c r="F171" s="80">
        <v>990</v>
      </c>
      <c r="G171" s="80"/>
      <c r="H171" s="80"/>
      <c r="I171" s="80">
        <v>762</v>
      </c>
      <c r="J171" s="96"/>
      <c r="K171" s="96"/>
      <c r="L171" s="200"/>
    </row>
    <row r="172" spans="1:12" hidden="1" x14ac:dyDescent="0.25">
      <c r="A172" s="1815"/>
      <c r="B172" s="1393"/>
      <c r="C172" s="1437"/>
      <c r="D172" s="96" t="s">
        <v>357</v>
      </c>
      <c r="E172" s="95"/>
      <c r="F172" s="99">
        <f>(F171/F169)*100</f>
        <v>64.918032786885249</v>
      </c>
      <c r="G172" s="94"/>
      <c r="H172" s="94"/>
      <c r="I172" s="99">
        <f>I171/I169*100</f>
        <v>70.165745856353595</v>
      </c>
      <c r="J172" s="96"/>
      <c r="K172" s="96"/>
      <c r="L172" s="200"/>
    </row>
    <row r="173" spans="1:12" hidden="1" x14ac:dyDescent="0.25">
      <c r="A173" s="1815"/>
      <c r="B173" s="1393"/>
      <c r="C173" s="1437" t="s">
        <v>384</v>
      </c>
      <c r="D173" s="145" t="s">
        <v>251</v>
      </c>
      <c r="E173" s="95"/>
      <c r="F173" s="80">
        <v>1915</v>
      </c>
      <c r="G173" s="80"/>
      <c r="H173" s="80"/>
      <c r="I173" s="80">
        <v>1065</v>
      </c>
      <c r="J173" s="96"/>
      <c r="K173" s="96"/>
      <c r="L173" s="200"/>
    </row>
    <row r="174" spans="1:12" hidden="1" x14ac:dyDescent="0.25">
      <c r="A174" s="1815"/>
      <c r="B174" s="1393"/>
      <c r="C174" s="1437"/>
      <c r="D174" s="96" t="s">
        <v>257</v>
      </c>
      <c r="E174" s="95"/>
      <c r="F174" s="80">
        <v>545</v>
      </c>
      <c r="G174" s="80"/>
      <c r="H174" s="80"/>
      <c r="I174" s="80">
        <v>306</v>
      </c>
      <c r="J174" s="96"/>
      <c r="K174" s="96"/>
      <c r="L174" s="200"/>
    </row>
    <row r="175" spans="1:12" hidden="1" x14ac:dyDescent="0.25">
      <c r="A175" s="1815"/>
      <c r="B175" s="1393"/>
      <c r="C175" s="1437"/>
      <c r="D175" s="96" t="s">
        <v>263</v>
      </c>
      <c r="E175" s="95"/>
      <c r="F175" s="80">
        <v>1370</v>
      </c>
      <c r="G175" s="80"/>
      <c r="H175" s="80"/>
      <c r="I175" s="80">
        <v>759</v>
      </c>
      <c r="J175" s="96"/>
      <c r="K175" s="96"/>
      <c r="L175" s="200"/>
    </row>
    <row r="176" spans="1:12" hidden="1" x14ac:dyDescent="0.25">
      <c r="A176" s="1815"/>
      <c r="B176" s="1393"/>
      <c r="C176" s="1437"/>
      <c r="D176" s="96" t="s">
        <v>357</v>
      </c>
      <c r="E176" s="95"/>
      <c r="F176" s="99">
        <f>(F175/F173)*100</f>
        <v>71.540469973890339</v>
      </c>
      <c r="G176" s="94"/>
      <c r="H176" s="94"/>
      <c r="I176" s="99">
        <f>I175/I173*100</f>
        <v>71.267605633802816</v>
      </c>
      <c r="J176" s="96"/>
      <c r="K176" s="96"/>
      <c r="L176" s="200"/>
    </row>
    <row r="177" spans="1:12" hidden="1" x14ac:dyDescent="0.25">
      <c r="A177" s="1815"/>
      <c r="B177" s="1393"/>
      <c r="C177" s="1437" t="s">
        <v>385</v>
      </c>
      <c r="D177" s="145" t="s">
        <v>251</v>
      </c>
      <c r="E177" s="95"/>
      <c r="F177" s="80">
        <v>270</v>
      </c>
      <c r="G177" s="80"/>
      <c r="H177" s="80"/>
      <c r="I177" s="80">
        <v>216</v>
      </c>
      <c r="J177" s="96"/>
      <c r="K177" s="96"/>
      <c r="L177" s="200"/>
    </row>
    <row r="178" spans="1:12" ht="14.85" hidden="1" customHeight="1" x14ac:dyDescent="0.25">
      <c r="A178" s="1815"/>
      <c r="B178" s="1393"/>
      <c r="C178" s="1437"/>
      <c r="D178" s="96" t="s">
        <v>257</v>
      </c>
      <c r="E178" s="95"/>
      <c r="F178" s="80">
        <v>210</v>
      </c>
      <c r="G178" s="80"/>
      <c r="H178" s="80"/>
      <c r="I178" s="80">
        <v>126</v>
      </c>
      <c r="J178" s="96"/>
      <c r="K178" s="96"/>
      <c r="L178" s="200"/>
    </row>
    <row r="179" spans="1:12" hidden="1" x14ac:dyDescent="0.25">
      <c r="A179" s="1815"/>
      <c r="B179" s="1393"/>
      <c r="C179" s="1437"/>
      <c r="D179" s="96" t="s">
        <v>263</v>
      </c>
      <c r="E179" s="95"/>
      <c r="F179" s="80">
        <v>60</v>
      </c>
      <c r="G179" s="80"/>
      <c r="H179" s="80"/>
      <c r="I179" s="80">
        <v>87</v>
      </c>
      <c r="J179" s="96"/>
      <c r="K179" s="96"/>
      <c r="L179" s="200"/>
    </row>
    <row r="180" spans="1:12" hidden="1" x14ac:dyDescent="0.25">
      <c r="A180" s="1815"/>
      <c r="B180" s="1393"/>
      <c r="C180" s="1437"/>
      <c r="D180" s="96" t="s">
        <v>357</v>
      </c>
      <c r="E180" s="95"/>
      <c r="F180" s="97">
        <f>(F179/F177)*100</f>
        <v>22.222222222222221</v>
      </c>
      <c r="G180" s="94"/>
      <c r="H180" s="94"/>
      <c r="I180" s="98">
        <f>I179/I177*100</f>
        <v>40.277777777777779</v>
      </c>
      <c r="J180" s="96"/>
      <c r="K180" s="96"/>
      <c r="L180" s="200"/>
    </row>
    <row r="181" spans="1:12" hidden="1" x14ac:dyDescent="0.25">
      <c r="A181" s="1815"/>
      <c r="B181" s="1393"/>
      <c r="C181" s="1437" t="s">
        <v>386</v>
      </c>
      <c r="D181" s="145" t="s">
        <v>251</v>
      </c>
      <c r="E181" s="95"/>
      <c r="F181" s="80">
        <v>855</v>
      </c>
      <c r="G181" s="80"/>
      <c r="H181" s="80"/>
      <c r="I181" s="80">
        <v>1398</v>
      </c>
      <c r="J181" s="96"/>
      <c r="K181" s="96"/>
      <c r="L181" s="200"/>
    </row>
    <row r="182" spans="1:12" hidden="1" x14ac:dyDescent="0.25">
      <c r="A182" s="1815"/>
      <c r="B182" s="1393"/>
      <c r="C182" s="1437"/>
      <c r="D182" s="96" t="s">
        <v>257</v>
      </c>
      <c r="E182" s="95"/>
      <c r="F182" s="80">
        <v>440</v>
      </c>
      <c r="G182" s="80"/>
      <c r="H182" s="80"/>
      <c r="I182" s="80">
        <v>762</v>
      </c>
      <c r="J182" s="96"/>
      <c r="K182" s="96"/>
      <c r="L182" s="200"/>
    </row>
    <row r="183" spans="1:12" hidden="1" x14ac:dyDescent="0.25">
      <c r="A183" s="1815"/>
      <c r="B183" s="1393"/>
      <c r="C183" s="1437"/>
      <c r="D183" s="96" t="s">
        <v>263</v>
      </c>
      <c r="E183" s="95"/>
      <c r="F183" s="80">
        <v>415</v>
      </c>
      <c r="G183" s="80"/>
      <c r="H183" s="80"/>
      <c r="I183" s="80">
        <v>636</v>
      </c>
      <c r="J183" s="96"/>
      <c r="K183" s="96"/>
      <c r="L183" s="200"/>
    </row>
    <row r="184" spans="1:12" hidden="1" x14ac:dyDescent="0.25">
      <c r="A184" s="1815"/>
      <c r="B184" s="1393"/>
      <c r="C184" s="1437"/>
      <c r="D184" s="96" t="s">
        <v>357</v>
      </c>
      <c r="E184" s="95"/>
      <c r="F184" s="98">
        <f>(F183/F181)*100</f>
        <v>48.538011695906427</v>
      </c>
      <c r="G184" s="94"/>
      <c r="H184" s="94"/>
      <c r="I184" s="98">
        <f>I183/I181*100</f>
        <v>45.493562231759654</v>
      </c>
      <c r="J184" s="96"/>
      <c r="K184" s="96"/>
      <c r="L184" s="200"/>
    </row>
    <row r="185" spans="1:12" hidden="1" x14ac:dyDescent="0.25">
      <c r="A185" s="1815"/>
      <c r="B185" s="1393"/>
      <c r="C185" s="1437" t="s">
        <v>387</v>
      </c>
      <c r="D185" s="145" t="s">
        <v>251</v>
      </c>
      <c r="E185" s="95"/>
      <c r="F185" s="80">
        <v>2025</v>
      </c>
      <c r="G185" s="80"/>
      <c r="H185" s="80"/>
      <c r="I185" s="80">
        <v>1674</v>
      </c>
      <c r="J185" s="96"/>
      <c r="K185" s="96"/>
      <c r="L185" s="200"/>
    </row>
    <row r="186" spans="1:12" hidden="1" x14ac:dyDescent="0.25">
      <c r="A186" s="1815"/>
      <c r="B186" s="1393"/>
      <c r="C186" s="1437"/>
      <c r="D186" s="96" t="s">
        <v>257</v>
      </c>
      <c r="E186" s="95"/>
      <c r="F186" s="80">
        <v>825</v>
      </c>
      <c r="G186" s="80"/>
      <c r="H186" s="80"/>
      <c r="I186" s="80">
        <v>702</v>
      </c>
      <c r="J186" s="96"/>
      <c r="K186" s="96"/>
      <c r="L186" s="200"/>
    </row>
    <row r="187" spans="1:12" hidden="1" x14ac:dyDescent="0.25">
      <c r="A187" s="1815"/>
      <c r="B187" s="1393"/>
      <c r="C187" s="1437"/>
      <c r="D187" s="96" t="s">
        <v>263</v>
      </c>
      <c r="E187" s="95"/>
      <c r="F187" s="80">
        <v>1200</v>
      </c>
      <c r="G187" s="80"/>
      <c r="H187" s="80"/>
      <c r="I187" s="80">
        <v>972</v>
      </c>
      <c r="J187" s="96"/>
      <c r="K187" s="96"/>
      <c r="L187" s="200"/>
    </row>
    <row r="188" spans="1:12" hidden="1" x14ac:dyDescent="0.25">
      <c r="A188" s="1815"/>
      <c r="B188" s="1393"/>
      <c r="C188" s="1437"/>
      <c r="D188" s="96" t="s">
        <v>357</v>
      </c>
      <c r="E188" s="95"/>
      <c r="F188" s="98">
        <f>(F187/F185)*100</f>
        <v>59.259259259259252</v>
      </c>
      <c r="G188" s="94"/>
      <c r="H188" s="94"/>
      <c r="I188" s="98">
        <f>I187/I185*100</f>
        <v>58.064516129032263</v>
      </c>
      <c r="J188" s="96"/>
      <c r="K188" s="96"/>
      <c r="L188" s="200"/>
    </row>
    <row r="189" spans="1:12" hidden="1" x14ac:dyDescent="0.25">
      <c r="A189" s="1815"/>
      <c r="B189" s="1393"/>
      <c r="C189" s="1437" t="s">
        <v>388</v>
      </c>
      <c r="D189" s="145" t="s">
        <v>251</v>
      </c>
      <c r="E189" s="95"/>
      <c r="F189" s="80"/>
      <c r="G189" s="80"/>
      <c r="H189" s="80"/>
      <c r="I189" s="80">
        <v>363</v>
      </c>
      <c r="J189" s="96"/>
      <c r="K189" s="96"/>
      <c r="L189" s="200"/>
    </row>
    <row r="190" spans="1:12" hidden="1" x14ac:dyDescent="0.25">
      <c r="A190" s="1815"/>
      <c r="B190" s="1393"/>
      <c r="C190" s="1437"/>
      <c r="D190" s="96" t="s">
        <v>257</v>
      </c>
      <c r="E190" s="95"/>
      <c r="F190" s="80"/>
      <c r="G190" s="80"/>
      <c r="H190" s="80"/>
      <c r="I190" s="80">
        <v>201</v>
      </c>
      <c r="J190" s="96"/>
      <c r="K190" s="96"/>
      <c r="L190" s="200"/>
    </row>
    <row r="191" spans="1:12" hidden="1" x14ac:dyDescent="0.25">
      <c r="A191" s="1815"/>
      <c r="B191" s="1393"/>
      <c r="C191" s="1437"/>
      <c r="D191" s="96" t="s">
        <v>263</v>
      </c>
      <c r="E191" s="95"/>
      <c r="F191" s="80"/>
      <c r="G191" s="80"/>
      <c r="H191" s="80"/>
      <c r="I191" s="80">
        <v>162</v>
      </c>
      <c r="J191" s="96"/>
      <c r="K191" s="96"/>
      <c r="L191" s="200"/>
    </row>
    <row r="192" spans="1:12" hidden="1" x14ac:dyDescent="0.25">
      <c r="A192" s="1815"/>
      <c r="B192" s="1393"/>
      <c r="C192" s="1437"/>
      <c r="D192" s="96" t="s">
        <v>357</v>
      </c>
      <c r="E192" s="95"/>
      <c r="F192" s="206"/>
      <c r="G192" s="94"/>
      <c r="H192" s="94"/>
      <c r="I192" s="98">
        <f>I191/I189*100</f>
        <v>44.628099173553721</v>
      </c>
      <c r="J192" s="96"/>
      <c r="K192" s="96"/>
      <c r="L192" s="200"/>
    </row>
    <row r="193" spans="1:12" hidden="1" x14ac:dyDescent="0.25">
      <c r="A193" s="1815"/>
      <c r="B193" s="1393"/>
      <c r="C193" s="1403" t="s">
        <v>389</v>
      </c>
      <c r="D193" s="144" t="s">
        <v>251</v>
      </c>
      <c r="E193" s="94"/>
      <c r="F193" s="80">
        <v>205</v>
      </c>
      <c r="G193" s="80"/>
      <c r="H193" s="80"/>
      <c r="I193" s="80">
        <v>318</v>
      </c>
      <c r="J193" s="28"/>
      <c r="K193" s="28"/>
      <c r="L193" s="21"/>
    </row>
    <row r="194" spans="1:12" hidden="1" x14ac:dyDescent="0.25">
      <c r="A194" s="1815"/>
      <c r="B194" s="1393"/>
      <c r="C194" s="1403"/>
      <c r="D194" s="28" t="s">
        <v>257</v>
      </c>
      <c r="E194" s="94"/>
      <c r="F194" s="80">
        <v>95</v>
      </c>
      <c r="G194" s="80"/>
      <c r="H194" s="80"/>
      <c r="I194" s="80">
        <v>144</v>
      </c>
      <c r="J194" s="28"/>
      <c r="K194" s="28"/>
      <c r="L194" s="21"/>
    </row>
    <row r="195" spans="1:12" hidden="1" x14ac:dyDescent="0.25">
      <c r="A195" s="1815"/>
      <c r="B195" s="1393"/>
      <c r="C195" s="1403"/>
      <c r="D195" s="28" t="s">
        <v>263</v>
      </c>
      <c r="E195" s="94"/>
      <c r="F195" s="80">
        <v>110</v>
      </c>
      <c r="G195" s="80"/>
      <c r="H195" s="80"/>
      <c r="I195" s="80">
        <v>171</v>
      </c>
      <c r="J195" s="28"/>
      <c r="K195" s="28"/>
      <c r="L195" s="21"/>
    </row>
    <row r="196" spans="1:12" hidden="1" x14ac:dyDescent="0.25">
      <c r="A196" s="1815"/>
      <c r="B196" s="1393"/>
      <c r="C196" s="1403"/>
      <c r="D196" s="28" t="s">
        <v>357</v>
      </c>
      <c r="E196" s="94"/>
      <c r="F196" s="98">
        <f>(F195/F193)*100</f>
        <v>53.658536585365859</v>
      </c>
      <c r="G196" s="94"/>
      <c r="H196" s="94"/>
      <c r="I196" s="98">
        <f>I195/I193*100</f>
        <v>53.773584905660378</v>
      </c>
      <c r="J196" s="28"/>
      <c r="K196" s="28"/>
      <c r="L196" s="21"/>
    </row>
    <row r="197" spans="1:12" hidden="1" x14ac:dyDescent="0.25">
      <c r="A197" s="1815"/>
      <c r="B197" s="1393"/>
      <c r="C197" s="1403" t="s">
        <v>390</v>
      </c>
      <c r="D197" s="144" t="s">
        <v>251</v>
      </c>
      <c r="E197" s="94"/>
      <c r="F197" s="80">
        <v>220</v>
      </c>
      <c r="G197" s="80"/>
      <c r="H197" s="80"/>
      <c r="I197" s="80">
        <v>282</v>
      </c>
      <c r="J197" s="28"/>
      <c r="K197" s="28"/>
      <c r="L197" s="21"/>
    </row>
    <row r="198" spans="1:12" ht="14.85" hidden="1" customHeight="1" x14ac:dyDescent="0.25">
      <c r="A198" s="1815"/>
      <c r="B198" s="1393"/>
      <c r="C198" s="1403"/>
      <c r="D198" s="28" t="s">
        <v>257</v>
      </c>
      <c r="E198" s="94"/>
      <c r="F198" s="80">
        <v>45</v>
      </c>
      <c r="G198" s="80"/>
      <c r="H198" s="80"/>
      <c r="I198" s="80">
        <v>69</v>
      </c>
      <c r="J198" s="28"/>
      <c r="K198" s="28"/>
      <c r="L198" s="21"/>
    </row>
    <row r="199" spans="1:12" hidden="1" x14ac:dyDescent="0.25">
      <c r="A199" s="1815"/>
      <c r="B199" s="1393"/>
      <c r="C199" s="1403"/>
      <c r="D199" s="28" t="s">
        <v>263</v>
      </c>
      <c r="E199" s="94"/>
      <c r="F199" s="80">
        <v>175</v>
      </c>
      <c r="G199" s="80"/>
      <c r="H199" s="80"/>
      <c r="I199" s="80">
        <v>210</v>
      </c>
      <c r="J199" s="28"/>
      <c r="K199" s="28"/>
      <c r="L199" s="21"/>
    </row>
    <row r="200" spans="1:12" hidden="1" x14ac:dyDescent="0.25">
      <c r="A200" s="1815"/>
      <c r="B200" s="1393"/>
      <c r="C200" s="1403"/>
      <c r="D200" s="28" t="s">
        <v>357</v>
      </c>
      <c r="E200" s="94"/>
      <c r="F200" s="99">
        <f>(F199/F197)*100</f>
        <v>79.545454545454547</v>
      </c>
      <c r="G200" s="94"/>
      <c r="H200" s="94"/>
      <c r="I200" s="99">
        <f>I199/I197*100</f>
        <v>74.468085106382972</v>
      </c>
      <c r="J200" s="28"/>
      <c r="K200" s="28"/>
      <c r="L200" s="21"/>
    </row>
    <row r="201" spans="1:12" hidden="1" x14ac:dyDescent="0.25">
      <c r="A201" s="1815"/>
      <c r="B201" s="1393"/>
      <c r="C201" s="1403" t="s">
        <v>391</v>
      </c>
      <c r="D201" s="144" t="s">
        <v>251</v>
      </c>
      <c r="E201" s="94"/>
      <c r="F201" s="80">
        <v>755</v>
      </c>
      <c r="G201" s="80"/>
      <c r="H201" s="80"/>
      <c r="I201" s="80">
        <v>714</v>
      </c>
      <c r="J201" s="28"/>
      <c r="K201" s="28"/>
      <c r="L201" s="21"/>
    </row>
    <row r="202" spans="1:12" hidden="1" x14ac:dyDescent="0.25">
      <c r="A202" s="1815"/>
      <c r="B202" s="1393"/>
      <c r="C202" s="1403"/>
      <c r="D202" s="28" t="s">
        <v>257</v>
      </c>
      <c r="E202" s="94"/>
      <c r="F202" s="80">
        <v>180</v>
      </c>
      <c r="G202" s="80"/>
      <c r="H202" s="80"/>
      <c r="I202" s="80">
        <v>132</v>
      </c>
      <c r="J202" s="28"/>
      <c r="K202" s="28"/>
      <c r="L202" s="21"/>
    </row>
    <row r="203" spans="1:12" hidden="1" x14ac:dyDescent="0.25">
      <c r="A203" s="1815"/>
      <c r="B203" s="1393"/>
      <c r="C203" s="1403"/>
      <c r="D203" s="28" t="s">
        <v>263</v>
      </c>
      <c r="E203" s="94"/>
      <c r="F203" s="80">
        <v>580</v>
      </c>
      <c r="G203" s="80"/>
      <c r="H203" s="80"/>
      <c r="I203" s="80">
        <v>582</v>
      </c>
      <c r="J203" s="28"/>
      <c r="K203" s="28"/>
      <c r="L203" s="21"/>
    </row>
    <row r="204" spans="1:12" hidden="1" x14ac:dyDescent="0.25">
      <c r="A204" s="1815"/>
      <c r="B204" s="1393"/>
      <c r="C204" s="1403"/>
      <c r="D204" s="28" t="s">
        <v>357</v>
      </c>
      <c r="E204" s="94"/>
      <c r="F204" s="99">
        <f>(F203/F201)*100</f>
        <v>76.821192052980138</v>
      </c>
      <c r="G204" s="94"/>
      <c r="H204" s="94"/>
      <c r="I204" s="99">
        <f>I203/I201*100</f>
        <v>81.512605042016801</v>
      </c>
      <c r="J204" s="28"/>
      <c r="K204" s="28"/>
      <c r="L204" s="21"/>
    </row>
    <row r="205" spans="1:12" hidden="1" x14ac:dyDescent="0.25">
      <c r="A205" s="1815"/>
      <c r="B205" s="1393"/>
      <c r="C205" s="1403" t="s">
        <v>392</v>
      </c>
      <c r="D205" s="144" t="s">
        <v>251</v>
      </c>
      <c r="E205" s="94"/>
      <c r="F205" s="80">
        <v>460</v>
      </c>
      <c r="G205" s="80"/>
      <c r="H205" s="80"/>
      <c r="I205" s="80">
        <v>363</v>
      </c>
      <c r="J205" s="28"/>
      <c r="K205" s="28"/>
      <c r="L205" s="21"/>
    </row>
    <row r="206" spans="1:12" hidden="1" x14ac:dyDescent="0.25">
      <c r="A206" s="1815"/>
      <c r="B206" s="1393"/>
      <c r="C206" s="1403"/>
      <c r="D206" s="28" t="s">
        <v>257</v>
      </c>
      <c r="E206" s="94"/>
      <c r="F206" s="80">
        <v>0</v>
      </c>
      <c r="G206" s="80"/>
      <c r="H206" s="80"/>
      <c r="I206" s="80">
        <v>36</v>
      </c>
      <c r="J206" s="28"/>
      <c r="K206" s="28"/>
      <c r="L206" s="21"/>
    </row>
    <row r="207" spans="1:12" hidden="1" x14ac:dyDescent="0.25">
      <c r="A207" s="1815"/>
      <c r="B207" s="1393"/>
      <c r="C207" s="1403"/>
      <c r="D207" s="28" t="s">
        <v>263</v>
      </c>
      <c r="E207" s="94"/>
      <c r="F207" s="80">
        <v>460</v>
      </c>
      <c r="G207" s="80"/>
      <c r="H207" s="80"/>
      <c r="I207" s="80">
        <v>330</v>
      </c>
      <c r="J207" s="28"/>
      <c r="K207" s="28"/>
      <c r="L207" s="21"/>
    </row>
    <row r="208" spans="1:12" hidden="1" x14ac:dyDescent="0.25">
      <c r="A208" s="1815"/>
      <c r="B208" s="1393"/>
      <c r="C208" s="1403"/>
      <c r="D208" s="28" t="s">
        <v>357</v>
      </c>
      <c r="E208" s="94"/>
      <c r="F208" s="99">
        <f>(F207/F205)*100</f>
        <v>100</v>
      </c>
      <c r="G208" s="94"/>
      <c r="H208" s="94"/>
      <c r="I208" s="99">
        <f>I207/I205*100</f>
        <v>90.909090909090907</v>
      </c>
      <c r="J208" s="28"/>
      <c r="K208" s="28"/>
      <c r="L208" s="21"/>
    </row>
    <row r="209" spans="1:12" hidden="1" x14ac:dyDescent="0.25">
      <c r="A209" s="1815"/>
      <c r="B209" s="1393"/>
      <c r="C209" s="1403" t="s">
        <v>393</v>
      </c>
      <c r="D209" s="144" t="s">
        <v>251</v>
      </c>
      <c r="E209" s="94"/>
      <c r="F209" s="80">
        <v>875</v>
      </c>
      <c r="G209" s="80"/>
      <c r="H209" s="80"/>
      <c r="I209" s="80">
        <v>1002</v>
      </c>
      <c r="J209" s="28"/>
      <c r="K209" s="28"/>
      <c r="L209" s="21"/>
    </row>
    <row r="210" spans="1:12" hidden="1" x14ac:dyDescent="0.25">
      <c r="A210" s="1815"/>
      <c r="B210" s="1393"/>
      <c r="C210" s="1403"/>
      <c r="D210" s="28" t="s">
        <v>257</v>
      </c>
      <c r="E210" s="94"/>
      <c r="F210" s="80">
        <v>440</v>
      </c>
      <c r="G210" s="80"/>
      <c r="H210" s="80"/>
      <c r="I210" s="80">
        <v>525</v>
      </c>
      <c r="J210" s="28"/>
      <c r="K210" s="28"/>
      <c r="L210" s="21"/>
    </row>
    <row r="211" spans="1:12" hidden="1" x14ac:dyDescent="0.25">
      <c r="A211" s="1815"/>
      <c r="B211" s="1393"/>
      <c r="C211" s="1403"/>
      <c r="D211" s="28" t="s">
        <v>263</v>
      </c>
      <c r="E211" s="94"/>
      <c r="F211" s="80">
        <v>435</v>
      </c>
      <c r="G211" s="80"/>
      <c r="H211" s="80"/>
      <c r="I211" s="80">
        <v>480</v>
      </c>
      <c r="J211" s="28"/>
      <c r="K211" s="28"/>
      <c r="L211" s="21"/>
    </row>
    <row r="212" spans="1:12" hidden="1" x14ac:dyDescent="0.25">
      <c r="A212" s="1815"/>
      <c r="B212" s="1393"/>
      <c r="C212" s="1403"/>
      <c r="D212" s="28" t="s">
        <v>357</v>
      </c>
      <c r="E212" s="94"/>
      <c r="F212" s="98">
        <f>(F211/F209)*100</f>
        <v>49.714285714285715</v>
      </c>
      <c r="G212" s="94"/>
      <c r="H212" s="94"/>
      <c r="I212" s="98">
        <f>I211/I209*100</f>
        <v>47.904191616766468</v>
      </c>
      <c r="J212" s="28"/>
      <c r="K212" s="28"/>
      <c r="L212" s="21"/>
    </row>
    <row r="213" spans="1:12" hidden="1" x14ac:dyDescent="0.25">
      <c r="A213" s="1815"/>
      <c r="B213" s="1393"/>
      <c r="C213" s="1403" t="s">
        <v>394</v>
      </c>
      <c r="D213" s="144" t="s">
        <v>251</v>
      </c>
      <c r="E213" s="94"/>
      <c r="F213" s="80">
        <v>915</v>
      </c>
      <c r="G213" s="80"/>
      <c r="H213" s="80"/>
      <c r="I213" s="80">
        <v>921</v>
      </c>
      <c r="J213" s="28"/>
      <c r="K213" s="28"/>
      <c r="L213" s="21"/>
    </row>
    <row r="214" spans="1:12" hidden="1" x14ac:dyDescent="0.25">
      <c r="A214" s="1815"/>
      <c r="B214" s="1393"/>
      <c r="C214" s="1403"/>
      <c r="D214" s="28" t="s">
        <v>257</v>
      </c>
      <c r="E214" s="94"/>
      <c r="F214" s="80">
        <v>785</v>
      </c>
      <c r="G214" s="80"/>
      <c r="H214" s="80"/>
      <c r="I214" s="80">
        <v>705</v>
      </c>
      <c r="J214" s="28"/>
      <c r="K214" s="28"/>
      <c r="L214" s="21"/>
    </row>
    <row r="215" spans="1:12" hidden="1" x14ac:dyDescent="0.25">
      <c r="A215" s="1815"/>
      <c r="B215" s="1393"/>
      <c r="C215" s="1403"/>
      <c r="D215" s="28" t="s">
        <v>263</v>
      </c>
      <c r="E215" s="94"/>
      <c r="F215" s="80">
        <v>125</v>
      </c>
      <c r="G215" s="80"/>
      <c r="H215" s="80"/>
      <c r="I215" s="80">
        <v>216</v>
      </c>
      <c r="J215" s="28"/>
      <c r="K215" s="28"/>
      <c r="L215" s="21"/>
    </row>
    <row r="216" spans="1:12" hidden="1" x14ac:dyDescent="0.25">
      <c r="A216" s="1815"/>
      <c r="B216" s="1393"/>
      <c r="C216" s="1403"/>
      <c r="D216" s="28" t="s">
        <v>357</v>
      </c>
      <c r="E216" s="94"/>
      <c r="F216" s="97">
        <f>(F215/F213)*100</f>
        <v>13.661202185792352</v>
      </c>
      <c r="G216" s="94"/>
      <c r="H216" s="94"/>
      <c r="I216" s="97">
        <f>I215/I213*100</f>
        <v>23.452768729641694</v>
      </c>
      <c r="J216" s="28"/>
      <c r="K216" s="28"/>
      <c r="L216" s="21"/>
    </row>
    <row r="217" spans="1:12" hidden="1" x14ac:dyDescent="0.25">
      <c r="A217" s="1815"/>
      <c r="B217" s="1393"/>
      <c r="C217" s="1403" t="s">
        <v>395</v>
      </c>
      <c r="D217" s="144" t="s">
        <v>251</v>
      </c>
      <c r="E217" s="94"/>
      <c r="F217" s="80">
        <v>125</v>
      </c>
      <c r="G217" s="80"/>
      <c r="H217" s="80"/>
      <c r="I217" s="80">
        <v>102</v>
      </c>
      <c r="J217" s="94"/>
      <c r="K217" s="28"/>
      <c r="L217" s="21"/>
    </row>
    <row r="218" spans="1:12" ht="14.85" hidden="1" customHeight="1" x14ac:dyDescent="0.25">
      <c r="A218" s="1815"/>
      <c r="B218" s="1393"/>
      <c r="C218" s="1403"/>
      <c r="D218" s="28" t="s">
        <v>257</v>
      </c>
      <c r="E218" s="94"/>
      <c r="F218" s="80">
        <v>95</v>
      </c>
      <c r="G218" s="80"/>
      <c r="H218" s="80"/>
      <c r="I218" s="80">
        <v>81</v>
      </c>
      <c r="J218" s="94"/>
      <c r="K218" s="28"/>
      <c r="L218" s="21"/>
    </row>
    <row r="219" spans="1:12" hidden="1" x14ac:dyDescent="0.25">
      <c r="A219" s="1815"/>
      <c r="B219" s="1393"/>
      <c r="C219" s="1403"/>
      <c r="D219" s="28" t="s">
        <v>263</v>
      </c>
      <c r="E219" s="94"/>
      <c r="F219" s="80">
        <v>30</v>
      </c>
      <c r="G219" s="80"/>
      <c r="H219" s="80"/>
      <c r="I219" s="80">
        <v>18</v>
      </c>
      <c r="J219" s="94"/>
      <c r="K219" s="28"/>
      <c r="L219" s="21"/>
    </row>
    <row r="220" spans="1:12" hidden="1" x14ac:dyDescent="0.25">
      <c r="A220" s="1815"/>
      <c r="B220" s="1393"/>
      <c r="C220" s="1403"/>
      <c r="D220" s="28" t="s">
        <v>357</v>
      </c>
      <c r="E220" s="94"/>
      <c r="F220" s="97">
        <f>(F219/F217)*100</f>
        <v>24</v>
      </c>
      <c r="G220" s="94"/>
      <c r="H220" s="94"/>
      <c r="I220" s="97">
        <f>I219/I217*100</f>
        <v>17.647058823529413</v>
      </c>
      <c r="J220" s="94"/>
      <c r="K220" s="28"/>
      <c r="L220" s="21"/>
    </row>
    <row r="221" spans="1:12" hidden="1" x14ac:dyDescent="0.25">
      <c r="A221" s="1815"/>
      <c r="B221" s="1393"/>
      <c r="C221" s="1403" t="s">
        <v>396</v>
      </c>
      <c r="D221" s="144" t="s">
        <v>251</v>
      </c>
      <c r="E221" s="94"/>
      <c r="F221" s="80">
        <v>10</v>
      </c>
      <c r="G221" s="80"/>
      <c r="H221" s="80"/>
      <c r="I221" s="80">
        <v>3</v>
      </c>
      <c r="J221" s="94"/>
      <c r="K221" s="28"/>
      <c r="L221" s="21"/>
    </row>
    <row r="222" spans="1:12" hidden="1" x14ac:dyDescent="0.25">
      <c r="A222" s="1815"/>
      <c r="B222" s="1393"/>
      <c r="C222" s="1403"/>
      <c r="D222" s="28" t="s">
        <v>257</v>
      </c>
      <c r="E222" s="94"/>
      <c r="F222" s="80">
        <v>0</v>
      </c>
      <c r="G222" s="80"/>
      <c r="H222" s="80"/>
      <c r="I222" s="80">
        <v>0</v>
      </c>
      <c r="J222" s="94"/>
      <c r="K222" s="28"/>
      <c r="L222" s="21"/>
    </row>
    <row r="223" spans="1:12" hidden="1" x14ac:dyDescent="0.25">
      <c r="A223" s="1815"/>
      <c r="B223" s="1393"/>
      <c r="C223" s="1403"/>
      <c r="D223" s="28" t="s">
        <v>263</v>
      </c>
      <c r="E223" s="94"/>
      <c r="F223" s="80">
        <v>10</v>
      </c>
      <c r="G223" s="80"/>
      <c r="H223" s="80"/>
      <c r="I223" s="80">
        <v>3</v>
      </c>
      <c r="J223" s="94"/>
      <c r="K223" s="28"/>
      <c r="L223" s="21"/>
    </row>
    <row r="224" spans="1:12" hidden="1" x14ac:dyDescent="0.25">
      <c r="A224" s="1815"/>
      <c r="B224" s="1393"/>
      <c r="C224" s="1403"/>
      <c r="D224" s="28" t="s">
        <v>357</v>
      </c>
      <c r="E224" s="94"/>
      <c r="F224" s="99">
        <f>(F223/F221)*100</f>
        <v>100</v>
      </c>
      <c r="G224" s="94"/>
      <c r="H224" s="94"/>
      <c r="I224" s="99">
        <f>I223/I221*100</f>
        <v>100</v>
      </c>
      <c r="J224" s="94"/>
      <c r="K224" s="28"/>
      <c r="L224" s="21"/>
    </row>
    <row r="225" spans="1:12" hidden="1" x14ac:dyDescent="0.25">
      <c r="A225" s="1815"/>
      <c r="B225" s="1393"/>
      <c r="C225" s="1403" t="s">
        <v>397</v>
      </c>
      <c r="D225" s="144" t="s">
        <v>251</v>
      </c>
      <c r="E225" s="94"/>
      <c r="F225" s="80">
        <v>10</v>
      </c>
      <c r="G225" s="80"/>
      <c r="H225" s="80"/>
      <c r="I225" s="80">
        <v>3</v>
      </c>
      <c r="J225" s="94"/>
      <c r="K225" s="28"/>
      <c r="L225" s="21"/>
    </row>
    <row r="226" spans="1:12" hidden="1" x14ac:dyDescent="0.25">
      <c r="A226" s="1815"/>
      <c r="B226" s="1393"/>
      <c r="C226" s="1403"/>
      <c r="D226" s="28" t="s">
        <v>257</v>
      </c>
      <c r="E226" s="94"/>
      <c r="F226" s="80">
        <v>0</v>
      </c>
      <c r="G226" s="80"/>
      <c r="H226" s="80"/>
      <c r="I226" s="80">
        <v>3</v>
      </c>
      <c r="J226" s="94"/>
      <c r="K226" s="28"/>
      <c r="L226" s="21"/>
    </row>
    <row r="227" spans="1:12" hidden="1" x14ac:dyDescent="0.25">
      <c r="A227" s="1815"/>
      <c r="B227" s="1393"/>
      <c r="C227" s="1403"/>
      <c r="D227" s="28" t="s">
        <v>263</v>
      </c>
      <c r="E227" s="94"/>
      <c r="F227" s="80">
        <v>10</v>
      </c>
      <c r="G227" s="80"/>
      <c r="H227" s="80"/>
      <c r="I227" s="80">
        <v>0</v>
      </c>
      <c r="J227" s="94"/>
      <c r="K227" s="28"/>
      <c r="L227" s="21"/>
    </row>
    <row r="228" spans="1:12" hidden="1" x14ac:dyDescent="0.25">
      <c r="A228" s="1815"/>
      <c r="B228" s="1393"/>
      <c r="C228" s="1403"/>
      <c r="D228" s="28" t="s">
        <v>357</v>
      </c>
      <c r="E228" s="94"/>
      <c r="F228" s="99">
        <f>(F227/F225)*100</f>
        <v>100</v>
      </c>
      <c r="G228" s="94"/>
      <c r="H228" s="94"/>
      <c r="I228" s="97">
        <f>I227/I225*100</f>
        <v>0</v>
      </c>
      <c r="J228" s="94"/>
      <c r="K228" s="28"/>
      <c r="L228" s="21"/>
    </row>
    <row r="229" spans="1:12" hidden="1" x14ac:dyDescent="0.25">
      <c r="A229" s="1815"/>
      <c r="B229" s="1393"/>
      <c r="C229" s="1403" t="s">
        <v>398</v>
      </c>
      <c r="D229" s="144" t="s">
        <v>251</v>
      </c>
      <c r="E229" s="94"/>
      <c r="F229" s="80"/>
      <c r="G229" s="80"/>
      <c r="H229" s="80"/>
      <c r="I229" s="80">
        <v>3</v>
      </c>
      <c r="J229" s="94"/>
      <c r="K229" s="28"/>
      <c r="L229" s="21"/>
    </row>
    <row r="230" spans="1:12" ht="14.85" hidden="1" customHeight="1" x14ac:dyDescent="0.25">
      <c r="A230" s="1815"/>
      <c r="B230" s="1393"/>
      <c r="C230" s="1403"/>
      <c r="D230" s="28" t="s">
        <v>257</v>
      </c>
      <c r="E230" s="94"/>
      <c r="F230" s="80"/>
      <c r="G230" s="80"/>
      <c r="H230" s="80"/>
      <c r="I230" s="80">
        <v>3</v>
      </c>
      <c r="J230" s="94"/>
      <c r="K230" s="28"/>
      <c r="L230" s="21"/>
    </row>
    <row r="231" spans="1:12" hidden="1" x14ac:dyDescent="0.25">
      <c r="A231" s="1815"/>
      <c r="B231" s="1393"/>
      <c r="C231" s="1403"/>
      <c r="D231" s="28" t="s">
        <v>263</v>
      </c>
      <c r="E231" s="94"/>
      <c r="F231" s="80"/>
      <c r="G231" s="80"/>
      <c r="H231" s="80"/>
      <c r="I231" s="80">
        <v>0</v>
      </c>
      <c r="J231" s="94"/>
      <c r="K231" s="28"/>
      <c r="L231" s="21"/>
    </row>
    <row r="232" spans="1:12" hidden="1" x14ac:dyDescent="0.25">
      <c r="A232" s="1815"/>
      <c r="B232" s="1393"/>
      <c r="C232" s="1403"/>
      <c r="D232" s="28" t="s">
        <v>357</v>
      </c>
      <c r="E232" s="94"/>
      <c r="F232" s="206"/>
      <c r="G232" s="94"/>
      <c r="H232" s="94"/>
      <c r="I232" s="97">
        <f>I231/I229*100</f>
        <v>0</v>
      </c>
      <c r="J232" s="94"/>
      <c r="K232" s="28"/>
      <c r="L232" s="21"/>
    </row>
    <row r="233" spans="1:12" hidden="1" x14ac:dyDescent="0.25">
      <c r="A233" s="1815"/>
      <c r="B233" s="1393"/>
      <c r="C233" s="1403" t="s">
        <v>399</v>
      </c>
      <c r="D233" s="144" t="s">
        <v>251</v>
      </c>
      <c r="E233" s="94"/>
      <c r="F233" s="80">
        <v>395</v>
      </c>
      <c r="G233" s="80"/>
      <c r="H233" s="80"/>
      <c r="I233" s="80">
        <v>543</v>
      </c>
      <c r="J233" s="94"/>
      <c r="K233" s="28"/>
      <c r="L233" s="21"/>
    </row>
    <row r="234" spans="1:12" ht="14.85" hidden="1" customHeight="1" x14ac:dyDescent="0.25">
      <c r="A234" s="1815"/>
      <c r="B234" s="1393"/>
      <c r="C234" s="1403"/>
      <c r="D234" s="28" t="s">
        <v>257</v>
      </c>
      <c r="E234" s="94"/>
      <c r="F234" s="80">
        <v>345</v>
      </c>
      <c r="G234" s="80"/>
      <c r="H234" s="80"/>
      <c r="I234" s="80">
        <v>501</v>
      </c>
      <c r="J234" s="94"/>
      <c r="K234" s="28"/>
      <c r="L234" s="21"/>
    </row>
    <row r="235" spans="1:12" hidden="1" x14ac:dyDescent="0.25">
      <c r="A235" s="1815"/>
      <c r="B235" s="1393"/>
      <c r="C235" s="1403"/>
      <c r="D235" s="28" t="s">
        <v>263</v>
      </c>
      <c r="E235" s="94"/>
      <c r="F235" s="80">
        <v>50</v>
      </c>
      <c r="G235" s="80"/>
      <c r="H235" s="80"/>
      <c r="I235" s="80">
        <v>45</v>
      </c>
      <c r="J235" s="94"/>
      <c r="K235" s="28"/>
      <c r="L235" s="21"/>
    </row>
    <row r="236" spans="1:12" hidden="1" x14ac:dyDescent="0.25">
      <c r="A236" s="1815"/>
      <c r="B236" s="1393"/>
      <c r="C236" s="1403"/>
      <c r="D236" s="28" t="s">
        <v>357</v>
      </c>
      <c r="E236" s="94"/>
      <c r="F236" s="97">
        <f>(F235/F233)*100</f>
        <v>12.658227848101266</v>
      </c>
      <c r="G236" s="94"/>
      <c r="H236" s="94"/>
      <c r="I236" s="97">
        <f>I235/I233*100</f>
        <v>8.2872928176795568</v>
      </c>
      <c r="J236" s="94"/>
      <c r="K236" s="28"/>
      <c r="L236" s="21"/>
    </row>
    <row r="237" spans="1:12" hidden="1" x14ac:dyDescent="0.25">
      <c r="A237" s="1815"/>
      <c r="B237" s="1393"/>
      <c r="C237" s="1403" t="s">
        <v>400</v>
      </c>
      <c r="D237" s="144" t="s">
        <v>251</v>
      </c>
      <c r="E237" s="94"/>
      <c r="F237" s="80">
        <v>400</v>
      </c>
      <c r="G237" s="80"/>
      <c r="H237" s="80"/>
      <c r="I237" s="80">
        <v>270</v>
      </c>
      <c r="J237" s="94"/>
      <c r="K237" s="28"/>
      <c r="L237" s="21"/>
    </row>
    <row r="238" spans="1:12" hidden="1" x14ac:dyDescent="0.25">
      <c r="A238" s="1815"/>
      <c r="B238" s="1393"/>
      <c r="C238" s="1403"/>
      <c r="D238" s="28" t="s">
        <v>257</v>
      </c>
      <c r="E238" s="94"/>
      <c r="F238" s="80">
        <v>370</v>
      </c>
      <c r="G238" s="80"/>
      <c r="H238" s="80"/>
      <c r="I238" s="80">
        <v>246</v>
      </c>
      <c r="J238" s="94"/>
      <c r="K238" s="28"/>
      <c r="L238" s="21"/>
    </row>
    <row r="239" spans="1:12" hidden="1" x14ac:dyDescent="0.25">
      <c r="A239" s="1815"/>
      <c r="B239" s="1393"/>
      <c r="C239" s="1403"/>
      <c r="D239" s="28" t="s">
        <v>263</v>
      </c>
      <c r="E239" s="94"/>
      <c r="F239" s="80">
        <v>30</v>
      </c>
      <c r="G239" s="80"/>
      <c r="H239" s="80"/>
      <c r="I239" s="80">
        <v>24</v>
      </c>
      <c r="J239" s="94"/>
      <c r="K239" s="28"/>
      <c r="L239" s="21"/>
    </row>
    <row r="240" spans="1:12" hidden="1" x14ac:dyDescent="0.25">
      <c r="A240" s="1815"/>
      <c r="B240" s="1393"/>
      <c r="C240" s="1403"/>
      <c r="D240" s="28" t="s">
        <v>357</v>
      </c>
      <c r="E240" s="94"/>
      <c r="F240" s="97">
        <f>(F239/F237)*100</f>
        <v>7.5</v>
      </c>
      <c r="G240" s="94"/>
      <c r="H240" s="94"/>
      <c r="I240" s="97">
        <f>I239/I237*100</f>
        <v>8.8888888888888893</v>
      </c>
      <c r="J240" s="94"/>
      <c r="K240" s="28"/>
      <c r="L240" s="21"/>
    </row>
    <row r="241" spans="1:12" ht="14.85" hidden="1" customHeight="1" x14ac:dyDescent="0.25">
      <c r="A241" s="1815"/>
      <c r="B241" s="1393"/>
      <c r="C241" s="1403" t="s">
        <v>401</v>
      </c>
      <c r="D241" s="144" t="s">
        <v>251</v>
      </c>
      <c r="E241" s="94"/>
      <c r="F241" s="80">
        <v>280</v>
      </c>
      <c r="G241" s="80"/>
      <c r="H241" s="80"/>
      <c r="I241" s="80">
        <v>114</v>
      </c>
      <c r="J241" s="94"/>
      <c r="K241" s="28"/>
      <c r="L241" s="21"/>
    </row>
    <row r="242" spans="1:12" hidden="1" x14ac:dyDescent="0.25">
      <c r="A242" s="1815"/>
      <c r="B242" s="1393"/>
      <c r="C242" s="1403"/>
      <c r="D242" s="28" t="s">
        <v>257</v>
      </c>
      <c r="E242" s="94"/>
      <c r="F242" s="80">
        <v>240</v>
      </c>
      <c r="G242" s="80"/>
      <c r="H242" s="80"/>
      <c r="I242" s="80">
        <v>108</v>
      </c>
      <c r="J242" s="94"/>
      <c r="K242" s="28"/>
      <c r="L242" s="21"/>
    </row>
    <row r="243" spans="1:12" hidden="1" x14ac:dyDescent="0.25">
      <c r="A243" s="1815"/>
      <c r="B243" s="1393"/>
      <c r="C243" s="1403"/>
      <c r="D243" s="28" t="s">
        <v>263</v>
      </c>
      <c r="E243" s="94"/>
      <c r="F243" s="80">
        <v>40</v>
      </c>
      <c r="G243" s="80"/>
      <c r="H243" s="80"/>
      <c r="I243" s="80">
        <v>9</v>
      </c>
      <c r="J243" s="94"/>
      <c r="K243" s="28"/>
      <c r="L243" s="21"/>
    </row>
    <row r="244" spans="1:12" hidden="1" x14ac:dyDescent="0.25">
      <c r="A244" s="1815"/>
      <c r="B244" s="1393"/>
      <c r="C244" s="1403"/>
      <c r="D244" s="28" t="s">
        <v>357</v>
      </c>
      <c r="E244" s="94"/>
      <c r="F244" s="97">
        <f>(F243/F241)*100</f>
        <v>14.285714285714285</v>
      </c>
      <c r="G244" s="94"/>
      <c r="H244" s="94"/>
      <c r="I244" s="97">
        <f>I243/I241*100</f>
        <v>7.8947368421052628</v>
      </c>
      <c r="J244" s="94"/>
      <c r="K244" s="28"/>
      <c r="L244" s="21"/>
    </row>
    <row r="245" spans="1:12" hidden="1" x14ac:dyDescent="0.25">
      <c r="A245" s="1815"/>
      <c r="B245" s="1393"/>
      <c r="C245" s="1403" t="s">
        <v>402</v>
      </c>
      <c r="D245" s="144" t="s">
        <v>251</v>
      </c>
      <c r="E245" s="94"/>
      <c r="F245" s="80">
        <v>350</v>
      </c>
      <c r="G245" s="80"/>
      <c r="H245" s="80"/>
      <c r="I245" s="80">
        <v>282</v>
      </c>
      <c r="J245" s="94"/>
      <c r="K245" s="28"/>
      <c r="L245" s="21"/>
    </row>
    <row r="246" spans="1:12" hidden="1" x14ac:dyDescent="0.25">
      <c r="A246" s="1815"/>
      <c r="B246" s="1393"/>
      <c r="C246" s="1403"/>
      <c r="D246" s="28" t="s">
        <v>257</v>
      </c>
      <c r="E246" s="94"/>
      <c r="F246" s="80">
        <v>315</v>
      </c>
      <c r="G246" s="80"/>
      <c r="H246" s="80"/>
      <c r="I246" s="80">
        <v>264</v>
      </c>
      <c r="J246" s="94"/>
      <c r="K246" s="28"/>
      <c r="L246" s="21"/>
    </row>
    <row r="247" spans="1:12" hidden="1" x14ac:dyDescent="0.25">
      <c r="A247" s="1815"/>
      <c r="B247" s="1393"/>
      <c r="C247" s="1403"/>
      <c r="D247" s="28" t="s">
        <v>263</v>
      </c>
      <c r="E247" s="94"/>
      <c r="F247" s="80">
        <v>30</v>
      </c>
      <c r="G247" s="80"/>
      <c r="H247" s="80"/>
      <c r="I247" s="80">
        <v>18</v>
      </c>
      <c r="J247" s="94"/>
      <c r="K247" s="28"/>
      <c r="L247" s="21"/>
    </row>
    <row r="248" spans="1:12" hidden="1" x14ac:dyDescent="0.25">
      <c r="A248" s="1815"/>
      <c r="B248" s="1393"/>
      <c r="C248" s="1403"/>
      <c r="D248" s="28" t="s">
        <v>357</v>
      </c>
      <c r="E248" s="94"/>
      <c r="F248" s="97">
        <f>(F247/F245)*100</f>
        <v>8.5714285714285712</v>
      </c>
      <c r="G248" s="94"/>
      <c r="H248" s="94"/>
      <c r="I248" s="97">
        <f>I247/I245*100</f>
        <v>6.3829787234042552</v>
      </c>
      <c r="J248" s="94"/>
      <c r="K248" s="28"/>
      <c r="L248" s="21"/>
    </row>
    <row r="249" spans="1:12" hidden="1" x14ac:dyDescent="0.25">
      <c r="A249" s="1815"/>
      <c r="B249" s="1393"/>
      <c r="C249" s="1403" t="s">
        <v>403</v>
      </c>
      <c r="D249" s="144" t="s">
        <v>251</v>
      </c>
      <c r="E249" s="94"/>
      <c r="F249" s="80">
        <v>395</v>
      </c>
      <c r="G249" s="80"/>
      <c r="H249" s="80"/>
      <c r="I249" s="80">
        <v>393</v>
      </c>
      <c r="J249" s="94"/>
      <c r="K249" s="28"/>
      <c r="L249" s="21"/>
    </row>
    <row r="250" spans="1:12" hidden="1" x14ac:dyDescent="0.25">
      <c r="A250" s="1815"/>
      <c r="B250" s="1393"/>
      <c r="C250" s="1403"/>
      <c r="D250" s="28" t="s">
        <v>257</v>
      </c>
      <c r="E250" s="94"/>
      <c r="F250" s="80">
        <v>375</v>
      </c>
      <c r="G250" s="80"/>
      <c r="H250" s="80"/>
      <c r="I250" s="80">
        <v>354</v>
      </c>
      <c r="J250" s="94"/>
      <c r="K250" s="28"/>
      <c r="L250" s="21"/>
    </row>
    <row r="251" spans="1:12" hidden="1" x14ac:dyDescent="0.25">
      <c r="A251" s="1815"/>
      <c r="B251" s="1393"/>
      <c r="C251" s="1403"/>
      <c r="D251" s="28" t="s">
        <v>263</v>
      </c>
      <c r="E251" s="94"/>
      <c r="F251" s="80">
        <v>20</v>
      </c>
      <c r="G251" s="80"/>
      <c r="H251" s="80"/>
      <c r="I251" s="80">
        <v>39</v>
      </c>
      <c r="J251" s="94"/>
      <c r="K251" s="28"/>
      <c r="L251" s="21"/>
    </row>
    <row r="252" spans="1:12" hidden="1" x14ac:dyDescent="0.25">
      <c r="A252" s="1815"/>
      <c r="B252" s="1393"/>
      <c r="C252" s="1403"/>
      <c r="D252" s="28" t="s">
        <v>357</v>
      </c>
      <c r="E252" s="94"/>
      <c r="F252" s="97">
        <f>(F251/F249)*100</f>
        <v>5.0632911392405067</v>
      </c>
      <c r="G252" s="94"/>
      <c r="H252" s="94"/>
      <c r="I252" s="97">
        <f>I251/I249*100</f>
        <v>9.9236641221374047</v>
      </c>
      <c r="J252" s="94"/>
      <c r="K252" s="28"/>
      <c r="L252" s="21"/>
    </row>
    <row r="253" spans="1:12" hidden="1" x14ac:dyDescent="0.25">
      <c r="A253" s="1815"/>
      <c r="B253" s="1393"/>
      <c r="C253" s="1403" t="s">
        <v>404</v>
      </c>
      <c r="D253" s="144" t="s">
        <v>251</v>
      </c>
      <c r="E253" s="94"/>
      <c r="F253" s="80">
        <v>190</v>
      </c>
      <c r="G253" s="80"/>
      <c r="H253" s="80"/>
      <c r="I253" s="80">
        <v>108</v>
      </c>
      <c r="J253" s="94"/>
      <c r="K253" s="28"/>
      <c r="L253" s="21"/>
    </row>
    <row r="254" spans="1:12" ht="14.85" hidden="1" customHeight="1" x14ac:dyDescent="0.25">
      <c r="A254" s="1815"/>
      <c r="B254" s="1393"/>
      <c r="C254" s="1403"/>
      <c r="D254" s="28" t="s">
        <v>257</v>
      </c>
      <c r="E254" s="94"/>
      <c r="F254" s="80">
        <v>155</v>
      </c>
      <c r="G254" s="80"/>
      <c r="H254" s="80"/>
      <c r="I254" s="80">
        <v>87</v>
      </c>
      <c r="J254" s="94"/>
      <c r="K254" s="28"/>
      <c r="L254" s="21"/>
    </row>
    <row r="255" spans="1:12" hidden="1" x14ac:dyDescent="0.25">
      <c r="A255" s="1815"/>
      <c r="B255" s="1393"/>
      <c r="C255" s="1403"/>
      <c r="D255" s="28" t="s">
        <v>263</v>
      </c>
      <c r="E255" s="94"/>
      <c r="F255" s="80">
        <v>35</v>
      </c>
      <c r="G255" s="80"/>
      <c r="H255" s="80"/>
      <c r="I255" s="80">
        <v>21</v>
      </c>
      <c r="J255" s="94"/>
      <c r="K255" s="28"/>
      <c r="L255" s="21"/>
    </row>
    <row r="256" spans="1:12" hidden="1" x14ac:dyDescent="0.25">
      <c r="A256" s="1815"/>
      <c r="B256" s="1393"/>
      <c r="C256" s="1403"/>
      <c r="D256" s="28" t="s">
        <v>357</v>
      </c>
      <c r="E256" s="94"/>
      <c r="F256" s="97">
        <f>(F255/F253)*100</f>
        <v>18.421052631578945</v>
      </c>
      <c r="G256" s="94"/>
      <c r="H256" s="94"/>
      <c r="I256" s="97">
        <f>I255/I253*100</f>
        <v>19.444444444444446</v>
      </c>
      <c r="J256" s="94"/>
      <c r="K256" s="28"/>
      <c r="L256" s="21"/>
    </row>
    <row r="257" spans="1:12" hidden="1" x14ac:dyDescent="0.25">
      <c r="A257" s="1815"/>
      <c r="B257" s="1393"/>
      <c r="C257" s="1403" t="s">
        <v>405</v>
      </c>
      <c r="D257" s="144" t="s">
        <v>251</v>
      </c>
      <c r="E257" s="94"/>
      <c r="F257" s="80">
        <v>90</v>
      </c>
      <c r="G257" s="80"/>
      <c r="H257" s="80"/>
      <c r="I257" s="80">
        <v>75</v>
      </c>
      <c r="J257" s="94"/>
      <c r="K257" s="28"/>
      <c r="L257" s="21"/>
    </row>
    <row r="258" spans="1:12" hidden="1" x14ac:dyDescent="0.25">
      <c r="A258" s="1815"/>
      <c r="B258" s="1393"/>
      <c r="C258" s="1403"/>
      <c r="D258" s="28" t="s">
        <v>257</v>
      </c>
      <c r="E258" s="94"/>
      <c r="F258" s="80">
        <v>90</v>
      </c>
      <c r="G258" s="80"/>
      <c r="H258" s="80"/>
      <c r="I258" s="80">
        <v>57</v>
      </c>
      <c r="J258" s="94"/>
      <c r="K258" s="28"/>
      <c r="L258" s="21"/>
    </row>
    <row r="259" spans="1:12" hidden="1" x14ac:dyDescent="0.25">
      <c r="A259" s="1815"/>
      <c r="B259" s="1393"/>
      <c r="C259" s="1403"/>
      <c r="D259" s="28" t="s">
        <v>263</v>
      </c>
      <c r="E259" s="94"/>
      <c r="F259" s="80">
        <v>0</v>
      </c>
      <c r="G259" s="80"/>
      <c r="H259" s="80"/>
      <c r="I259" s="80">
        <v>18</v>
      </c>
      <c r="J259" s="94"/>
      <c r="K259" s="28"/>
      <c r="L259" s="21"/>
    </row>
    <row r="260" spans="1:12" hidden="1" x14ac:dyDescent="0.25">
      <c r="A260" s="1815"/>
      <c r="B260" s="1393"/>
      <c r="C260" s="1403"/>
      <c r="D260" s="28" t="s">
        <v>357</v>
      </c>
      <c r="E260" s="94"/>
      <c r="F260" s="97">
        <f>(F259/F257)*100</f>
        <v>0</v>
      </c>
      <c r="G260" s="94"/>
      <c r="H260" s="94"/>
      <c r="I260" s="97">
        <f>I259/I257*100</f>
        <v>24</v>
      </c>
      <c r="J260" s="94"/>
      <c r="K260" s="28"/>
      <c r="L260" s="21"/>
    </row>
    <row r="261" spans="1:12" hidden="1" x14ac:dyDescent="0.25">
      <c r="A261" s="1815"/>
      <c r="B261" s="1393"/>
      <c r="C261" s="1403" t="s">
        <v>406</v>
      </c>
      <c r="D261" s="144" t="s">
        <v>251</v>
      </c>
      <c r="E261" s="94"/>
      <c r="F261" s="80">
        <v>120</v>
      </c>
      <c r="G261" s="80"/>
      <c r="H261" s="80"/>
      <c r="I261" s="80">
        <v>126</v>
      </c>
      <c r="J261" s="94"/>
      <c r="K261" s="28"/>
      <c r="L261" s="21"/>
    </row>
    <row r="262" spans="1:12" hidden="1" x14ac:dyDescent="0.25">
      <c r="A262" s="1815"/>
      <c r="B262" s="1393"/>
      <c r="C262" s="1403"/>
      <c r="D262" s="28" t="s">
        <v>257</v>
      </c>
      <c r="E262" s="94"/>
      <c r="F262" s="80">
        <v>45</v>
      </c>
      <c r="G262" s="80"/>
      <c r="H262" s="80"/>
      <c r="I262" s="80">
        <v>87</v>
      </c>
      <c r="J262" s="94"/>
      <c r="K262" s="28"/>
      <c r="L262" s="21"/>
    </row>
    <row r="263" spans="1:12" hidden="1" x14ac:dyDescent="0.25">
      <c r="A263" s="1815"/>
      <c r="B263" s="1393"/>
      <c r="C263" s="1403"/>
      <c r="D263" s="28" t="s">
        <v>263</v>
      </c>
      <c r="E263" s="94"/>
      <c r="F263" s="80">
        <v>75</v>
      </c>
      <c r="G263" s="80"/>
      <c r="H263" s="80"/>
      <c r="I263" s="80">
        <v>36</v>
      </c>
      <c r="J263" s="94"/>
      <c r="K263" s="28"/>
      <c r="L263" s="21"/>
    </row>
    <row r="264" spans="1:12" hidden="1" x14ac:dyDescent="0.25">
      <c r="A264" s="1815"/>
      <c r="B264" s="1393"/>
      <c r="C264" s="1403"/>
      <c r="D264" s="28" t="s">
        <v>357</v>
      </c>
      <c r="E264" s="94"/>
      <c r="F264" s="99">
        <f>(F263/F261)*100</f>
        <v>62.5</v>
      </c>
      <c r="G264" s="94"/>
      <c r="H264" s="94"/>
      <c r="I264" s="97">
        <f>I263/I261*100</f>
        <v>28.571428571428569</v>
      </c>
      <c r="J264" s="94"/>
      <c r="K264" s="28"/>
      <c r="L264" s="21"/>
    </row>
    <row r="265" spans="1:12" hidden="1" x14ac:dyDescent="0.25">
      <c r="A265" s="1815"/>
      <c r="B265" s="1393"/>
      <c r="C265" s="1403" t="s">
        <v>407</v>
      </c>
      <c r="D265" s="144" t="s">
        <v>251</v>
      </c>
      <c r="E265" s="94"/>
      <c r="F265" s="80">
        <v>170</v>
      </c>
      <c r="G265" s="80"/>
      <c r="H265" s="80"/>
      <c r="I265" s="80">
        <v>117</v>
      </c>
      <c r="J265" s="94"/>
      <c r="K265" s="28"/>
      <c r="L265" s="21"/>
    </row>
    <row r="266" spans="1:12" hidden="1" x14ac:dyDescent="0.25">
      <c r="A266" s="1815"/>
      <c r="B266" s="1393"/>
      <c r="C266" s="1403"/>
      <c r="D266" s="28" t="s">
        <v>257</v>
      </c>
      <c r="E266" s="94"/>
      <c r="F266" s="80">
        <v>70</v>
      </c>
      <c r="G266" s="80"/>
      <c r="H266" s="80"/>
      <c r="I266" s="80">
        <v>93</v>
      </c>
      <c r="J266" s="94"/>
      <c r="K266" s="28"/>
      <c r="L266" s="21"/>
    </row>
    <row r="267" spans="1:12" hidden="1" x14ac:dyDescent="0.25">
      <c r="A267" s="1815"/>
      <c r="B267" s="1393"/>
      <c r="C267" s="1403"/>
      <c r="D267" s="28" t="s">
        <v>263</v>
      </c>
      <c r="E267" s="94"/>
      <c r="F267" s="80">
        <v>100</v>
      </c>
      <c r="G267" s="80"/>
      <c r="H267" s="80"/>
      <c r="I267" s="80">
        <v>27</v>
      </c>
      <c r="J267" s="94"/>
      <c r="K267" s="28"/>
      <c r="L267" s="21"/>
    </row>
    <row r="268" spans="1:12" hidden="1" x14ac:dyDescent="0.25">
      <c r="A268" s="1815"/>
      <c r="B268" s="1393"/>
      <c r="C268" s="1403"/>
      <c r="D268" s="28" t="s">
        <v>357</v>
      </c>
      <c r="E268" s="94"/>
      <c r="F268" s="98">
        <f>(F267/F265)*100</f>
        <v>58.82352941176471</v>
      </c>
      <c r="G268" s="94"/>
      <c r="H268" s="94"/>
      <c r="I268" s="97">
        <f>I267/I265*100</f>
        <v>23.076923076923077</v>
      </c>
      <c r="J268" s="94"/>
      <c r="K268" s="28"/>
      <c r="L268" s="21"/>
    </row>
    <row r="269" spans="1:12" hidden="1" x14ac:dyDescent="0.25">
      <c r="A269" s="1815"/>
      <c r="B269" s="1393"/>
      <c r="C269" s="1403" t="s">
        <v>408</v>
      </c>
      <c r="D269" s="144" t="s">
        <v>251</v>
      </c>
      <c r="E269" s="94"/>
      <c r="F269" s="80">
        <v>65</v>
      </c>
      <c r="G269" s="80"/>
      <c r="H269" s="80"/>
      <c r="I269" s="80">
        <v>57</v>
      </c>
      <c r="J269" s="94"/>
      <c r="K269" s="28"/>
      <c r="L269" s="21"/>
    </row>
    <row r="270" spans="1:12" hidden="1" x14ac:dyDescent="0.25">
      <c r="A270" s="1815"/>
      <c r="B270" s="1393"/>
      <c r="C270" s="1403"/>
      <c r="D270" s="28" t="s">
        <v>257</v>
      </c>
      <c r="E270" s="94"/>
      <c r="F270" s="80">
        <v>65</v>
      </c>
      <c r="G270" s="80"/>
      <c r="H270" s="80"/>
      <c r="I270" s="80">
        <v>51</v>
      </c>
      <c r="J270" s="94"/>
      <c r="K270" s="28"/>
      <c r="L270" s="21"/>
    </row>
    <row r="271" spans="1:12" hidden="1" x14ac:dyDescent="0.25">
      <c r="A271" s="1815"/>
      <c r="B271" s="1393"/>
      <c r="C271" s="1403"/>
      <c r="D271" s="28" t="s">
        <v>263</v>
      </c>
      <c r="E271" s="94"/>
      <c r="F271" s="80">
        <v>0</v>
      </c>
      <c r="G271" s="80"/>
      <c r="H271" s="80"/>
      <c r="I271" s="80">
        <v>9</v>
      </c>
      <c r="J271" s="94"/>
      <c r="K271" s="28"/>
      <c r="L271" s="21"/>
    </row>
    <row r="272" spans="1:12" hidden="1" x14ac:dyDescent="0.25">
      <c r="A272" s="1815"/>
      <c r="B272" s="1393"/>
      <c r="C272" s="1403"/>
      <c r="D272" s="28" t="s">
        <v>357</v>
      </c>
      <c r="E272" s="94"/>
      <c r="F272" s="97">
        <f>(F271/F269)*100</f>
        <v>0</v>
      </c>
      <c r="G272" s="94"/>
      <c r="H272" s="94"/>
      <c r="I272" s="97">
        <f>I271/I269*100</f>
        <v>15.789473684210526</v>
      </c>
      <c r="J272" s="94"/>
      <c r="K272" s="28"/>
      <c r="L272" s="21"/>
    </row>
    <row r="273" spans="1:12" ht="14.85" hidden="1" customHeight="1" x14ac:dyDescent="0.25">
      <c r="A273" s="1815"/>
      <c r="B273" s="1393"/>
      <c r="C273" s="1403" t="s">
        <v>409</v>
      </c>
      <c r="D273" s="144" t="s">
        <v>251</v>
      </c>
      <c r="E273" s="94"/>
      <c r="F273" s="80">
        <v>125</v>
      </c>
      <c r="G273" s="80"/>
      <c r="H273" s="80"/>
      <c r="I273" s="80">
        <v>102</v>
      </c>
      <c r="J273" s="94"/>
      <c r="K273" s="28"/>
      <c r="L273" s="21"/>
    </row>
    <row r="274" spans="1:12" ht="14.85" hidden="1" customHeight="1" x14ac:dyDescent="0.25">
      <c r="A274" s="1815"/>
      <c r="B274" s="1393"/>
      <c r="C274" s="1403"/>
      <c r="D274" s="28" t="s">
        <v>257</v>
      </c>
      <c r="E274" s="94"/>
      <c r="F274" s="80">
        <v>125</v>
      </c>
      <c r="G274" s="80"/>
      <c r="H274" s="80"/>
      <c r="I274" s="80">
        <v>96</v>
      </c>
      <c r="J274" s="94"/>
      <c r="K274" s="28"/>
      <c r="L274" s="21"/>
    </row>
    <row r="275" spans="1:12" hidden="1" x14ac:dyDescent="0.25">
      <c r="A275" s="1815"/>
      <c r="B275" s="1393"/>
      <c r="C275" s="1403"/>
      <c r="D275" s="28" t="s">
        <v>263</v>
      </c>
      <c r="E275" s="94"/>
      <c r="F275" s="80">
        <v>0</v>
      </c>
      <c r="G275" s="80"/>
      <c r="H275" s="80"/>
      <c r="I275" s="80">
        <v>6</v>
      </c>
      <c r="J275" s="94"/>
      <c r="K275" s="28"/>
      <c r="L275" s="21"/>
    </row>
    <row r="276" spans="1:12" hidden="1" x14ac:dyDescent="0.25">
      <c r="A276" s="1815"/>
      <c r="B276" s="1393"/>
      <c r="C276" s="1403"/>
      <c r="D276" s="28" t="s">
        <v>357</v>
      </c>
      <c r="E276" s="94"/>
      <c r="F276" s="97">
        <f>(F275/F273)*100</f>
        <v>0</v>
      </c>
      <c r="G276" s="94"/>
      <c r="H276" s="94"/>
      <c r="I276" s="97">
        <f>I275/I273*100</f>
        <v>5.8823529411764701</v>
      </c>
      <c r="J276" s="94"/>
      <c r="K276" s="28"/>
      <c r="L276" s="21"/>
    </row>
    <row r="277" spans="1:12" hidden="1" x14ac:dyDescent="0.25">
      <c r="A277" s="1815"/>
      <c r="B277" s="1393"/>
      <c r="C277" s="1403" t="s">
        <v>410</v>
      </c>
      <c r="D277" s="144" t="s">
        <v>251</v>
      </c>
      <c r="E277" s="94"/>
      <c r="F277" s="80">
        <v>1105</v>
      </c>
      <c r="G277" s="80"/>
      <c r="H277" s="80"/>
      <c r="I277" s="80">
        <v>1176</v>
      </c>
      <c r="J277" s="94"/>
      <c r="K277" s="28"/>
      <c r="L277" s="21"/>
    </row>
    <row r="278" spans="1:12" hidden="1" x14ac:dyDescent="0.25">
      <c r="A278" s="1815"/>
      <c r="B278" s="1393"/>
      <c r="C278" s="1403"/>
      <c r="D278" s="28" t="s">
        <v>257</v>
      </c>
      <c r="E278" s="94"/>
      <c r="F278" s="80">
        <v>1050</v>
      </c>
      <c r="G278" s="80"/>
      <c r="H278" s="80"/>
      <c r="I278" s="80">
        <v>1092</v>
      </c>
      <c r="J278" s="94"/>
      <c r="K278" s="28"/>
      <c r="L278" s="21"/>
    </row>
    <row r="279" spans="1:12" hidden="1" x14ac:dyDescent="0.25">
      <c r="A279" s="1815"/>
      <c r="B279" s="1393"/>
      <c r="C279" s="1403"/>
      <c r="D279" s="28" t="s">
        <v>263</v>
      </c>
      <c r="E279" s="94"/>
      <c r="F279" s="80">
        <v>55</v>
      </c>
      <c r="G279" s="80"/>
      <c r="H279" s="80"/>
      <c r="I279" s="80">
        <v>87</v>
      </c>
      <c r="J279" s="94"/>
      <c r="K279" s="28"/>
      <c r="L279" s="21"/>
    </row>
    <row r="280" spans="1:12" hidden="1" x14ac:dyDescent="0.25">
      <c r="A280" s="1815"/>
      <c r="B280" s="1393"/>
      <c r="C280" s="1403"/>
      <c r="D280" s="28" t="s">
        <v>357</v>
      </c>
      <c r="E280" s="94"/>
      <c r="F280" s="97">
        <f>(F279/F277)*100</f>
        <v>4.9773755656108598</v>
      </c>
      <c r="G280" s="94"/>
      <c r="H280" s="94"/>
      <c r="I280" s="97">
        <f>I279/I277*100</f>
        <v>7.3979591836734695</v>
      </c>
      <c r="J280" s="94"/>
      <c r="K280" s="28"/>
      <c r="L280" s="21"/>
    </row>
    <row r="281" spans="1:12" hidden="1" x14ac:dyDescent="0.25">
      <c r="A281" s="1815"/>
      <c r="B281" s="1393"/>
      <c r="C281" s="1403" t="s">
        <v>411</v>
      </c>
      <c r="D281" s="144" t="s">
        <v>251</v>
      </c>
      <c r="E281" s="94"/>
      <c r="F281" s="80">
        <v>850</v>
      </c>
      <c r="G281" s="80"/>
      <c r="H281" s="80"/>
      <c r="I281" s="80">
        <v>1344</v>
      </c>
      <c r="J281" s="94"/>
      <c r="K281" s="28"/>
      <c r="L281" s="21"/>
    </row>
    <row r="282" spans="1:12" hidden="1" x14ac:dyDescent="0.25">
      <c r="A282" s="1815"/>
      <c r="B282" s="1393"/>
      <c r="C282" s="1403"/>
      <c r="D282" s="28" t="s">
        <v>257</v>
      </c>
      <c r="E282" s="94"/>
      <c r="F282" s="80">
        <v>40</v>
      </c>
      <c r="G282" s="80"/>
      <c r="H282" s="80"/>
      <c r="I282" s="80">
        <v>48</v>
      </c>
      <c r="J282" s="94"/>
      <c r="K282" s="28"/>
      <c r="L282" s="21"/>
    </row>
    <row r="283" spans="1:12" hidden="1" x14ac:dyDescent="0.25">
      <c r="A283" s="1815"/>
      <c r="B283" s="1393"/>
      <c r="C283" s="1403"/>
      <c r="D283" s="28" t="s">
        <v>263</v>
      </c>
      <c r="E283" s="94"/>
      <c r="F283" s="80">
        <v>810</v>
      </c>
      <c r="G283" s="80"/>
      <c r="H283" s="80"/>
      <c r="I283" s="80">
        <v>1296</v>
      </c>
      <c r="J283" s="94"/>
      <c r="K283" s="28"/>
      <c r="L283" s="21"/>
    </row>
    <row r="284" spans="1:12" hidden="1" x14ac:dyDescent="0.25">
      <c r="A284" s="1815"/>
      <c r="B284" s="1393"/>
      <c r="C284" s="1403"/>
      <c r="D284" s="28" t="s">
        <v>357</v>
      </c>
      <c r="E284" s="94"/>
      <c r="F284" s="99">
        <f>(F283/F281)*100</f>
        <v>95.294117647058812</v>
      </c>
      <c r="G284" s="94"/>
      <c r="H284" s="94"/>
      <c r="I284" s="99">
        <f>I283/I281*100</f>
        <v>96.428571428571431</v>
      </c>
      <c r="J284" s="94"/>
      <c r="K284" s="28"/>
      <c r="L284" s="21"/>
    </row>
    <row r="285" spans="1:12" hidden="1" x14ac:dyDescent="0.25">
      <c r="A285" s="1815"/>
      <c r="B285" s="1393"/>
      <c r="C285" s="1403" t="s">
        <v>412</v>
      </c>
      <c r="D285" s="144" t="s">
        <v>251</v>
      </c>
      <c r="E285" s="94"/>
      <c r="F285" s="80">
        <v>1235</v>
      </c>
      <c r="G285" s="80"/>
      <c r="H285" s="80"/>
      <c r="I285" s="80">
        <v>1407</v>
      </c>
      <c r="J285" s="94"/>
      <c r="K285" s="28"/>
      <c r="L285" s="21"/>
    </row>
    <row r="286" spans="1:12" hidden="1" x14ac:dyDescent="0.25">
      <c r="A286" s="1815"/>
      <c r="B286" s="1393"/>
      <c r="C286" s="1403"/>
      <c r="D286" s="28" t="s">
        <v>257</v>
      </c>
      <c r="E286" s="94"/>
      <c r="F286" s="80">
        <v>230</v>
      </c>
      <c r="G286" s="80"/>
      <c r="H286" s="80"/>
      <c r="I286" s="80">
        <v>324</v>
      </c>
      <c r="J286" s="94"/>
      <c r="K286" s="28"/>
      <c r="L286" s="21"/>
    </row>
    <row r="287" spans="1:12" hidden="1" x14ac:dyDescent="0.25">
      <c r="A287" s="1815"/>
      <c r="B287" s="1393"/>
      <c r="C287" s="1403"/>
      <c r="D287" s="28" t="s">
        <v>263</v>
      </c>
      <c r="E287" s="94"/>
      <c r="F287" s="80">
        <v>1005</v>
      </c>
      <c r="G287" s="80"/>
      <c r="H287" s="80"/>
      <c r="I287" s="80">
        <v>1086</v>
      </c>
      <c r="J287" s="94"/>
      <c r="K287" s="28"/>
      <c r="L287" s="21"/>
    </row>
    <row r="288" spans="1:12" hidden="1" x14ac:dyDescent="0.25">
      <c r="A288" s="1815"/>
      <c r="B288" s="1393"/>
      <c r="C288" s="1403"/>
      <c r="D288" s="28" t="s">
        <v>357</v>
      </c>
      <c r="E288" s="94"/>
      <c r="F288" s="99">
        <f>(F287/F285)*100</f>
        <v>81.376518218623488</v>
      </c>
      <c r="G288" s="94"/>
      <c r="H288" s="94"/>
      <c r="I288" s="99">
        <f>I287/I285*100</f>
        <v>77.185501066098084</v>
      </c>
      <c r="J288" s="94"/>
      <c r="K288" s="28"/>
      <c r="L288" s="21"/>
    </row>
    <row r="289" spans="1:12" hidden="1" x14ac:dyDescent="0.25">
      <c r="A289" s="1815"/>
      <c r="B289" s="1393"/>
      <c r="C289" s="1403" t="s">
        <v>413</v>
      </c>
      <c r="D289" s="144" t="s">
        <v>251</v>
      </c>
      <c r="E289" s="94"/>
      <c r="F289" s="80">
        <v>285</v>
      </c>
      <c r="G289" s="80"/>
      <c r="H289" s="80"/>
      <c r="I289" s="80">
        <v>138</v>
      </c>
      <c r="J289" s="94"/>
      <c r="K289" s="28"/>
      <c r="L289" s="21"/>
    </row>
    <row r="290" spans="1:12" ht="14.85" hidden="1" customHeight="1" x14ac:dyDescent="0.25">
      <c r="A290" s="1815"/>
      <c r="B290" s="1393"/>
      <c r="C290" s="1403"/>
      <c r="D290" s="28" t="s">
        <v>257</v>
      </c>
      <c r="E290" s="94"/>
      <c r="F290" s="80">
        <v>70</v>
      </c>
      <c r="G290" s="80"/>
      <c r="H290" s="80"/>
      <c r="I290" s="80">
        <v>72</v>
      </c>
      <c r="J290" s="94"/>
      <c r="K290" s="28"/>
      <c r="L290" s="21"/>
    </row>
    <row r="291" spans="1:12" hidden="1" x14ac:dyDescent="0.25">
      <c r="A291" s="1815"/>
      <c r="B291" s="1393"/>
      <c r="C291" s="1403"/>
      <c r="D291" s="28" t="s">
        <v>263</v>
      </c>
      <c r="E291" s="94"/>
      <c r="F291" s="80">
        <v>215</v>
      </c>
      <c r="G291" s="80"/>
      <c r="H291" s="80"/>
      <c r="I291" s="80">
        <v>66</v>
      </c>
      <c r="J291" s="94"/>
      <c r="K291" s="28"/>
      <c r="L291" s="21"/>
    </row>
    <row r="292" spans="1:12" hidden="1" x14ac:dyDescent="0.25">
      <c r="A292" s="1815"/>
      <c r="B292" s="1393"/>
      <c r="C292" s="1403"/>
      <c r="D292" s="28" t="s">
        <v>357</v>
      </c>
      <c r="E292" s="94"/>
      <c r="F292" s="99">
        <f>(F291/F289)*100</f>
        <v>75.438596491228068</v>
      </c>
      <c r="G292" s="94"/>
      <c r="H292" s="94"/>
      <c r="I292" s="98">
        <f>I291/I289*100</f>
        <v>47.826086956521742</v>
      </c>
      <c r="J292" s="94"/>
      <c r="K292" s="28"/>
      <c r="L292" s="21"/>
    </row>
    <row r="293" spans="1:12" ht="14.85" hidden="1" customHeight="1" x14ac:dyDescent="0.25">
      <c r="A293" s="1815"/>
      <c r="B293" s="1393"/>
      <c r="C293" s="1403" t="s">
        <v>414</v>
      </c>
      <c r="D293" s="144" t="s">
        <v>251</v>
      </c>
      <c r="E293" s="94"/>
      <c r="F293" s="80">
        <v>415</v>
      </c>
      <c r="G293" s="80"/>
      <c r="H293" s="80"/>
      <c r="I293" s="80">
        <v>417</v>
      </c>
      <c r="J293" s="94"/>
      <c r="K293" s="28"/>
      <c r="L293" s="21"/>
    </row>
    <row r="294" spans="1:12" ht="14.85" hidden="1" customHeight="1" x14ac:dyDescent="0.25">
      <c r="A294" s="1815"/>
      <c r="B294" s="1393"/>
      <c r="C294" s="1403"/>
      <c r="D294" s="28" t="s">
        <v>257</v>
      </c>
      <c r="E294" s="94"/>
      <c r="F294" s="80">
        <v>305</v>
      </c>
      <c r="G294" s="80"/>
      <c r="H294" s="80"/>
      <c r="I294" s="80">
        <v>300</v>
      </c>
      <c r="J294" s="94"/>
      <c r="K294" s="28"/>
      <c r="L294" s="21"/>
    </row>
    <row r="295" spans="1:12" hidden="1" x14ac:dyDescent="0.25">
      <c r="A295" s="1815"/>
      <c r="B295" s="1393"/>
      <c r="C295" s="1403"/>
      <c r="D295" s="28" t="s">
        <v>263</v>
      </c>
      <c r="E295" s="94"/>
      <c r="F295" s="80">
        <v>110</v>
      </c>
      <c r="G295" s="80"/>
      <c r="H295" s="80"/>
      <c r="I295" s="80">
        <v>117</v>
      </c>
      <c r="J295" s="94"/>
      <c r="K295" s="28"/>
      <c r="L295" s="21"/>
    </row>
    <row r="296" spans="1:12" hidden="1" x14ac:dyDescent="0.25">
      <c r="A296" s="1815"/>
      <c r="B296" s="1393"/>
      <c r="C296" s="1403"/>
      <c r="D296" s="28" t="s">
        <v>357</v>
      </c>
      <c r="E296" s="94"/>
      <c r="F296" s="97">
        <f>(F295/F293)*100</f>
        <v>26.506024096385545</v>
      </c>
      <c r="G296" s="94"/>
      <c r="H296" s="94"/>
      <c r="I296" s="97">
        <f>I295/I293*100</f>
        <v>28.057553956834528</v>
      </c>
      <c r="J296" s="94"/>
      <c r="K296" s="28"/>
      <c r="L296" s="21"/>
    </row>
    <row r="297" spans="1:12" hidden="1" x14ac:dyDescent="0.25">
      <c r="A297" s="1815"/>
      <c r="B297" s="1393"/>
      <c r="C297" s="1403" t="s">
        <v>415</v>
      </c>
      <c r="D297" s="144" t="s">
        <v>251</v>
      </c>
      <c r="E297" s="94"/>
      <c r="F297" s="80">
        <v>70</v>
      </c>
      <c r="G297" s="80"/>
      <c r="H297" s="80"/>
      <c r="I297" s="80">
        <v>54</v>
      </c>
      <c r="J297" s="94"/>
      <c r="K297" s="28"/>
      <c r="L297" s="21"/>
    </row>
    <row r="298" spans="1:12" hidden="1" x14ac:dyDescent="0.25">
      <c r="A298" s="1815"/>
      <c r="B298" s="1393"/>
      <c r="C298" s="1403"/>
      <c r="D298" s="28" t="s">
        <v>257</v>
      </c>
      <c r="E298" s="94"/>
      <c r="F298" s="80">
        <v>55</v>
      </c>
      <c r="G298" s="80"/>
      <c r="H298" s="80"/>
      <c r="I298" s="80">
        <v>45</v>
      </c>
      <c r="J298" s="94"/>
      <c r="K298" s="28"/>
      <c r="L298" s="21"/>
    </row>
    <row r="299" spans="1:12" hidden="1" x14ac:dyDescent="0.25">
      <c r="A299" s="1815"/>
      <c r="B299" s="1393"/>
      <c r="C299" s="1403"/>
      <c r="D299" s="28" t="s">
        <v>263</v>
      </c>
      <c r="E299" s="94"/>
      <c r="F299" s="80">
        <v>15</v>
      </c>
      <c r="G299" s="80"/>
      <c r="H299" s="80"/>
      <c r="I299" s="80">
        <v>9</v>
      </c>
      <c r="J299" s="94"/>
      <c r="K299" s="28"/>
      <c r="L299" s="21"/>
    </row>
    <row r="300" spans="1:12" hidden="1" x14ac:dyDescent="0.25">
      <c r="A300" s="1815"/>
      <c r="B300" s="1393"/>
      <c r="C300" s="1403"/>
      <c r="D300" s="28" t="s">
        <v>357</v>
      </c>
      <c r="E300" s="94"/>
      <c r="F300" s="97">
        <f>(F299/F297)*100</f>
        <v>21.428571428571427</v>
      </c>
      <c r="G300" s="94"/>
      <c r="H300" s="94"/>
      <c r="I300" s="97">
        <f>I299/I297*100</f>
        <v>16.666666666666664</v>
      </c>
      <c r="J300" s="94"/>
      <c r="K300" s="28"/>
      <c r="L300" s="21"/>
    </row>
    <row r="301" spans="1:12" hidden="1" x14ac:dyDescent="0.25">
      <c r="A301" s="1815"/>
      <c r="B301" s="1393"/>
      <c r="C301" s="1403" t="s">
        <v>416</v>
      </c>
      <c r="D301" s="144" t="s">
        <v>251</v>
      </c>
      <c r="E301" s="94"/>
      <c r="F301" s="80">
        <v>135</v>
      </c>
      <c r="G301" s="80"/>
      <c r="H301" s="80"/>
      <c r="I301" s="80">
        <v>84</v>
      </c>
      <c r="J301" s="94"/>
      <c r="K301" s="28"/>
      <c r="L301" s="21"/>
    </row>
    <row r="302" spans="1:12" hidden="1" x14ac:dyDescent="0.25">
      <c r="A302" s="1815"/>
      <c r="B302" s="1393"/>
      <c r="C302" s="1403"/>
      <c r="D302" s="28" t="s">
        <v>257</v>
      </c>
      <c r="E302" s="94"/>
      <c r="F302" s="80">
        <v>100</v>
      </c>
      <c r="G302" s="80"/>
      <c r="H302" s="80"/>
      <c r="I302" s="80">
        <v>81</v>
      </c>
      <c r="J302" s="94"/>
      <c r="K302" s="28"/>
      <c r="L302" s="21"/>
    </row>
    <row r="303" spans="1:12" hidden="1" x14ac:dyDescent="0.25">
      <c r="A303" s="1815"/>
      <c r="B303" s="1393"/>
      <c r="C303" s="1403"/>
      <c r="D303" s="28" t="s">
        <v>263</v>
      </c>
      <c r="E303" s="94"/>
      <c r="F303" s="80">
        <v>35</v>
      </c>
      <c r="G303" s="80"/>
      <c r="H303" s="80"/>
      <c r="I303" s="80">
        <v>3</v>
      </c>
      <c r="J303" s="94"/>
      <c r="K303" s="28"/>
      <c r="L303" s="21"/>
    </row>
    <row r="304" spans="1:12" hidden="1" x14ac:dyDescent="0.25">
      <c r="A304" s="1815"/>
      <c r="B304" s="1393"/>
      <c r="C304" s="1403"/>
      <c r="D304" s="28" t="s">
        <v>357</v>
      </c>
      <c r="E304" s="94"/>
      <c r="F304" s="97">
        <f>(F303/F301)*100</f>
        <v>25.925925925925924</v>
      </c>
      <c r="G304" s="94"/>
      <c r="H304" s="94"/>
      <c r="I304" s="97">
        <f>I303/I301*100</f>
        <v>3.5714285714285712</v>
      </c>
      <c r="J304" s="94"/>
      <c r="K304" s="28"/>
      <c r="L304" s="21"/>
    </row>
    <row r="305" spans="1:12" hidden="1" x14ac:dyDescent="0.25">
      <c r="A305" s="1815"/>
      <c r="B305" s="1393"/>
      <c r="C305" s="1403" t="s">
        <v>417</v>
      </c>
      <c r="D305" s="144" t="s">
        <v>251</v>
      </c>
      <c r="E305" s="94"/>
      <c r="F305" s="80">
        <v>125</v>
      </c>
      <c r="G305" s="80"/>
      <c r="H305" s="80"/>
      <c r="I305" s="80">
        <v>189</v>
      </c>
      <c r="J305" s="94"/>
      <c r="K305" s="28"/>
      <c r="L305" s="21"/>
    </row>
    <row r="306" spans="1:12" hidden="1" x14ac:dyDescent="0.25">
      <c r="A306" s="1815"/>
      <c r="B306" s="1393"/>
      <c r="C306" s="1403"/>
      <c r="D306" s="28" t="s">
        <v>257</v>
      </c>
      <c r="E306" s="94"/>
      <c r="F306" s="80">
        <v>75</v>
      </c>
      <c r="G306" s="80"/>
      <c r="H306" s="80"/>
      <c r="I306" s="80">
        <v>129</v>
      </c>
      <c r="J306" s="94"/>
      <c r="K306" s="28"/>
      <c r="L306" s="21"/>
    </row>
    <row r="307" spans="1:12" hidden="1" x14ac:dyDescent="0.25">
      <c r="A307" s="1815"/>
      <c r="B307" s="1393"/>
      <c r="C307" s="1403"/>
      <c r="D307" s="28" t="s">
        <v>263</v>
      </c>
      <c r="E307" s="94"/>
      <c r="F307" s="80">
        <v>50</v>
      </c>
      <c r="G307" s="80"/>
      <c r="H307" s="80"/>
      <c r="I307" s="80">
        <v>57</v>
      </c>
      <c r="J307" s="94"/>
      <c r="K307" s="28"/>
      <c r="L307" s="21"/>
    </row>
    <row r="308" spans="1:12" hidden="1" x14ac:dyDescent="0.25">
      <c r="A308" s="1815"/>
      <c r="B308" s="1393"/>
      <c r="C308" s="1403"/>
      <c r="D308" s="28" t="s">
        <v>357</v>
      </c>
      <c r="E308" s="94"/>
      <c r="F308" s="98">
        <f>F307/F305*100</f>
        <v>40</v>
      </c>
      <c r="G308" s="94"/>
      <c r="H308" s="94"/>
      <c r="I308" s="97">
        <f>I307/I305*100</f>
        <v>30.158730158730158</v>
      </c>
      <c r="J308" s="94"/>
      <c r="K308" s="28"/>
      <c r="L308" s="21"/>
    </row>
    <row r="309" spans="1:12" hidden="1" x14ac:dyDescent="0.25">
      <c r="A309" s="1815"/>
      <c r="B309" s="1393"/>
      <c r="C309" s="1403" t="s">
        <v>418</v>
      </c>
      <c r="D309" s="144" t="s">
        <v>251</v>
      </c>
      <c r="E309" s="94"/>
      <c r="F309" s="80">
        <v>460</v>
      </c>
      <c r="G309" s="80"/>
      <c r="H309" s="80"/>
      <c r="I309" s="80">
        <v>522</v>
      </c>
      <c r="J309" s="94"/>
      <c r="K309" s="28"/>
      <c r="L309" s="21"/>
    </row>
    <row r="310" spans="1:12" hidden="1" x14ac:dyDescent="0.25">
      <c r="A310" s="1815"/>
      <c r="B310" s="1393"/>
      <c r="C310" s="1403"/>
      <c r="D310" s="28" t="s">
        <v>263</v>
      </c>
      <c r="E310" s="94"/>
      <c r="F310" s="80">
        <v>415</v>
      </c>
      <c r="G310" s="80"/>
      <c r="H310" s="80"/>
      <c r="I310" s="80">
        <v>414</v>
      </c>
      <c r="J310" s="94"/>
      <c r="K310" s="28"/>
      <c r="L310" s="21"/>
    </row>
    <row r="311" spans="1:12" ht="14.85" hidden="1" customHeight="1" x14ac:dyDescent="0.25">
      <c r="A311" s="1815"/>
      <c r="B311" s="1393"/>
      <c r="C311" s="1403"/>
      <c r="D311" s="28" t="s">
        <v>257</v>
      </c>
      <c r="E311" s="94"/>
      <c r="F311" s="80">
        <v>45</v>
      </c>
      <c r="G311" s="80"/>
      <c r="H311" s="80"/>
      <c r="I311" s="80">
        <v>108</v>
      </c>
      <c r="J311" s="94"/>
      <c r="K311" s="28"/>
      <c r="L311" s="21"/>
    </row>
    <row r="312" spans="1:12" hidden="1" x14ac:dyDescent="0.25">
      <c r="A312" s="1815"/>
      <c r="B312" s="1393"/>
      <c r="C312" s="1403"/>
      <c r="D312" s="28" t="s">
        <v>357</v>
      </c>
      <c r="E312" s="94"/>
      <c r="F312" s="97">
        <f>(F311/F309)*100</f>
        <v>9.7826086956521738</v>
      </c>
      <c r="G312" s="94"/>
      <c r="H312" s="94"/>
      <c r="I312" s="97">
        <f>I311/I309*100</f>
        <v>20.689655172413794</v>
      </c>
      <c r="J312" s="94"/>
      <c r="K312" s="28"/>
      <c r="L312" s="21"/>
    </row>
    <row r="313" spans="1:12" x14ac:dyDescent="0.25">
      <c r="A313" s="1815"/>
      <c r="B313" s="1393"/>
      <c r="C313" s="1110" t="s">
        <v>419</v>
      </c>
      <c r="D313" s="1110"/>
      <c r="E313" s="94"/>
      <c r="F313" s="100">
        <f>30/60*100</f>
        <v>50</v>
      </c>
      <c r="G313" s="92"/>
      <c r="H313" s="92"/>
      <c r="I313" s="101">
        <f>32/61*100</f>
        <v>52.459016393442624</v>
      </c>
      <c r="J313" s="94"/>
      <c r="K313" s="28"/>
      <c r="L313" s="21"/>
    </row>
    <row r="314" spans="1:12" x14ac:dyDescent="0.25">
      <c r="A314" s="1815"/>
      <c r="B314" s="1393"/>
      <c r="C314" s="1110" t="s">
        <v>420</v>
      </c>
      <c r="D314" s="1110"/>
      <c r="E314" s="94"/>
      <c r="F314" s="102">
        <f>16/60*100</f>
        <v>26.666666666666668</v>
      </c>
      <c r="G314" s="92"/>
      <c r="H314" s="92"/>
      <c r="I314" s="102">
        <f>15/61*100</f>
        <v>24.590163934426229</v>
      </c>
      <c r="J314" s="94"/>
      <c r="K314" s="28"/>
      <c r="L314" s="21"/>
    </row>
    <row r="315" spans="1:12" x14ac:dyDescent="0.25">
      <c r="A315" s="1816"/>
      <c r="B315" s="1394"/>
      <c r="C315" s="1157" t="s">
        <v>421</v>
      </c>
      <c r="D315" s="1157"/>
      <c r="E315" s="126"/>
      <c r="F315" s="127">
        <f>14/60*100</f>
        <v>23.333333333333332</v>
      </c>
      <c r="G315" s="128"/>
      <c r="H315" s="128"/>
      <c r="I315" s="127">
        <f>14/61*100</f>
        <v>22.950819672131146</v>
      </c>
      <c r="J315" s="126"/>
      <c r="K315" s="110"/>
      <c r="L315" s="53"/>
    </row>
    <row r="316" spans="1:12" ht="16.5" thickBot="1" x14ac:dyDescent="0.3">
      <c r="A316" s="338" t="s">
        <v>248</v>
      </c>
      <c r="B316" s="338" t="s">
        <v>249</v>
      </c>
      <c r="C316" s="1433"/>
      <c r="D316" s="1433"/>
      <c r="E316" s="616">
        <v>2005</v>
      </c>
      <c r="F316" s="616">
        <v>2010</v>
      </c>
      <c r="G316" s="616">
        <v>2015</v>
      </c>
      <c r="H316" s="616">
        <v>2020</v>
      </c>
      <c r="I316" s="616">
        <v>2021</v>
      </c>
      <c r="J316" s="616">
        <v>2022</v>
      </c>
      <c r="K316" s="616">
        <v>2023</v>
      </c>
      <c r="L316" s="616">
        <v>2024</v>
      </c>
    </row>
    <row r="317" spans="1:12" ht="14.85" customHeight="1" x14ac:dyDescent="0.25">
      <c r="A317" s="1864" t="s">
        <v>422</v>
      </c>
      <c r="B317" s="1408" t="s">
        <v>164</v>
      </c>
      <c r="C317" s="1520" t="s">
        <v>424</v>
      </c>
      <c r="D317" s="1520"/>
      <c r="E317" s="36"/>
      <c r="F317" s="37">
        <v>992.87</v>
      </c>
      <c r="G317" s="37">
        <v>1119.31</v>
      </c>
      <c r="H317" s="37">
        <v>1213</v>
      </c>
      <c r="I317" s="37">
        <v>1240</v>
      </c>
      <c r="J317" s="37">
        <v>1268</v>
      </c>
      <c r="K317" s="37">
        <v>1437</v>
      </c>
      <c r="L317" s="209">
        <v>1451</v>
      </c>
    </row>
    <row r="318" spans="1:12" x14ac:dyDescent="0.25">
      <c r="A318" s="1865"/>
      <c r="B318" s="1272"/>
      <c r="C318" s="1331" t="s">
        <v>425</v>
      </c>
      <c r="D318" s="1331"/>
      <c r="E318" s="28"/>
      <c r="F318" s="29">
        <v>1273.6500000000001</v>
      </c>
      <c r="G318" s="29">
        <v>1420.06</v>
      </c>
      <c r="H318" s="29">
        <v>1535</v>
      </c>
      <c r="I318" s="29">
        <v>1570</v>
      </c>
      <c r="J318" s="29">
        <v>1603</v>
      </c>
      <c r="K318" s="29">
        <v>1796</v>
      </c>
      <c r="L318" s="30">
        <v>1805</v>
      </c>
    </row>
    <row r="319" spans="1:12" x14ac:dyDescent="0.25">
      <c r="A319" s="1865"/>
      <c r="B319" s="1272"/>
      <c r="C319" s="1331" t="s">
        <v>426</v>
      </c>
      <c r="D319" s="1331"/>
      <c r="E319" s="28"/>
      <c r="F319" s="29">
        <v>728.28</v>
      </c>
      <c r="G319" s="29">
        <v>860.48</v>
      </c>
      <c r="H319" s="29">
        <v>967</v>
      </c>
      <c r="I319" s="29">
        <v>1000</v>
      </c>
      <c r="J319" s="29">
        <v>1027</v>
      </c>
      <c r="K319" s="29">
        <v>1179</v>
      </c>
      <c r="L319" s="30">
        <v>1198</v>
      </c>
    </row>
    <row r="320" spans="1:12" x14ac:dyDescent="0.25">
      <c r="A320" s="1865"/>
      <c r="B320" s="1272"/>
      <c r="C320" s="1333" t="s">
        <v>427</v>
      </c>
      <c r="D320" s="1333"/>
      <c r="E320" s="28"/>
      <c r="F320" s="31">
        <f t="shared" ref="F320:L320" si="15">+F319-F318</f>
        <v>-545.37000000000012</v>
      </c>
      <c r="G320" s="31">
        <f t="shared" si="15"/>
        <v>-559.57999999999993</v>
      </c>
      <c r="H320" s="31">
        <f t="shared" si="15"/>
        <v>-568</v>
      </c>
      <c r="I320" s="31">
        <f t="shared" si="15"/>
        <v>-570</v>
      </c>
      <c r="J320" s="31">
        <f t="shared" si="15"/>
        <v>-576</v>
      </c>
      <c r="K320" s="31">
        <f t="shared" si="15"/>
        <v>-617</v>
      </c>
      <c r="L320" s="32">
        <f t="shared" si="15"/>
        <v>-607</v>
      </c>
    </row>
    <row r="321" spans="1:12" ht="16.5" thickBot="1" x14ac:dyDescent="0.3">
      <c r="A321" s="1865"/>
      <c r="B321" s="1409"/>
      <c r="C321" s="1335" t="s">
        <v>428</v>
      </c>
      <c r="D321" s="1335"/>
      <c r="E321" s="33"/>
      <c r="F321" s="34">
        <f t="shared" ref="F321:L321" si="16">(F319-F318)/F318*100</f>
        <v>-42.819455894476512</v>
      </c>
      <c r="G321" s="34">
        <f t="shared" si="16"/>
        <v>-39.405377237581504</v>
      </c>
      <c r="H321" s="34">
        <f t="shared" si="16"/>
        <v>-37.00325732899023</v>
      </c>
      <c r="I321" s="34">
        <f t="shared" si="16"/>
        <v>-36.30573248407643</v>
      </c>
      <c r="J321" s="34">
        <f t="shared" si="16"/>
        <v>-35.932626325639426</v>
      </c>
      <c r="K321" s="34">
        <f t="shared" si="16"/>
        <v>-34.354120267260576</v>
      </c>
      <c r="L321" s="35">
        <f t="shared" si="16"/>
        <v>-33.628808864265928</v>
      </c>
    </row>
    <row r="322" spans="1:12" ht="15" customHeight="1" x14ac:dyDescent="0.25">
      <c r="A322" s="1865"/>
      <c r="B322" s="1408" t="s">
        <v>429</v>
      </c>
      <c r="C322" s="1147" t="s">
        <v>430</v>
      </c>
      <c r="D322" s="1147"/>
      <c r="E322" s="36"/>
      <c r="F322" s="40"/>
      <c r="G322" s="37">
        <v>36.207171314741039</v>
      </c>
      <c r="H322" s="37">
        <v>35.54719450351709</v>
      </c>
      <c r="I322" s="37">
        <v>39.713467048710598</v>
      </c>
      <c r="J322" s="37">
        <v>43.491469969619068</v>
      </c>
      <c r="K322" s="37">
        <v>43.805204105991884</v>
      </c>
      <c r="L322" s="20">
        <v>44.5</v>
      </c>
    </row>
    <row r="323" spans="1:12" x14ac:dyDescent="0.25">
      <c r="A323" s="1865"/>
      <c r="B323" s="1272"/>
      <c r="C323" s="1124" t="s">
        <v>431</v>
      </c>
      <c r="D323" s="1124"/>
      <c r="E323" s="28"/>
      <c r="F323" s="28"/>
      <c r="G323" s="29">
        <v>39.327789327789326</v>
      </c>
      <c r="H323" s="29">
        <v>39.19319022945966</v>
      </c>
      <c r="I323" s="29">
        <v>42.631816133393421</v>
      </c>
      <c r="J323" s="29">
        <v>46.371191135734072</v>
      </c>
      <c r="K323" s="29">
        <v>47.031963470319631</v>
      </c>
      <c r="L323" s="21">
        <v>46.9</v>
      </c>
    </row>
    <row r="324" spans="1:12" x14ac:dyDescent="0.25">
      <c r="A324" s="1865"/>
      <c r="B324" s="1272"/>
      <c r="C324" s="1124" t="s">
        <v>432</v>
      </c>
      <c r="D324" s="1124"/>
      <c r="E324" s="28"/>
      <c r="F324" s="28"/>
      <c r="G324" s="29">
        <v>33.549719681321918</v>
      </c>
      <c r="H324" s="29">
        <v>32.659044268542949</v>
      </c>
      <c r="I324" s="29">
        <v>37.566312997347481</v>
      </c>
      <c r="J324" s="29">
        <v>41.390460792239288</v>
      </c>
      <c r="K324" s="29">
        <v>41.485432909314731</v>
      </c>
      <c r="L324" s="21">
        <v>42.9</v>
      </c>
    </row>
    <row r="325" spans="1:12" ht="16.5" thickBot="1" x14ac:dyDescent="0.3">
      <c r="A325" s="1865"/>
      <c r="B325" s="1409"/>
      <c r="C325" s="1225" t="s">
        <v>354</v>
      </c>
      <c r="D325" s="1225"/>
      <c r="E325" s="33"/>
      <c r="F325" s="33"/>
      <c r="G325" s="34">
        <f t="shared" ref="G325:L325" si="17">+G324-G323</f>
        <v>-5.7780696464674079</v>
      </c>
      <c r="H325" s="34">
        <f t="shared" si="17"/>
        <v>-6.5341459609167103</v>
      </c>
      <c r="I325" s="34">
        <f t="shared" si="17"/>
        <v>-5.0655031360459404</v>
      </c>
      <c r="J325" s="34">
        <f t="shared" si="17"/>
        <v>-4.9807303434947841</v>
      </c>
      <c r="K325" s="34">
        <f t="shared" si="17"/>
        <v>-5.5465305610049001</v>
      </c>
      <c r="L325" s="35">
        <f t="shared" si="17"/>
        <v>-4</v>
      </c>
    </row>
    <row r="326" spans="1:12" x14ac:dyDescent="0.25">
      <c r="A326" s="1865"/>
      <c r="B326" s="1408" t="s">
        <v>521</v>
      </c>
      <c r="C326" s="1317" t="s">
        <v>434</v>
      </c>
      <c r="D326" s="146" t="s">
        <v>435</v>
      </c>
      <c r="E326" s="36"/>
      <c r="F326" s="36"/>
      <c r="G326" s="40"/>
      <c r="H326" s="40"/>
      <c r="I326" s="40">
        <v>91</v>
      </c>
      <c r="J326" s="40">
        <v>55</v>
      </c>
      <c r="K326" s="40">
        <v>37</v>
      </c>
      <c r="L326" s="1061">
        <v>16</v>
      </c>
    </row>
    <row r="327" spans="1:12" x14ac:dyDescent="0.25">
      <c r="A327" s="1865"/>
      <c r="B327" s="1272"/>
      <c r="C327" s="1309"/>
      <c r="D327" s="147" t="s">
        <v>436</v>
      </c>
      <c r="E327" s="28"/>
      <c r="F327" s="28"/>
      <c r="G327" s="28"/>
      <c r="H327" s="28"/>
      <c r="I327" s="28">
        <v>16</v>
      </c>
      <c r="J327" s="28">
        <v>19</v>
      </c>
      <c r="K327" s="28">
        <v>12</v>
      </c>
      <c r="L327" s="1061">
        <v>4</v>
      </c>
    </row>
    <row r="328" spans="1:12" x14ac:dyDescent="0.25">
      <c r="A328" s="1865"/>
      <c r="B328" s="1272"/>
      <c r="C328" s="1309"/>
      <c r="D328" s="28" t="s">
        <v>437</v>
      </c>
      <c r="E328" s="28"/>
      <c r="F328" s="28"/>
      <c r="G328" s="28"/>
      <c r="H328" s="28"/>
      <c r="I328" s="28">
        <v>75</v>
      </c>
      <c r="J328" s="28">
        <v>36</v>
      </c>
      <c r="K328" s="28">
        <v>25</v>
      </c>
      <c r="L328" s="1061">
        <v>12</v>
      </c>
    </row>
    <row r="329" spans="1:12" x14ac:dyDescent="0.25">
      <c r="A329" s="1865"/>
      <c r="B329" s="1272"/>
      <c r="C329" s="1309"/>
      <c r="D329" s="148" t="s">
        <v>353</v>
      </c>
      <c r="E329" s="28"/>
      <c r="F329" s="28"/>
      <c r="G329" s="28"/>
      <c r="H329" s="28"/>
      <c r="I329" s="157">
        <f>I328-I327</f>
        <v>59</v>
      </c>
      <c r="J329" s="157">
        <f>J328-J327</f>
        <v>17</v>
      </c>
      <c r="K329" s="157">
        <f>K328-K327</f>
        <v>13</v>
      </c>
      <c r="L329" s="157">
        <f>L328-L327</f>
        <v>8</v>
      </c>
    </row>
    <row r="330" spans="1:12" x14ac:dyDescent="0.25">
      <c r="A330" s="1865"/>
      <c r="B330" s="1272"/>
      <c r="C330" s="1309"/>
      <c r="D330" s="148" t="s">
        <v>270</v>
      </c>
      <c r="E330" s="28"/>
      <c r="F330" s="28"/>
      <c r="G330" s="28"/>
      <c r="H330" s="28"/>
      <c r="I330" s="158">
        <f>I328/I326*100</f>
        <v>82.417582417582409</v>
      </c>
      <c r="J330" s="158">
        <f>J328/J326*100</f>
        <v>65.454545454545453</v>
      </c>
      <c r="K330" s="158">
        <f>K328/K326*100</f>
        <v>67.567567567567565</v>
      </c>
      <c r="L330" s="158">
        <f>L328/L326*100</f>
        <v>75</v>
      </c>
    </row>
    <row r="331" spans="1:12" x14ac:dyDescent="0.25">
      <c r="A331" s="1865"/>
      <c r="B331" s="1272"/>
      <c r="C331" s="1309" t="s">
        <v>438</v>
      </c>
      <c r="D331" s="149" t="s">
        <v>435</v>
      </c>
      <c r="E331" s="28"/>
      <c r="F331" s="28"/>
      <c r="G331" s="28"/>
      <c r="H331" s="28"/>
      <c r="I331" s="44">
        <v>253</v>
      </c>
      <c r="J331" s="44">
        <v>117</v>
      </c>
      <c r="K331" s="44">
        <v>47</v>
      </c>
      <c r="L331" s="1061">
        <v>87</v>
      </c>
    </row>
    <row r="332" spans="1:12" x14ac:dyDescent="0.25">
      <c r="A332" s="1865"/>
      <c r="B332" s="1272"/>
      <c r="C332" s="1309"/>
      <c r="D332" s="147" t="s">
        <v>436</v>
      </c>
      <c r="E332" s="28"/>
      <c r="F332" s="28"/>
      <c r="G332" s="28"/>
      <c r="H332" s="28"/>
      <c r="I332" s="28">
        <v>51</v>
      </c>
      <c r="J332" s="28">
        <v>27</v>
      </c>
      <c r="K332" s="28">
        <v>9</v>
      </c>
      <c r="L332" s="1061">
        <v>39</v>
      </c>
    </row>
    <row r="333" spans="1:12" x14ac:dyDescent="0.25">
      <c r="A333" s="1865"/>
      <c r="B333" s="1272"/>
      <c r="C333" s="1309"/>
      <c r="D333" s="28" t="s">
        <v>437</v>
      </c>
      <c r="E333" s="28"/>
      <c r="F333" s="28"/>
      <c r="G333" s="28"/>
      <c r="H333" s="28"/>
      <c r="I333" s="28">
        <v>202</v>
      </c>
      <c r="J333" s="28">
        <v>90</v>
      </c>
      <c r="K333" s="28">
        <v>38</v>
      </c>
      <c r="L333" s="1061">
        <v>48</v>
      </c>
    </row>
    <row r="334" spans="1:12" x14ac:dyDescent="0.25">
      <c r="A334" s="1865"/>
      <c r="B334" s="1272"/>
      <c r="C334" s="1309"/>
      <c r="D334" s="148" t="s">
        <v>353</v>
      </c>
      <c r="E334" s="28"/>
      <c r="F334" s="28"/>
      <c r="G334" s="28"/>
      <c r="H334" s="44"/>
      <c r="I334" s="157">
        <f>I333-I332</f>
        <v>151</v>
      </c>
      <c r="J334" s="157">
        <f>J333-J332</f>
        <v>63</v>
      </c>
      <c r="K334" s="157">
        <f>K333-K332</f>
        <v>29</v>
      </c>
      <c r="L334" s="157">
        <f>L333-L332</f>
        <v>9</v>
      </c>
    </row>
    <row r="335" spans="1:12" ht="16.5" thickBot="1" x14ac:dyDescent="0.3">
      <c r="A335" s="1865"/>
      <c r="B335" s="1273"/>
      <c r="C335" s="1310"/>
      <c r="D335" s="150" t="s">
        <v>270</v>
      </c>
      <c r="E335" s="110"/>
      <c r="F335" s="110"/>
      <c r="G335" s="110"/>
      <c r="H335" s="336"/>
      <c r="I335" s="165">
        <f>I333/I331*100</f>
        <v>79.841897233201593</v>
      </c>
      <c r="J335" s="165">
        <f>J333/J331*100</f>
        <v>76.923076923076934</v>
      </c>
      <c r="K335" s="165">
        <f>K333/K331*100</f>
        <v>80.851063829787222</v>
      </c>
      <c r="L335" s="165">
        <f>L333/L331*100</f>
        <v>55.172413793103445</v>
      </c>
    </row>
    <row r="336" spans="1:12" ht="15" customHeight="1" x14ac:dyDescent="0.25">
      <c r="A336" s="1865"/>
      <c r="B336" s="1408" t="s">
        <v>180</v>
      </c>
      <c r="C336" s="1147" t="s">
        <v>435</v>
      </c>
      <c r="D336" s="1147"/>
      <c r="E336" s="36"/>
      <c r="F336" s="36"/>
      <c r="G336" s="36"/>
      <c r="H336" s="195">
        <v>14894</v>
      </c>
      <c r="I336" s="195">
        <v>14699</v>
      </c>
      <c r="J336" s="195">
        <v>14550</v>
      </c>
      <c r="K336" s="195">
        <v>15335</v>
      </c>
      <c r="L336" s="20"/>
    </row>
    <row r="337" spans="1:14" x14ac:dyDescent="0.25">
      <c r="A337" s="1865"/>
      <c r="B337" s="1272"/>
      <c r="C337" s="1124" t="s">
        <v>436</v>
      </c>
      <c r="D337" s="1124"/>
      <c r="E337" s="28"/>
      <c r="F337" s="28"/>
      <c r="G337" s="28"/>
      <c r="H337" s="96">
        <v>5436</v>
      </c>
      <c r="I337" s="96">
        <v>5334</v>
      </c>
      <c r="J337" s="96">
        <v>5225</v>
      </c>
      <c r="K337" s="96">
        <v>5536</v>
      </c>
      <c r="L337" s="21"/>
    </row>
    <row r="338" spans="1:14" x14ac:dyDescent="0.25">
      <c r="A338" s="1865"/>
      <c r="B338" s="1272"/>
      <c r="C338" s="1124" t="s">
        <v>437</v>
      </c>
      <c r="D338" s="1124"/>
      <c r="E338" s="28"/>
      <c r="F338" s="28"/>
      <c r="G338" s="28"/>
      <c r="H338" s="96">
        <v>9458</v>
      </c>
      <c r="I338" s="96">
        <v>9365</v>
      </c>
      <c r="J338" s="96">
        <v>9325</v>
      </c>
      <c r="K338" s="96">
        <v>9799</v>
      </c>
      <c r="L338" s="21"/>
    </row>
    <row r="339" spans="1:14" x14ac:dyDescent="0.25">
      <c r="A339" s="1865"/>
      <c r="B339" s="1272"/>
      <c r="C339" s="1112" t="s">
        <v>353</v>
      </c>
      <c r="D339" s="1112"/>
      <c r="E339" s="28"/>
      <c r="F339" s="28"/>
      <c r="G339" s="28"/>
      <c r="H339" s="157">
        <f>H338-H337</f>
        <v>4022</v>
      </c>
      <c r="I339" s="157">
        <f>I338-I337</f>
        <v>4031</v>
      </c>
      <c r="J339" s="157">
        <f>J338-J337</f>
        <v>4100</v>
      </c>
      <c r="K339" s="157">
        <f>K338-K337</f>
        <v>4263</v>
      </c>
      <c r="L339" s="21"/>
    </row>
    <row r="340" spans="1:14" x14ac:dyDescent="0.25">
      <c r="A340" s="1866"/>
      <c r="B340" s="1273"/>
      <c r="C340" s="1178" t="s">
        <v>270</v>
      </c>
      <c r="D340" s="1178"/>
      <c r="E340" s="110"/>
      <c r="F340" s="110"/>
      <c r="G340" s="110"/>
      <c r="H340" s="165">
        <f>H338/H336*100</f>
        <v>63.502081375050359</v>
      </c>
      <c r="I340" s="165">
        <f>I338/I336*100</f>
        <v>63.711817130417039</v>
      </c>
      <c r="J340" s="165">
        <f>J338/J336*100</f>
        <v>64.089347079037807</v>
      </c>
      <c r="K340" s="165">
        <f>K338/K336*100</f>
        <v>63.899576133029022</v>
      </c>
      <c r="L340" s="53"/>
    </row>
    <row r="341" spans="1:14" ht="16.5" thickBot="1" x14ac:dyDescent="0.3">
      <c r="A341" s="338" t="s">
        <v>248</v>
      </c>
      <c r="B341" s="338" t="s">
        <v>249</v>
      </c>
      <c r="C341" s="1433"/>
      <c r="D341" s="1433"/>
      <c r="E341" s="616">
        <v>2005</v>
      </c>
      <c r="F341" s="616">
        <v>2010</v>
      </c>
      <c r="G341" s="616">
        <v>2015</v>
      </c>
      <c r="H341" s="616">
        <v>2020</v>
      </c>
      <c r="I341" s="616">
        <v>2021</v>
      </c>
      <c r="J341" s="616">
        <v>2022</v>
      </c>
      <c r="K341" s="616">
        <v>2023</v>
      </c>
      <c r="L341" s="616">
        <v>2024</v>
      </c>
    </row>
    <row r="342" spans="1:14" x14ac:dyDescent="0.25">
      <c r="A342" s="1868" t="s">
        <v>439</v>
      </c>
      <c r="B342" s="1434" t="s">
        <v>440</v>
      </c>
      <c r="C342" s="1250" t="s">
        <v>251</v>
      </c>
      <c r="D342" s="1250"/>
      <c r="E342" s="585">
        <v>82.3</v>
      </c>
      <c r="F342" s="586">
        <v>83.7</v>
      </c>
      <c r="G342" s="586">
        <v>84.6</v>
      </c>
      <c r="H342" s="586">
        <v>82.5</v>
      </c>
      <c r="I342" s="586">
        <v>84.5</v>
      </c>
      <c r="J342" s="587">
        <v>85.55345405926829</v>
      </c>
      <c r="K342" s="453">
        <v>86.4</v>
      </c>
      <c r="L342" s="108"/>
      <c r="M342" s="326"/>
      <c r="N342" s="326"/>
    </row>
    <row r="343" spans="1:14" x14ac:dyDescent="0.25">
      <c r="A343" s="1822"/>
      <c r="B343" s="1435"/>
      <c r="C343" s="1236" t="s">
        <v>257</v>
      </c>
      <c r="D343" s="1236"/>
      <c r="E343" s="580">
        <v>78.900000000000006</v>
      </c>
      <c r="F343" s="581">
        <v>79.900000000000006</v>
      </c>
      <c r="G343" s="581">
        <v>81.3</v>
      </c>
      <c r="H343" s="581">
        <v>78.599999999999994</v>
      </c>
      <c r="I343" s="581">
        <v>80.900000000000006</v>
      </c>
      <c r="J343" s="582">
        <v>82.511869925765609</v>
      </c>
      <c r="K343" s="403">
        <v>83.8</v>
      </c>
      <c r="L343" s="21"/>
    </row>
    <row r="344" spans="1:14" x14ac:dyDescent="0.25">
      <c r="A344" s="1822"/>
      <c r="B344" s="1435"/>
      <c r="C344" s="1236" t="s">
        <v>263</v>
      </c>
      <c r="D344" s="1236"/>
      <c r="E344" s="580">
        <v>85.4</v>
      </c>
      <c r="F344" s="581">
        <v>87.1</v>
      </c>
      <c r="G344" s="581">
        <v>87.4</v>
      </c>
      <c r="H344" s="581">
        <v>86</v>
      </c>
      <c r="I344" s="581">
        <v>87.6</v>
      </c>
      <c r="J344" s="582">
        <v>88.030990574888321</v>
      </c>
      <c r="K344" s="403">
        <v>88.5</v>
      </c>
      <c r="L344" s="21"/>
    </row>
    <row r="345" spans="1:14" ht="16.5" thickBot="1" x14ac:dyDescent="0.3">
      <c r="A345" s="1822"/>
      <c r="B345" s="1790"/>
      <c r="C345" s="1558" t="s">
        <v>441</v>
      </c>
      <c r="D345" s="1558"/>
      <c r="E345" s="894">
        <f t="shared" ref="E345:K345" si="18">+E344-E343</f>
        <v>6.5</v>
      </c>
      <c r="F345" s="894">
        <f t="shared" si="18"/>
        <v>7.1999999999999886</v>
      </c>
      <c r="G345" s="894">
        <f t="shared" si="18"/>
        <v>6.1000000000000085</v>
      </c>
      <c r="H345" s="894">
        <f t="shared" si="18"/>
        <v>7.4000000000000057</v>
      </c>
      <c r="I345" s="894">
        <f t="shared" si="18"/>
        <v>6.6999999999999886</v>
      </c>
      <c r="J345" s="895">
        <f t="shared" si="18"/>
        <v>5.5191206491227121</v>
      </c>
      <c r="K345" s="895">
        <f t="shared" si="18"/>
        <v>4.7000000000000028</v>
      </c>
      <c r="L345" s="53"/>
    </row>
    <row r="346" spans="1:14" x14ac:dyDescent="0.25">
      <c r="A346" s="1822"/>
      <c r="B346" s="1434" t="s">
        <v>192</v>
      </c>
      <c r="C346" s="1765" t="s">
        <v>251</v>
      </c>
      <c r="D346" s="1765"/>
      <c r="E346" s="790"/>
      <c r="F346" s="791"/>
      <c r="G346" s="899">
        <v>6494</v>
      </c>
      <c r="H346" s="899">
        <v>6986</v>
      </c>
      <c r="I346" s="899">
        <v>6991</v>
      </c>
      <c r="J346" s="900">
        <v>7184</v>
      </c>
      <c r="K346" s="195">
        <v>7054</v>
      </c>
      <c r="L346" s="20"/>
    </row>
    <row r="347" spans="1:14" x14ac:dyDescent="0.25">
      <c r="A347" s="1822"/>
      <c r="B347" s="1435"/>
      <c r="C347" s="1236" t="s">
        <v>257</v>
      </c>
      <c r="D347" s="1236"/>
      <c r="E347" s="580"/>
      <c r="F347" s="583"/>
      <c r="G347" s="584">
        <v>3071</v>
      </c>
      <c r="H347" s="584">
        <v>3230</v>
      </c>
      <c r="I347" s="584">
        <v>3242</v>
      </c>
      <c r="J347" s="404">
        <v>3338</v>
      </c>
      <c r="K347" s="96">
        <v>3224</v>
      </c>
      <c r="L347" s="21"/>
    </row>
    <row r="348" spans="1:14" x14ac:dyDescent="0.25">
      <c r="A348" s="1822"/>
      <c r="B348" s="1435"/>
      <c r="C348" s="1236" t="s">
        <v>263</v>
      </c>
      <c r="D348" s="1236"/>
      <c r="E348" s="580"/>
      <c r="F348" s="583"/>
      <c r="G348" s="584">
        <v>3423</v>
      </c>
      <c r="H348" s="584">
        <v>3756</v>
      </c>
      <c r="I348" s="584">
        <v>3749</v>
      </c>
      <c r="J348" s="404">
        <v>3846</v>
      </c>
      <c r="K348" s="96">
        <v>3830</v>
      </c>
      <c r="L348" s="21"/>
    </row>
    <row r="349" spans="1:14" x14ac:dyDescent="0.25">
      <c r="A349" s="1869"/>
      <c r="B349" s="1790"/>
      <c r="C349" s="1142" t="s">
        <v>270</v>
      </c>
      <c r="D349" s="1142"/>
      <c r="E349" s="592"/>
      <c r="F349" s="816"/>
      <c r="G349" s="901">
        <f>G348/G346*100</f>
        <v>52.710194025254076</v>
      </c>
      <c r="H349" s="525">
        <f>H348/H346*100</f>
        <v>53.764672201545949</v>
      </c>
      <c r="I349" s="525">
        <f>I348/I346*100</f>
        <v>53.62609068802746</v>
      </c>
      <c r="J349" s="525">
        <f>J348/J346*100</f>
        <v>53.535634743875285</v>
      </c>
      <c r="K349" s="525">
        <f>K348/K346*100</f>
        <v>54.295435214062948</v>
      </c>
      <c r="L349" s="53"/>
    </row>
    <row r="350" spans="1:14" x14ac:dyDescent="0.25">
      <c r="A350" s="761" t="s">
        <v>248</v>
      </c>
      <c r="B350" s="761" t="s">
        <v>249</v>
      </c>
      <c r="C350" s="1807"/>
      <c r="D350" s="1807"/>
      <c r="E350" s="621"/>
      <c r="F350" s="621" t="s">
        <v>443</v>
      </c>
      <c r="G350" s="621" t="s">
        <v>444</v>
      </c>
      <c r="H350" s="621" t="s">
        <v>445</v>
      </c>
      <c r="I350" s="621" t="s">
        <v>446</v>
      </c>
      <c r="J350" s="621" t="s">
        <v>447</v>
      </c>
      <c r="K350" s="621" t="s">
        <v>448</v>
      </c>
      <c r="L350" s="621" t="s">
        <v>449</v>
      </c>
    </row>
    <row r="351" spans="1:14" ht="15" customHeight="1" x14ac:dyDescent="0.25">
      <c r="A351" s="1870" t="s">
        <v>450</v>
      </c>
      <c r="B351" s="1832" t="s">
        <v>199</v>
      </c>
      <c r="C351" s="1659" t="s">
        <v>451</v>
      </c>
      <c r="D351" s="429" t="s">
        <v>435</v>
      </c>
      <c r="E351" s="220"/>
      <c r="F351" s="192">
        <v>5867</v>
      </c>
      <c r="G351" s="192">
        <v>4681</v>
      </c>
      <c r="H351" s="192">
        <v>4266</v>
      </c>
      <c r="I351" s="192">
        <v>4120</v>
      </c>
      <c r="J351" s="192">
        <v>3939</v>
      </c>
      <c r="K351" s="192">
        <v>4015</v>
      </c>
      <c r="L351" s="87"/>
    </row>
    <row r="352" spans="1:14" x14ac:dyDescent="0.25">
      <c r="A352" s="1802"/>
      <c r="B352" s="1569"/>
      <c r="C352" s="1160"/>
      <c r="D352" s="428" t="s">
        <v>436</v>
      </c>
      <c r="E352" s="96"/>
      <c r="F352" s="96">
        <v>2976</v>
      </c>
      <c r="G352" s="96">
        <v>2394</v>
      </c>
      <c r="H352" s="96">
        <v>2117</v>
      </c>
      <c r="I352" s="96">
        <v>2076</v>
      </c>
      <c r="J352" s="96">
        <v>1954</v>
      </c>
      <c r="K352" s="96">
        <v>2017</v>
      </c>
      <c r="L352" s="21"/>
    </row>
    <row r="353" spans="1:12" x14ac:dyDescent="0.25">
      <c r="A353" s="1802"/>
      <c r="B353" s="1569"/>
      <c r="C353" s="1160"/>
      <c r="D353" s="428" t="s">
        <v>437</v>
      </c>
      <c r="E353" s="96"/>
      <c r="F353" s="96">
        <v>2891</v>
      </c>
      <c r="G353" s="96">
        <v>2287</v>
      </c>
      <c r="H353" s="96">
        <v>2149</v>
      </c>
      <c r="I353" s="96">
        <v>2044</v>
      </c>
      <c r="J353" s="96">
        <v>1985</v>
      </c>
      <c r="K353" s="96">
        <v>1998</v>
      </c>
      <c r="L353" s="21"/>
    </row>
    <row r="354" spans="1:12" ht="15" customHeight="1" x14ac:dyDescent="0.25">
      <c r="A354" s="1802"/>
      <c r="B354" s="1569"/>
      <c r="C354" s="1160" t="s">
        <v>452</v>
      </c>
      <c r="D354" s="428" t="s">
        <v>435</v>
      </c>
      <c r="E354" s="96"/>
      <c r="F354" s="96">
        <f>F355+F356</f>
        <v>3768</v>
      </c>
      <c r="G354" s="96">
        <f>G355+G356</f>
        <v>3202</v>
      </c>
      <c r="H354" s="96">
        <f>H355+H356</f>
        <v>2957</v>
      </c>
      <c r="I354" s="96">
        <f>I355+I356</f>
        <v>2890</v>
      </c>
      <c r="J354" s="96">
        <f>J355+J356</f>
        <v>2908</v>
      </c>
      <c r="K354" s="157">
        <f>SUM(K355:K356)</f>
        <v>2863</v>
      </c>
      <c r="L354" s="21"/>
    </row>
    <row r="355" spans="1:12" x14ac:dyDescent="0.25">
      <c r="A355" s="1802"/>
      <c r="B355" s="1569"/>
      <c r="C355" s="1160"/>
      <c r="D355" s="428" t="s">
        <v>436</v>
      </c>
      <c r="E355" s="96"/>
      <c r="F355" s="96">
        <v>1873</v>
      </c>
      <c r="G355" s="96">
        <v>1534</v>
      </c>
      <c r="H355" s="96">
        <v>1439</v>
      </c>
      <c r="I355" s="96">
        <v>1438</v>
      </c>
      <c r="J355" s="96">
        <v>1437</v>
      </c>
      <c r="K355" s="96">
        <v>1443</v>
      </c>
      <c r="L355" s="21"/>
    </row>
    <row r="356" spans="1:12" ht="16.5" thickBot="1" x14ac:dyDescent="0.3">
      <c r="A356" s="1802"/>
      <c r="B356" s="1569"/>
      <c r="C356" s="1519"/>
      <c r="D356" s="434" t="s">
        <v>437</v>
      </c>
      <c r="E356" s="360"/>
      <c r="F356" s="360">
        <v>1895</v>
      </c>
      <c r="G356" s="360">
        <v>1668</v>
      </c>
      <c r="H356" s="360">
        <v>1518</v>
      </c>
      <c r="I356" s="360">
        <v>1452</v>
      </c>
      <c r="J356" s="360">
        <v>1471</v>
      </c>
      <c r="K356" s="360">
        <v>1420</v>
      </c>
      <c r="L356" s="53"/>
    </row>
    <row r="357" spans="1:12" x14ac:dyDescent="0.25">
      <c r="A357" s="1802"/>
      <c r="B357" s="1569"/>
      <c r="C357" s="1352" t="s">
        <v>453</v>
      </c>
      <c r="D357" s="1250"/>
      <c r="E357" s="195"/>
      <c r="F357" s="37">
        <f>+(F354/F351)*100</f>
        <v>64.223623657746714</v>
      </c>
      <c r="G357" s="37">
        <f t="shared" ref="G357:J357" si="19">+(G354/G351)*100</f>
        <v>68.40418713950011</v>
      </c>
      <c r="H357" s="37">
        <f t="shared" si="19"/>
        <v>69.315518049695271</v>
      </c>
      <c r="I357" s="37">
        <f t="shared" si="19"/>
        <v>70.145631067961162</v>
      </c>
      <c r="J357" s="37">
        <f t="shared" si="19"/>
        <v>73.825844122873832</v>
      </c>
      <c r="K357" s="37">
        <f>+(K354/K351)*100</f>
        <v>71.307596513075964</v>
      </c>
      <c r="L357" s="20"/>
    </row>
    <row r="358" spans="1:12" x14ac:dyDescent="0.25">
      <c r="A358" s="1802"/>
      <c r="B358" s="1569"/>
      <c r="C358" s="1363" t="s">
        <v>454</v>
      </c>
      <c r="D358" s="1236"/>
      <c r="E358" s="28"/>
      <c r="F358" s="187">
        <f>F355/F352*100</f>
        <v>62.936827956989248</v>
      </c>
      <c r="G358" s="187">
        <f>G355/G352*100</f>
        <v>64.076858813700923</v>
      </c>
      <c r="H358" s="187">
        <f t="shared" ref="H358:I358" si="20">H355/H352*100</f>
        <v>67.973547472838931</v>
      </c>
      <c r="I358" s="187">
        <f t="shared" si="20"/>
        <v>69.267822736030823</v>
      </c>
      <c r="J358" s="187">
        <f>J355/J352*100</f>
        <v>73.541453428863861</v>
      </c>
      <c r="K358" s="187">
        <f>K355/K352*100</f>
        <v>71.541893901834413</v>
      </c>
      <c r="L358" s="21"/>
    </row>
    <row r="359" spans="1:12" x14ac:dyDescent="0.25">
      <c r="A359" s="1802"/>
      <c r="B359" s="1569"/>
      <c r="C359" s="1363" t="s">
        <v>455</v>
      </c>
      <c r="D359" s="1236"/>
      <c r="E359" s="28"/>
      <c r="F359" s="187">
        <f>F356/F353*100</f>
        <v>65.54825319958492</v>
      </c>
      <c r="G359" s="187">
        <f>G356/G353*100</f>
        <v>72.933974639265415</v>
      </c>
      <c r="H359" s="187">
        <f t="shared" ref="H359:I359" si="21">H356/H353*100</f>
        <v>70.637505816658901</v>
      </c>
      <c r="I359" s="187">
        <f t="shared" si="21"/>
        <v>71.037181996086105</v>
      </c>
      <c r="J359" s="187">
        <f>J356/J353*100</f>
        <v>74.105793450881606</v>
      </c>
      <c r="K359" s="187">
        <f>K356/K353*100</f>
        <v>71.071071071071074</v>
      </c>
      <c r="L359" s="21"/>
    </row>
    <row r="360" spans="1:12" x14ac:dyDescent="0.25">
      <c r="A360" s="1871"/>
      <c r="B360" s="1570"/>
      <c r="C360" s="1383" t="s">
        <v>354</v>
      </c>
      <c r="D360" s="1384"/>
      <c r="E360" s="110"/>
      <c r="F360" s="454">
        <f>+F359-F358</f>
        <v>2.6114252425956721</v>
      </c>
      <c r="G360" s="593">
        <f t="shared" ref="G360:I360" si="22">+G359-G358</f>
        <v>8.8571158255644917</v>
      </c>
      <c r="H360" s="593">
        <f t="shared" si="22"/>
        <v>2.6639583438199708</v>
      </c>
      <c r="I360" s="593">
        <f t="shared" si="22"/>
        <v>1.7693592600552819</v>
      </c>
      <c r="J360" s="593">
        <f>+J359-J358</f>
        <v>0.56434002201774547</v>
      </c>
      <c r="K360" s="593">
        <f>+K359-K358</f>
        <v>-0.47082283076333908</v>
      </c>
      <c r="L360" s="53"/>
    </row>
    <row r="361" spans="1:12" ht="16.5" thickBot="1" x14ac:dyDescent="0.3">
      <c r="A361" s="338" t="s">
        <v>248</v>
      </c>
      <c r="B361" s="338" t="s">
        <v>249</v>
      </c>
      <c r="C361" s="1433"/>
      <c r="D361" s="1433"/>
      <c r="E361" s="616" t="s">
        <v>442</v>
      </c>
      <c r="F361" s="616" t="s">
        <v>443</v>
      </c>
      <c r="G361" s="616" t="s">
        <v>444</v>
      </c>
      <c r="H361" s="616" t="s">
        <v>445</v>
      </c>
      <c r="I361" s="616" t="s">
        <v>446</v>
      </c>
      <c r="J361" s="616" t="s">
        <v>447</v>
      </c>
      <c r="K361" s="616" t="s">
        <v>448</v>
      </c>
      <c r="L361" s="616" t="s">
        <v>449</v>
      </c>
    </row>
    <row r="362" spans="1:12" ht="15" customHeight="1" x14ac:dyDescent="0.25">
      <c r="A362" s="1774" t="s">
        <v>456</v>
      </c>
      <c r="B362" s="1876" t="s">
        <v>457</v>
      </c>
      <c r="C362" s="1347" t="s">
        <v>458</v>
      </c>
      <c r="D362" s="229" t="s">
        <v>459</v>
      </c>
      <c r="E362" s="225" t="s">
        <v>460</v>
      </c>
      <c r="F362" s="195">
        <v>1666</v>
      </c>
      <c r="G362" s="195">
        <v>1616</v>
      </c>
      <c r="H362" s="195">
        <v>1366</v>
      </c>
      <c r="I362" s="195">
        <v>1300</v>
      </c>
      <c r="J362" s="195">
        <v>1233</v>
      </c>
      <c r="K362" s="225">
        <v>1194</v>
      </c>
      <c r="L362" s="20"/>
    </row>
    <row r="363" spans="1:12" ht="14.1" customHeight="1" x14ac:dyDescent="0.25">
      <c r="A363" s="1775"/>
      <c r="B363" s="1799"/>
      <c r="C363" s="1348"/>
      <c r="D363" s="227" t="s">
        <v>436</v>
      </c>
      <c r="E363" s="96"/>
      <c r="F363" s="96">
        <v>765</v>
      </c>
      <c r="G363" s="96">
        <v>776</v>
      </c>
      <c r="H363" s="96">
        <v>624</v>
      </c>
      <c r="I363" s="96">
        <v>588</v>
      </c>
      <c r="J363" s="96">
        <v>538</v>
      </c>
      <c r="K363" s="96">
        <v>552</v>
      </c>
      <c r="L363" s="21"/>
    </row>
    <row r="364" spans="1:12" x14ac:dyDescent="0.25">
      <c r="A364" s="1775"/>
      <c r="B364" s="1799"/>
      <c r="C364" s="1348"/>
      <c r="D364" s="227" t="s">
        <v>437</v>
      </c>
      <c r="E364" s="96"/>
      <c r="F364" s="96">
        <v>901</v>
      </c>
      <c r="G364" s="96">
        <v>840</v>
      </c>
      <c r="H364" s="96">
        <v>742</v>
      </c>
      <c r="I364" s="96">
        <v>712</v>
      </c>
      <c r="J364" s="96">
        <v>695</v>
      </c>
      <c r="K364" s="96">
        <v>642</v>
      </c>
      <c r="L364" s="21"/>
    </row>
    <row r="365" spans="1:12" ht="15" customHeight="1" x14ac:dyDescent="0.25">
      <c r="A365" s="1775"/>
      <c r="B365" s="1799"/>
      <c r="C365" s="1348" t="s">
        <v>461</v>
      </c>
      <c r="D365" s="226" t="s">
        <v>459</v>
      </c>
      <c r="E365" s="96"/>
      <c r="F365" s="157">
        <v>707</v>
      </c>
      <c r="G365" s="157">
        <f>296+331</f>
        <v>627</v>
      </c>
      <c r="H365" s="157">
        <v>585</v>
      </c>
      <c r="I365" s="157">
        <v>615</v>
      </c>
      <c r="J365" s="157">
        <f>338+246</f>
        <v>584</v>
      </c>
      <c r="K365" s="96">
        <v>630</v>
      </c>
      <c r="L365" s="21"/>
    </row>
    <row r="366" spans="1:12" x14ac:dyDescent="0.25">
      <c r="A366" s="1775"/>
      <c r="B366" s="1799"/>
      <c r="C366" s="1348"/>
      <c r="D366" s="227" t="s">
        <v>436</v>
      </c>
      <c r="E366" s="96"/>
      <c r="F366" s="96">
        <v>370</v>
      </c>
      <c r="G366" s="96">
        <f>163+183</f>
        <v>346</v>
      </c>
      <c r="H366" s="96">
        <v>289</v>
      </c>
      <c r="I366" s="96">
        <v>319</v>
      </c>
      <c r="J366" s="96">
        <f>172+132</f>
        <v>304</v>
      </c>
      <c r="K366" s="96">
        <v>345</v>
      </c>
      <c r="L366" s="21"/>
    </row>
    <row r="367" spans="1:12" ht="16.5" thickBot="1" x14ac:dyDescent="0.3">
      <c r="A367" s="1775"/>
      <c r="B367" s="1799"/>
      <c r="C367" s="1349"/>
      <c r="D367" s="239" t="s">
        <v>437</v>
      </c>
      <c r="E367" s="190"/>
      <c r="F367" s="190">
        <v>337</v>
      </c>
      <c r="G367" s="190">
        <f>133+148</f>
        <v>281</v>
      </c>
      <c r="H367" s="190">
        <v>296</v>
      </c>
      <c r="I367" s="190">
        <v>296</v>
      </c>
      <c r="J367" s="190">
        <f>166+114</f>
        <v>280</v>
      </c>
      <c r="K367" s="190">
        <v>285</v>
      </c>
      <c r="L367" s="22"/>
    </row>
    <row r="368" spans="1:12" x14ac:dyDescent="0.25">
      <c r="A368" s="1775"/>
      <c r="B368" s="1813"/>
      <c r="C368" s="1186" t="s">
        <v>462</v>
      </c>
      <c r="D368" s="1186"/>
      <c r="E368" s="220"/>
      <c r="F368" s="240">
        <f>F366/F363*100</f>
        <v>48.366013071895424</v>
      </c>
      <c r="G368" s="240">
        <f>G366/G363*100</f>
        <v>44.587628865979383</v>
      </c>
      <c r="H368" s="240">
        <f t="shared" ref="H368:I369" si="23">H366/H363*100</f>
        <v>46.314102564102569</v>
      </c>
      <c r="I368" s="240">
        <f t="shared" si="23"/>
        <v>54.251700680272108</v>
      </c>
      <c r="J368" s="240">
        <f>J366/J363*100</f>
        <v>56.505576208178439</v>
      </c>
      <c r="K368" s="240">
        <f>K366/K363*100</f>
        <v>62.5</v>
      </c>
      <c r="L368" s="87"/>
    </row>
    <row r="369" spans="1:12" x14ac:dyDescent="0.25">
      <c r="A369" s="1775"/>
      <c r="B369" s="1813"/>
      <c r="C369" s="1124" t="s">
        <v>463</v>
      </c>
      <c r="D369" s="1124"/>
      <c r="E369" s="96"/>
      <c r="F369" s="29">
        <f>F367/F364*100</f>
        <v>37.402885682574919</v>
      </c>
      <c r="G369" s="29">
        <f>G367/G364*100</f>
        <v>33.452380952380949</v>
      </c>
      <c r="H369" s="29">
        <f t="shared" si="23"/>
        <v>39.892183288409704</v>
      </c>
      <c r="I369" s="29">
        <f t="shared" si="23"/>
        <v>41.573033707865171</v>
      </c>
      <c r="J369" s="29">
        <f>J367/J364*100</f>
        <v>40.28776978417266</v>
      </c>
      <c r="K369" s="29">
        <f>K367/K364*100</f>
        <v>44.392523364485982</v>
      </c>
      <c r="L369" s="21"/>
    </row>
    <row r="370" spans="1:12" ht="16.5" thickBot="1" x14ac:dyDescent="0.3">
      <c r="A370" s="1775"/>
      <c r="B370" s="1880"/>
      <c r="C370" s="1126" t="s">
        <v>354</v>
      </c>
      <c r="D370" s="1126"/>
      <c r="E370" s="33"/>
      <c r="F370" s="161">
        <f>+F369-F368</f>
        <v>-10.963127389320505</v>
      </c>
      <c r="G370" s="161">
        <f t="shared" ref="G370:I370" si="24">+G369-G368</f>
        <v>-11.135247913598434</v>
      </c>
      <c r="H370" s="161">
        <f t="shared" si="24"/>
        <v>-6.4219192756928649</v>
      </c>
      <c r="I370" s="161">
        <f t="shared" si="24"/>
        <v>-12.678666972406937</v>
      </c>
      <c r="J370" s="161">
        <f>+J369-J368</f>
        <v>-16.217806424005779</v>
      </c>
      <c r="K370" s="161">
        <f>+K369-K368</f>
        <v>-18.107476635514018</v>
      </c>
      <c r="L370" s="22"/>
    </row>
    <row r="371" spans="1:12" ht="16.5" thickBot="1" x14ac:dyDescent="0.3">
      <c r="A371" s="1775"/>
      <c r="B371" s="762" t="s">
        <v>249</v>
      </c>
      <c r="C371" s="1433"/>
      <c r="D371" s="1433"/>
      <c r="E371" s="616" t="s">
        <v>442</v>
      </c>
      <c r="F371" s="616" t="s">
        <v>443</v>
      </c>
      <c r="G371" s="616" t="s">
        <v>444</v>
      </c>
      <c r="H371" s="616" t="s">
        <v>445</v>
      </c>
      <c r="I371" s="616" t="s">
        <v>446</v>
      </c>
      <c r="J371" s="616" t="s">
        <v>447</v>
      </c>
      <c r="K371" s="616" t="s">
        <v>448</v>
      </c>
      <c r="L371" s="616" t="s">
        <v>449</v>
      </c>
    </row>
    <row r="372" spans="1:12" ht="15" customHeight="1" x14ac:dyDescent="0.25">
      <c r="A372" s="1775"/>
      <c r="B372" s="1876" t="s">
        <v>464</v>
      </c>
      <c r="C372" s="1251" t="s">
        <v>459</v>
      </c>
      <c r="D372" s="1206"/>
      <c r="E372" s="40"/>
      <c r="F372" s="195">
        <v>660</v>
      </c>
      <c r="G372" s="195">
        <v>738</v>
      </c>
      <c r="H372" s="195">
        <v>580</v>
      </c>
      <c r="I372" s="195">
        <v>529</v>
      </c>
      <c r="J372" s="195">
        <v>561</v>
      </c>
      <c r="K372" s="40">
        <v>654</v>
      </c>
      <c r="L372" s="20"/>
    </row>
    <row r="373" spans="1:12" x14ac:dyDescent="0.25">
      <c r="A373" s="1775"/>
      <c r="B373" s="1799"/>
      <c r="C373" s="1123" t="s">
        <v>436</v>
      </c>
      <c r="D373" s="1124"/>
      <c r="E373" s="96"/>
      <c r="F373" s="96">
        <v>264</v>
      </c>
      <c r="G373" s="96">
        <v>325</v>
      </c>
      <c r="H373" s="96">
        <v>200</v>
      </c>
      <c r="I373" s="96">
        <v>190</v>
      </c>
      <c r="J373" s="96">
        <v>201</v>
      </c>
      <c r="K373" s="96">
        <v>239</v>
      </c>
      <c r="L373" s="21"/>
    </row>
    <row r="374" spans="1:12" x14ac:dyDescent="0.25">
      <c r="A374" s="1775"/>
      <c r="B374" s="1799"/>
      <c r="C374" s="1123" t="s">
        <v>437</v>
      </c>
      <c r="D374" s="1124"/>
      <c r="E374" s="96"/>
      <c r="F374" s="96">
        <v>396</v>
      </c>
      <c r="G374" s="96">
        <v>413</v>
      </c>
      <c r="H374" s="96">
        <v>380</v>
      </c>
      <c r="I374" s="96">
        <v>339</v>
      </c>
      <c r="J374" s="96">
        <v>360</v>
      </c>
      <c r="K374" s="96">
        <v>415</v>
      </c>
      <c r="L374" s="21"/>
    </row>
    <row r="375" spans="1:12" ht="16.5" thickBot="1" x14ac:dyDescent="0.3">
      <c r="A375" s="1775"/>
      <c r="B375" s="1799"/>
      <c r="C375" s="1170" t="s">
        <v>270</v>
      </c>
      <c r="D375" s="1155"/>
      <c r="E375" s="190"/>
      <c r="F375" s="285">
        <f t="shared" ref="F375:J375" si="25">F374/F372*100</f>
        <v>60</v>
      </c>
      <c r="G375" s="285">
        <f t="shared" si="25"/>
        <v>55.962059620596207</v>
      </c>
      <c r="H375" s="285">
        <f t="shared" si="25"/>
        <v>65.517241379310349</v>
      </c>
      <c r="I375" s="285">
        <f t="shared" si="25"/>
        <v>64.083175803402654</v>
      </c>
      <c r="J375" s="285">
        <f t="shared" si="25"/>
        <v>64.171122994652407</v>
      </c>
      <c r="K375" s="285">
        <f>K374/K372*100</f>
        <v>63.455657492354746</v>
      </c>
      <c r="L375" s="22"/>
    </row>
    <row r="376" spans="1:12" x14ac:dyDescent="0.25">
      <c r="A376" s="1775"/>
      <c r="B376" s="1799"/>
      <c r="C376" s="1159" t="s">
        <v>465</v>
      </c>
      <c r="D376" s="248" t="s">
        <v>251</v>
      </c>
      <c r="E376" s="249"/>
      <c r="F376" s="250">
        <v>291</v>
      </c>
      <c r="G376" s="250">
        <v>368</v>
      </c>
      <c r="H376" s="250">
        <v>328</v>
      </c>
      <c r="I376" s="250">
        <v>301</v>
      </c>
      <c r="J376" s="250">
        <v>341</v>
      </c>
      <c r="K376" s="36">
        <v>379</v>
      </c>
      <c r="L376" s="20"/>
    </row>
    <row r="377" spans="1:12" x14ac:dyDescent="0.25">
      <c r="A377" s="1775"/>
      <c r="B377" s="1799"/>
      <c r="C377" s="1160"/>
      <c r="D377" s="28" t="s">
        <v>257</v>
      </c>
      <c r="E377" s="94"/>
      <c r="F377" s="236">
        <v>39</v>
      </c>
      <c r="G377" s="236">
        <v>71</v>
      </c>
      <c r="H377" s="236">
        <v>55</v>
      </c>
      <c r="I377" s="236">
        <v>56</v>
      </c>
      <c r="J377" s="236">
        <v>61</v>
      </c>
      <c r="K377" s="28">
        <v>76</v>
      </c>
      <c r="L377" s="21"/>
    </row>
    <row r="378" spans="1:12" x14ac:dyDescent="0.25">
      <c r="A378" s="1775"/>
      <c r="B378" s="1799"/>
      <c r="C378" s="1160"/>
      <c r="D378" s="28" t="s">
        <v>263</v>
      </c>
      <c r="E378" s="94"/>
      <c r="F378" s="236">
        <v>252</v>
      </c>
      <c r="G378" s="236">
        <v>297</v>
      </c>
      <c r="H378" s="236">
        <v>273</v>
      </c>
      <c r="I378" s="236">
        <v>245</v>
      </c>
      <c r="J378" s="236">
        <v>280</v>
      </c>
      <c r="K378" s="28">
        <v>303</v>
      </c>
      <c r="L378" s="21"/>
    </row>
    <row r="379" spans="1:12" ht="16.5" thickBot="1" x14ac:dyDescent="0.3">
      <c r="A379" s="1775"/>
      <c r="B379" s="1799"/>
      <c r="C379" s="1161"/>
      <c r="D379" s="203" t="s">
        <v>270</v>
      </c>
      <c r="E379" s="104"/>
      <c r="F379" s="251">
        <f>(F378/F376)*100</f>
        <v>86.597938144329902</v>
      </c>
      <c r="G379" s="251">
        <f>(G378/G376)*100</f>
        <v>80.706521739130437</v>
      </c>
      <c r="H379" s="251">
        <f t="shared" ref="H379:J379" si="26">(H378/H376)*100</f>
        <v>83.231707317073173</v>
      </c>
      <c r="I379" s="251">
        <f t="shared" si="26"/>
        <v>81.395348837209298</v>
      </c>
      <c r="J379" s="251">
        <f t="shared" si="26"/>
        <v>82.111436950146626</v>
      </c>
      <c r="K379" s="251">
        <f>(K378/K376)*100</f>
        <v>79.947229551451187</v>
      </c>
      <c r="L379" s="22"/>
    </row>
    <row r="380" spans="1:12" x14ac:dyDescent="0.25">
      <c r="A380" s="1775"/>
      <c r="B380" s="1826"/>
      <c r="C380" s="1159" t="s">
        <v>541</v>
      </c>
      <c r="D380" s="248" t="s">
        <v>251</v>
      </c>
      <c r="E380" s="249"/>
      <c r="F380" s="250">
        <v>140</v>
      </c>
      <c r="G380" s="250">
        <v>134</v>
      </c>
      <c r="H380" s="250">
        <v>120</v>
      </c>
      <c r="I380" s="250">
        <v>110</v>
      </c>
      <c r="J380" s="250">
        <v>98</v>
      </c>
      <c r="K380" s="36">
        <v>102</v>
      </c>
      <c r="L380" s="20"/>
    </row>
    <row r="381" spans="1:12" x14ac:dyDescent="0.25">
      <c r="A381" s="1775"/>
      <c r="B381" s="1826"/>
      <c r="C381" s="1160"/>
      <c r="D381" s="28" t="s">
        <v>257</v>
      </c>
      <c r="E381" s="94"/>
      <c r="F381" s="80">
        <v>65</v>
      </c>
      <c r="G381" s="80">
        <v>89</v>
      </c>
      <c r="H381" s="80">
        <v>80</v>
      </c>
      <c r="I381" s="80">
        <v>77</v>
      </c>
      <c r="J381" s="80">
        <v>71</v>
      </c>
      <c r="K381" s="28">
        <v>60</v>
      </c>
      <c r="L381" s="21"/>
    </row>
    <row r="382" spans="1:12" x14ac:dyDescent="0.25">
      <c r="A382" s="1775"/>
      <c r="B382" s="1826"/>
      <c r="C382" s="1160"/>
      <c r="D382" s="28" t="s">
        <v>263</v>
      </c>
      <c r="E382" s="94"/>
      <c r="F382" s="80">
        <v>75</v>
      </c>
      <c r="G382" s="80">
        <v>45</v>
      </c>
      <c r="H382" s="80">
        <v>40</v>
      </c>
      <c r="I382" s="80">
        <v>33</v>
      </c>
      <c r="J382" s="80">
        <v>27</v>
      </c>
      <c r="K382" s="28">
        <v>42</v>
      </c>
      <c r="L382" s="21"/>
    </row>
    <row r="383" spans="1:12" ht="16.5" thickBot="1" x14ac:dyDescent="0.3">
      <c r="A383" s="1775"/>
      <c r="B383" s="1826"/>
      <c r="C383" s="1161"/>
      <c r="D383" s="203" t="s">
        <v>270</v>
      </c>
      <c r="E383" s="106"/>
      <c r="F383" s="252">
        <f>(F382/F380)*100</f>
        <v>53.571428571428569</v>
      </c>
      <c r="G383" s="253">
        <f t="shared" ref="G383:J383" si="27">(G382/G380)*100</f>
        <v>33.582089552238806</v>
      </c>
      <c r="H383" s="253">
        <f t="shared" si="27"/>
        <v>33.333333333333329</v>
      </c>
      <c r="I383" s="253">
        <f t="shared" si="27"/>
        <v>30</v>
      </c>
      <c r="J383" s="253">
        <f t="shared" si="27"/>
        <v>27.551020408163261</v>
      </c>
      <c r="K383" s="252">
        <f>(K382/K380)*100</f>
        <v>41.17647058823529</v>
      </c>
      <c r="L383" s="22"/>
    </row>
    <row r="384" spans="1:12" x14ac:dyDescent="0.25">
      <c r="A384" s="1775"/>
      <c r="B384" s="1799"/>
      <c r="C384" s="1159" t="s">
        <v>466</v>
      </c>
      <c r="D384" s="248" t="s">
        <v>251</v>
      </c>
      <c r="E384" s="249"/>
      <c r="F384" s="250">
        <v>86</v>
      </c>
      <c r="G384" s="250">
        <v>86</v>
      </c>
      <c r="H384" s="250">
        <v>101</v>
      </c>
      <c r="I384" s="250">
        <v>86</v>
      </c>
      <c r="J384" s="250">
        <v>82</v>
      </c>
      <c r="K384" s="36">
        <v>103</v>
      </c>
      <c r="L384" s="20"/>
    </row>
    <row r="385" spans="1:12" x14ac:dyDescent="0.25">
      <c r="A385" s="1775"/>
      <c r="B385" s="1799"/>
      <c r="C385" s="1160"/>
      <c r="D385" s="28" t="s">
        <v>257</v>
      </c>
      <c r="E385" s="94"/>
      <c r="F385" s="80">
        <v>20</v>
      </c>
      <c r="G385" s="80">
        <v>21</v>
      </c>
      <c r="H385" s="80">
        <v>37</v>
      </c>
      <c r="I385" s="80">
        <v>26</v>
      </c>
      <c r="J385" s="80">
        <v>33</v>
      </c>
      <c r="K385" s="28">
        <v>44</v>
      </c>
      <c r="L385" s="21"/>
    </row>
    <row r="386" spans="1:12" x14ac:dyDescent="0.25">
      <c r="A386" s="1775"/>
      <c r="B386" s="1799"/>
      <c r="C386" s="1160"/>
      <c r="D386" s="28" t="s">
        <v>263</v>
      </c>
      <c r="E386" s="94"/>
      <c r="F386" s="80">
        <v>66</v>
      </c>
      <c r="G386" s="80">
        <v>65</v>
      </c>
      <c r="H386" s="80">
        <v>64</v>
      </c>
      <c r="I386" s="80">
        <v>60</v>
      </c>
      <c r="J386" s="80">
        <v>49</v>
      </c>
      <c r="K386" s="28">
        <v>59</v>
      </c>
      <c r="L386" s="21"/>
    </row>
    <row r="387" spans="1:12" ht="16.5" thickBot="1" x14ac:dyDescent="0.3">
      <c r="A387" s="1775"/>
      <c r="B387" s="1799"/>
      <c r="C387" s="1161"/>
      <c r="D387" s="203" t="s">
        <v>270</v>
      </c>
      <c r="E387" s="106"/>
      <c r="F387" s="251">
        <f t="shared" ref="F387" si="28">(F386/F384)*100</f>
        <v>76.744186046511629</v>
      </c>
      <c r="G387" s="251">
        <f>(G386/G384)*100</f>
        <v>75.581395348837205</v>
      </c>
      <c r="H387" s="251">
        <f>(H386/H384)*100</f>
        <v>63.366336633663366</v>
      </c>
      <c r="I387" s="251">
        <f t="shared" ref="I387:J387" si="29">(I386/I384)*100</f>
        <v>69.767441860465112</v>
      </c>
      <c r="J387" s="252">
        <f t="shared" si="29"/>
        <v>59.756097560975604</v>
      </c>
      <c r="K387" s="252">
        <f>(K386/K384)*100</f>
        <v>57.28155339805825</v>
      </c>
      <c r="L387" s="22"/>
    </row>
    <row r="388" spans="1:12" ht="14.85" customHeight="1" x14ac:dyDescent="0.25">
      <c r="A388" s="1775"/>
      <c r="B388" s="1799"/>
      <c r="C388" s="1159" t="s">
        <v>582</v>
      </c>
      <c r="D388" s="248" t="s">
        <v>251</v>
      </c>
      <c r="E388" s="249"/>
      <c r="F388" s="250">
        <v>40</v>
      </c>
      <c r="G388" s="250">
        <v>46</v>
      </c>
      <c r="H388" s="250">
        <v>31</v>
      </c>
      <c r="I388" s="250">
        <v>32</v>
      </c>
      <c r="J388" s="250">
        <v>40</v>
      </c>
      <c r="K388" s="36">
        <v>40</v>
      </c>
      <c r="L388" s="20"/>
    </row>
    <row r="389" spans="1:12" ht="14.85" customHeight="1" x14ac:dyDescent="0.25">
      <c r="A389" s="1775"/>
      <c r="B389" s="1799"/>
      <c r="C389" s="1160"/>
      <c r="D389" s="28" t="s">
        <v>257</v>
      </c>
      <c r="E389" s="94"/>
      <c r="F389" s="80">
        <v>39</v>
      </c>
      <c r="G389" s="80">
        <v>42</v>
      </c>
      <c r="H389" s="80">
        <v>28</v>
      </c>
      <c r="I389" s="80">
        <v>31</v>
      </c>
      <c r="J389" s="80">
        <v>36</v>
      </c>
      <c r="K389" s="28">
        <v>35</v>
      </c>
      <c r="L389" s="21"/>
    </row>
    <row r="390" spans="1:12" x14ac:dyDescent="0.25">
      <c r="A390" s="1775"/>
      <c r="B390" s="1799"/>
      <c r="C390" s="1160"/>
      <c r="D390" s="28" t="s">
        <v>263</v>
      </c>
      <c r="E390" s="94"/>
      <c r="F390" s="80">
        <v>1</v>
      </c>
      <c r="G390" s="80">
        <v>4</v>
      </c>
      <c r="H390" s="80">
        <v>2</v>
      </c>
      <c r="I390" s="80">
        <v>1</v>
      </c>
      <c r="J390" s="80">
        <v>4</v>
      </c>
      <c r="K390" s="28">
        <v>5</v>
      </c>
      <c r="L390" s="21"/>
    </row>
    <row r="391" spans="1:12" ht="16.5" thickBot="1" x14ac:dyDescent="0.3">
      <c r="A391" s="1775"/>
      <c r="B391" s="1799"/>
      <c r="C391" s="1161"/>
      <c r="D391" s="203" t="s">
        <v>270</v>
      </c>
      <c r="E391" s="106"/>
      <c r="F391" s="253">
        <f>(F390/F388)*100</f>
        <v>2.5</v>
      </c>
      <c r="G391" s="253">
        <f t="shared" ref="G391:I391" si="30">(G390/G388)*100</f>
        <v>8.695652173913043</v>
      </c>
      <c r="H391" s="253">
        <f t="shared" si="30"/>
        <v>6.4516129032258061</v>
      </c>
      <c r="I391" s="253">
        <f t="shared" si="30"/>
        <v>3.125</v>
      </c>
      <c r="J391" s="253">
        <f t="shared" ref="J391" si="31">(J390/J388)*100</f>
        <v>10</v>
      </c>
      <c r="K391" s="253">
        <f>(K390/K388)*100</f>
        <v>12.5</v>
      </c>
      <c r="L391" s="22"/>
    </row>
    <row r="392" spans="1:12" x14ac:dyDescent="0.25">
      <c r="A392" s="1775"/>
      <c r="B392" s="1799"/>
      <c r="C392" s="1159" t="s">
        <v>581</v>
      </c>
      <c r="D392" s="248" t="s">
        <v>251</v>
      </c>
      <c r="E392" s="249"/>
      <c r="F392" s="344">
        <v>103</v>
      </c>
      <c r="G392" s="807"/>
      <c r="H392" s="807"/>
      <c r="I392" s="808"/>
      <c r="J392" s="808"/>
      <c r="K392" s="809"/>
      <c r="L392" s="20"/>
    </row>
    <row r="393" spans="1:12" x14ac:dyDescent="0.25">
      <c r="A393" s="1775"/>
      <c r="B393" s="1799"/>
      <c r="C393" s="1160"/>
      <c r="D393" s="28" t="s">
        <v>257</v>
      </c>
      <c r="E393" s="94"/>
      <c r="F393" s="181">
        <v>101</v>
      </c>
      <c r="G393" s="805"/>
      <c r="H393" s="805"/>
      <c r="I393" s="781"/>
      <c r="J393" s="781"/>
      <c r="K393" s="280"/>
      <c r="L393" s="21"/>
    </row>
    <row r="394" spans="1:12" x14ac:dyDescent="0.25">
      <c r="A394" s="1775"/>
      <c r="B394" s="1799"/>
      <c r="C394" s="1160"/>
      <c r="D394" s="28" t="s">
        <v>263</v>
      </c>
      <c r="E394" s="94"/>
      <c r="F394" s="181">
        <v>2</v>
      </c>
      <c r="G394" s="805"/>
      <c r="H394" s="805"/>
      <c r="I394" s="781"/>
      <c r="J394" s="781"/>
      <c r="K394" s="280"/>
      <c r="L394" s="21"/>
    </row>
    <row r="395" spans="1:12" ht="16.5" thickBot="1" x14ac:dyDescent="0.3">
      <c r="A395" s="1775"/>
      <c r="B395" s="1799"/>
      <c r="C395" s="1161"/>
      <c r="D395" s="203" t="s">
        <v>270</v>
      </c>
      <c r="E395" s="106"/>
      <c r="F395" s="253">
        <f>(F394/F392)*100</f>
        <v>1.9417475728155338</v>
      </c>
      <c r="G395" s="1048"/>
      <c r="H395" s="1048"/>
      <c r="I395" s="1048"/>
      <c r="J395" s="1048"/>
      <c r="K395" s="1049"/>
      <c r="L395" s="22"/>
    </row>
    <row r="396" spans="1:12" ht="14.85" customHeight="1" x14ac:dyDescent="0.25">
      <c r="A396" s="1775"/>
      <c r="B396" s="1799"/>
      <c r="C396" s="1159" t="s">
        <v>467</v>
      </c>
      <c r="D396" s="248" t="s">
        <v>251</v>
      </c>
      <c r="E396" s="36"/>
      <c r="F396" s="809"/>
      <c r="G396" s="809"/>
      <c r="H396" s="809"/>
      <c r="I396" s="809"/>
      <c r="J396" s="809"/>
      <c r="K396" s="36">
        <v>30</v>
      </c>
      <c r="L396" s="20"/>
    </row>
    <row r="397" spans="1:12" ht="14.85" customHeight="1" x14ac:dyDescent="0.25">
      <c r="A397" s="1775"/>
      <c r="B397" s="1799"/>
      <c r="C397" s="1160"/>
      <c r="D397" s="28" t="s">
        <v>257</v>
      </c>
      <c r="E397" s="28"/>
      <c r="F397" s="280"/>
      <c r="G397" s="280"/>
      <c r="H397" s="280"/>
      <c r="I397" s="280"/>
      <c r="J397" s="280"/>
      <c r="K397" s="28">
        <v>24</v>
      </c>
      <c r="L397" s="21"/>
    </row>
    <row r="398" spans="1:12" x14ac:dyDescent="0.25">
      <c r="A398" s="1775"/>
      <c r="B398" s="1799"/>
      <c r="C398" s="1160"/>
      <c r="D398" s="28" t="s">
        <v>263</v>
      </c>
      <c r="E398" s="28"/>
      <c r="F398" s="280"/>
      <c r="G398" s="280"/>
      <c r="H398" s="280"/>
      <c r="I398" s="280"/>
      <c r="J398" s="280"/>
      <c r="K398" s="28">
        <v>6</v>
      </c>
      <c r="L398" s="21"/>
    </row>
    <row r="399" spans="1:12" ht="14.1" customHeight="1" thickBot="1" x14ac:dyDescent="0.3">
      <c r="A399" s="1775"/>
      <c r="B399" s="1799"/>
      <c r="C399" s="1161"/>
      <c r="D399" s="203" t="s">
        <v>270</v>
      </c>
      <c r="E399" s="33"/>
      <c r="F399" s="1049"/>
      <c r="G399" s="1049"/>
      <c r="H399" s="1049"/>
      <c r="I399" s="1049"/>
      <c r="J399" s="1049"/>
      <c r="K399" s="253">
        <f>(K398/K396)*100</f>
        <v>20</v>
      </c>
      <c r="L399" s="22"/>
    </row>
    <row r="400" spans="1:12" x14ac:dyDescent="0.25">
      <c r="A400" s="1775"/>
      <c r="B400" s="1799"/>
      <c r="C400" s="1166" t="s">
        <v>472</v>
      </c>
      <c r="D400" s="308" t="s">
        <v>473</v>
      </c>
      <c r="E400" s="612"/>
      <c r="F400" s="261">
        <f>2/5*100</f>
        <v>40</v>
      </c>
      <c r="G400" s="261">
        <f>2/4*100</f>
        <v>50</v>
      </c>
      <c r="H400" s="261">
        <f>2/4*100</f>
        <v>50</v>
      </c>
      <c r="I400" s="261">
        <f>2/4*100</f>
        <v>50</v>
      </c>
      <c r="J400" s="261">
        <f>2/4*100</f>
        <v>50</v>
      </c>
      <c r="K400" s="261">
        <f>2/5*100</f>
        <v>40</v>
      </c>
      <c r="L400" s="20"/>
    </row>
    <row r="401" spans="1:12" x14ac:dyDescent="0.25">
      <c r="A401" s="1775"/>
      <c r="B401" s="1799"/>
      <c r="C401" s="1167"/>
      <c r="D401" s="232" t="s">
        <v>474</v>
      </c>
      <c r="E401" s="92"/>
      <c r="F401" s="234">
        <f>2/5*100</f>
        <v>40</v>
      </c>
      <c r="G401" s="234">
        <v>50</v>
      </c>
      <c r="H401" s="234">
        <v>50</v>
      </c>
      <c r="I401" s="234">
        <v>50</v>
      </c>
      <c r="J401" s="234">
        <f>1/4*100</f>
        <v>25</v>
      </c>
      <c r="K401" s="234">
        <f>1/5*100</f>
        <v>20</v>
      </c>
      <c r="L401" s="21"/>
    </row>
    <row r="402" spans="1:12" ht="16.5" thickBot="1" x14ac:dyDescent="0.3">
      <c r="A402" s="1775"/>
      <c r="B402" s="1877"/>
      <c r="C402" s="1255"/>
      <c r="D402" s="311" t="s">
        <v>475</v>
      </c>
      <c r="E402" s="106"/>
      <c r="F402" s="312">
        <f>1/5*100</f>
        <v>20</v>
      </c>
      <c r="G402" s="312">
        <f>0/4*100</f>
        <v>0</v>
      </c>
      <c r="H402" s="312">
        <f>0/4*100</f>
        <v>0</v>
      </c>
      <c r="I402" s="312">
        <f>0/4*100</f>
        <v>0</v>
      </c>
      <c r="J402" s="312">
        <f>1/4*100</f>
        <v>25</v>
      </c>
      <c r="K402" s="312">
        <v>40</v>
      </c>
      <c r="L402" s="22"/>
    </row>
    <row r="403" spans="1:12" ht="14.1" customHeight="1" thickBot="1" x14ac:dyDescent="0.3">
      <c r="A403" s="1775"/>
      <c r="B403" s="896" t="s">
        <v>249</v>
      </c>
      <c r="C403" s="1681"/>
      <c r="D403" s="1681"/>
      <c r="E403" s="112" t="s">
        <v>442</v>
      </c>
      <c r="F403" s="112" t="s">
        <v>443</v>
      </c>
      <c r="G403" s="112" t="s">
        <v>444</v>
      </c>
      <c r="H403" s="112" t="s">
        <v>445</v>
      </c>
      <c r="I403" s="112" t="s">
        <v>446</v>
      </c>
      <c r="J403" s="112" t="s">
        <v>447</v>
      </c>
      <c r="K403" s="112" t="s">
        <v>448</v>
      </c>
      <c r="L403" s="112" t="s">
        <v>449</v>
      </c>
    </row>
    <row r="404" spans="1:12" ht="15" customHeight="1" x14ac:dyDescent="0.25">
      <c r="A404" s="1775"/>
      <c r="B404" s="1872" t="s">
        <v>476</v>
      </c>
      <c r="C404" s="1665" t="s">
        <v>459</v>
      </c>
      <c r="D404" s="1206"/>
      <c r="E404" s="40"/>
      <c r="F404" s="195">
        <v>901</v>
      </c>
      <c r="G404" s="195">
        <v>909</v>
      </c>
      <c r="H404" s="195">
        <v>1057</v>
      </c>
      <c r="I404" s="195">
        <v>1013</v>
      </c>
      <c r="J404" s="195">
        <v>1104</v>
      </c>
      <c r="K404" s="195">
        <v>1172</v>
      </c>
      <c r="L404" s="20"/>
    </row>
    <row r="405" spans="1:12" x14ac:dyDescent="0.25">
      <c r="A405" s="1775"/>
      <c r="B405" s="1826"/>
      <c r="C405" s="1148" t="s">
        <v>436</v>
      </c>
      <c r="D405" s="1124"/>
      <c r="E405" s="96"/>
      <c r="F405" s="96">
        <v>387</v>
      </c>
      <c r="G405" s="96">
        <v>434</v>
      </c>
      <c r="H405" s="96">
        <v>557</v>
      </c>
      <c r="I405" s="96">
        <v>532</v>
      </c>
      <c r="J405" s="96">
        <v>554</v>
      </c>
      <c r="K405" s="1016">
        <v>566</v>
      </c>
      <c r="L405" s="21"/>
    </row>
    <row r="406" spans="1:12" x14ac:dyDescent="0.25">
      <c r="A406" s="1775"/>
      <c r="B406" s="1826"/>
      <c r="C406" s="1148" t="s">
        <v>437</v>
      </c>
      <c r="D406" s="1124"/>
      <c r="E406" s="96"/>
      <c r="F406" s="96">
        <v>514</v>
      </c>
      <c r="G406" s="96">
        <v>475</v>
      </c>
      <c r="H406" s="96">
        <v>500</v>
      </c>
      <c r="I406" s="96">
        <v>481</v>
      </c>
      <c r="J406" s="96">
        <v>550</v>
      </c>
      <c r="K406" s="1016">
        <v>606</v>
      </c>
      <c r="L406" s="21"/>
    </row>
    <row r="407" spans="1:12" ht="16.5" thickBot="1" x14ac:dyDescent="0.3">
      <c r="A407" s="1775"/>
      <c r="B407" s="1826"/>
      <c r="C407" s="1154" t="s">
        <v>270</v>
      </c>
      <c r="D407" s="1288"/>
      <c r="E407" s="190"/>
      <c r="F407" s="285">
        <f t="shared" ref="F407:K407" si="32">F406/F404*100</f>
        <v>57.047724750277474</v>
      </c>
      <c r="G407" s="285">
        <f t="shared" si="32"/>
        <v>52.255225522552252</v>
      </c>
      <c r="H407" s="285">
        <f t="shared" si="32"/>
        <v>47.303689687795647</v>
      </c>
      <c r="I407" s="285">
        <f>I406/I404*100</f>
        <v>47.482724580454096</v>
      </c>
      <c r="J407" s="285">
        <f t="shared" si="32"/>
        <v>49.818840579710141</v>
      </c>
      <c r="K407" s="285">
        <f t="shared" si="32"/>
        <v>51.706484641638227</v>
      </c>
      <c r="L407" s="22"/>
    </row>
    <row r="408" spans="1:12" x14ac:dyDescent="0.25">
      <c r="A408" s="1775"/>
      <c r="B408" s="1826"/>
      <c r="C408" s="1159" t="s">
        <v>541</v>
      </c>
      <c r="D408" s="248" t="s">
        <v>251</v>
      </c>
      <c r="E408" s="249"/>
      <c r="F408" s="250">
        <v>343</v>
      </c>
      <c r="G408" s="250">
        <v>345</v>
      </c>
      <c r="H408" s="250">
        <v>490</v>
      </c>
      <c r="I408" s="250">
        <v>462</v>
      </c>
      <c r="J408" s="250">
        <v>537</v>
      </c>
      <c r="K408" s="36">
        <v>568</v>
      </c>
      <c r="L408" s="20"/>
    </row>
    <row r="409" spans="1:12" x14ac:dyDescent="0.25">
      <c r="A409" s="1775"/>
      <c r="B409" s="1826"/>
      <c r="C409" s="1160"/>
      <c r="D409" s="28" t="s">
        <v>257</v>
      </c>
      <c r="E409" s="94"/>
      <c r="F409" s="236">
        <v>204</v>
      </c>
      <c r="G409" s="236">
        <v>208</v>
      </c>
      <c r="H409" s="236">
        <v>334</v>
      </c>
      <c r="I409" s="236">
        <v>321</v>
      </c>
      <c r="J409" s="236">
        <v>339</v>
      </c>
      <c r="K409" s="28">
        <v>331</v>
      </c>
      <c r="L409" s="21"/>
    </row>
    <row r="410" spans="1:12" x14ac:dyDescent="0.25">
      <c r="A410" s="1775"/>
      <c r="B410" s="1826"/>
      <c r="C410" s="1160"/>
      <c r="D410" s="28" t="s">
        <v>263</v>
      </c>
      <c r="E410" s="94"/>
      <c r="F410" s="236">
        <v>139</v>
      </c>
      <c r="G410" s="236">
        <v>137</v>
      </c>
      <c r="H410" s="236">
        <v>156</v>
      </c>
      <c r="I410" s="236">
        <v>141</v>
      </c>
      <c r="J410" s="236">
        <v>198</v>
      </c>
      <c r="K410" s="28">
        <v>237</v>
      </c>
      <c r="L410" s="21"/>
    </row>
    <row r="411" spans="1:12" ht="16.5" thickBot="1" x14ac:dyDescent="0.3">
      <c r="A411" s="1775"/>
      <c r="B411" s="1826"/>
      <c r="C411" s="1161"/>
      <c r="D411" s="203" t="s">
        <v>270</v>
      </c>
      <c r="E411" s="106"/>
      <c r="F411" s="252">
        <f>(F410/F408)*100</f>
        <v>40.524781341107875</v>
      </c>
      <c r="G411" s="253">
        <f t="shared" ref="G411:K411" si="33">(G410/G408)*100</f>
        <v>39.710144927536234</v>
      </c>
      <c r="H411" s="253">
        <f t="shared" si="33"/>
        <v>31.836734693877549</v>
      </c>
      <c r="I411" s="253">
        <f t="shared" si="33"/>
        <v>30.519480519480517</v>
      </c>
      <c r="J411" s="253">
        <f t="shared" si="33"/>
        <v>36.871508379888269</v>
      </c>
      <c r="K411" s="253">
        <f t="shared" si="33"/>
        <v>41.725352112676056</v>
      </c>
      <c r="L411" s="22"/>
    </row>
    <row r="412" spans="1:12" x14ac:dyDescent="0.25">
      <c r="A412" s="1775"/>
      <c r="B412" s="1826"/>
      <c r="C412" s="1159" t="s">
        <v>465</v>
      </c>
      <c r="D412" s="248" t="s">
        <v>251</v>
      </c>
      <c r="E412" s="249"/>
      <c r="F412" s="250">
        <v>309</v>
      </c>
      <c r="G412" s="250">
        <v>306</v>
      </c>
      <c r="H412" s="250">
        <v>282</v>
      </c>
      <c r="I412" s="250">
        <v>295</v>
      </c>
      <c r="J412" s="250">
        <v>319</v>
      </c>
      <c r="K412" s="36">
        <v>320</v>
      </c>
      <c r="L412" s="20"/>
    </row>
    <row r="413" spans="1:12" x14ac:dyDescent="0.25">
      <c r="A413" s="1775"/>
      <c r="B413" s="1826"/>
      <c r="C413" s="1160"/>
      <c r="D413" s="28" t="s">
        <v>257</v>
      </c>
      <c r="E413" s="94"/>
      <c r="F413" s="236">
        <v>74</v>
      </c>
      <c r="G413" s="236">
        <v>82</v>
      </c>
      <c r="H413" s="236">
        <v>76</v>
      </c>
      <c r="I413" s="236">
        <v>68</v>
      </c>
      <c r="J413" s="236">
        <v>71</v>
      </c>
      <c r="K413" s="28">
        <v>75</v>
      </c>
      <c r="L413" s="21"/>
    </row>
    <row r="414" spans="1:12" x14ac:dyDescent="0.25">
      <c r="A414" s="1775"/>
      <c r="B414" s="1826"/>
      <c r="C414" s="1160"/>
      <c r="D414" s="28" t="s">
        <v>263</v>
      </c>
      <c r="E414" s="94"/>
      <c r="F414" s="236">
        <v>235</v>
      </c>
      <c r="G414" s="236">
        <v>224</v>
      </c>
      <c r="H414" s="236">
        <v>206</v>
      </c>
      <c r="I414" s="236">
        <v>227</v>
      </c>
      <c r="J414" s="236">
        <v>248</v>
      </c>
      <c r="K414" s="28">
        <v>245</v>
      </c>
      <c r="L414" s="21"/>
    </row>
    <row r="415" spans="1:12" ht="16.5" thickBot="1" x14ac:dyDescent="0.3">
      <c r="A415" s="1775"/>
      <c r="B415" s="1826"/>
      <c r="C415" s="1161"/>
      <c r="D415" s="203" t="s">
        <v>270</v>
      </c>
      <c r="E415" s="106"/>
      <c r="F415" s="251">
        <f>(F414/F412)*100</f>
        <v>76.051779935275079</v>
      </c>
      <c r="G415" s="251">
        <f t="shared" ref="G415:K415" si="34">(G414/G412)*100</f>
        <v>73.202614379084963</v>
      </c>
      <c r="H415" s="251">
        <f t="shared" si="34"/>
        <v>73.049645390070921</v>
      </c>
      <c r="I415" s="251">
        <f t="shared" si="34"/>
        <v>76.949152542372872</v>
      </c>
      <c r="J415" s="251">
        <f t="shared" si="34"/>
        <v>77.742946708463947</v>
      </c>
      <c r="K415" s="251">
        <f t="shared" si="34"/>
        <v>76.5625</v>
      </c>
      <c r="L415" s="22"/>
    </row>
    <row r="416" spans="1:12" x14ac:dyDescent="0.25">
      <c r="A416" s="1775"/>
      <c r="B416" s="1826"/>
      <c r="C416" s="1159" t="s">
        <v>466</v>
      </c>
      <c r="D416" s="248" t="s">
        <v>251</v>
      </c>
      <c r="E416" s="249"/>
      <c r="F416" s="250">
        <v>157</v>
      </c>
      <c r="G416" s="250">
        <v>166</v>
      </c>
      <c r="H416" s="250">
        <v>185</v>
      </c>
      <c r="I416" s="250">
        <v>163</v>
      </c>
      <c r="J416" s="250">
        <v>160</v>
      </c>
      <c r="K416" s="36">
        <v>188</v>
      </c>
      <c r="L416" s="20"/>
    </row>
    <row r="417" spans="1:12" x14ac:dyDescent="0.25">
      <c r="A417" s="1775"/>
      <c r="B417" s="1826"/>
      <c r="C417" s="1160"/>
      <c r="D417" s="28" t="s">
        <v>257</v>
      </c>
      <c r="E417" s="94"/>
      <c r="F417" s="236">
        <v>27</v>
      </c>
      <c r="G417" s="236">
        <v>55</v>
      </c>
      <c r="H417" s="236">
        <v>62</v>
      </c>
      <c r="I417" s="236">
        <v>65</v>
      </c>
      <c r="J417" s="236">
        <v>65</v>
      </c>
      <c r="K417" s="28">
        <v>74</v>
      </c>
      <c r="L417" s="21"/>
    </row>
    <row r="418" spans="1:12" x14ac:dyDescent="0.25">
      <c r="A418" s="1775"/>
      <c r="B418" s="1826"/>
      <c r="C418" s="1160"/>
      <c r="D418" s="28" t="s">
        <v>263</v>
      </c>
      <c r="E418" s="94"/>
      <c r="F418" s="236">
        <v>130</v>
      </c>
      <c r="G418" s="236">
        <v>111</v>
      </c>
      <c r="H418" s="236">
        <v>123</v>
      </c>
      <c r="I418" s="236">
        <v>98</v>
      </c>
      <c r="J418" s="236">
        <v>95</v>
      </c>
      <c r="K418" s="28">
        <v>114</v>
      </c>
      <c r="L418" s="21"/>
    </row>
    <row r="419" spans="1:12" ht="16.5" thickBot="1" x14ac:dyDescent="0.3">
      <c r="A419" s="1775"/>
      <c r="B419" s="1826"/>
      <c r="C419" s="1161"/>
      <c r="D419" s="203" t="s">
        <v>270</v>
      </c>
      <c r="E419" s="106"/>
      <c r="F419" s="251">
        <f t="shared" ref="F419" si="35">(F418/F416)*100</f>
        <v>82.802547770700642</v>
      </c>
      <c r="G419" s="251">
        <f>(G418/G416)*100</f>
        <v>66.867469879518069</v>
      </c>
      <c r="H419" s="251">
        <f>(H418/H416)*100</f>
        <v>66.486486486486484</v>
      </c>
      <c r="I419" s="251">
        <f t="shared" ref="I419:K419" si="36">(I418/I416)*100</f>
        <v>60.122699386503065</v>
      </c>
      <c r="J419" s="252">
        <f t="shared" si="36"/>
        <v>59.375</v>
      </c>
      <c r="K419" s="252">
        <f t="shared" si="36"/>
        <v>60.638297872340431</v>
      </c>
      <c r="L419" s="22"/>
    </row>
    <row r="420" spans="1:12" ht="14.85" customHeight="1" x14ac:dyDescent="0.25">
      <c r="A420" s="1775"/>
      <c r="B420" s="1826"/>
      <c r="C420" s="1159" t="s">
        <v>581</v>
      </c>
      <c r="D420" s="248" t="s">
        <v>251</v>
      </c>
      <c r="E420" s="249"/>
      <c r="F420" s="250">
        <v>52</v>
      </c>
      <c r="G420" s="250">
        <v>51</v>
      </c>
      <c r="H420" s="250"/>
      <c r="I420" s="250"/>
      <c r="J420" s="250"/>
      <c r="K420" s="36"/>
      <c r="L420" s="20"/>
    </row>
    <row r="421" spans="1:12" ht="14.85" customHeight="1" x14ac:dyDescent="0.25">
      <c r="A421" s="1775"/>
      <c r="B421" s="1826"/>
      <c r="C421" s="1160"/>
      <c r="D421" s="28" t="s">
        <v>257</v>
      </c>
      <c r="E421" s="94"/>
      <c r="F421" s="236">
        <v>51</v>
      </c>
      <c r="G421" s="236">
        <v>51</v>
      </c>
      <c r="H421" s="236"/>
      <c r="I421" s="236"/>
      <c r="J421" s="236"/>
      <c r="K421" s="28"/>
      <c r="L421" s="21"/>
    </row>
    <row r="422" spans="1:12" x14ac:dyDescent="0.25">
      <c r="A422" s="1775"/>
      <c r="B422" s="1826"/>
      <c r="C422" s="1160"/>
      <c r="D422" s="28" t="s">
        <v>263</v>
      </c>
      <c r="E422" s="94"/>
      <c r="F422" s="236">
        <v>1</v>
      </c>
      <c r="G422" s="236">
        <v>0</v>
      </c>
      <c r="H422" s="236"/>
      <c r="I422" s="236"/>
      <c r="J422" s="236"/>
      <c r="K422" s="28"/>
      <c r="L422" s="21"/>
    </row>
    <row r="423" spans="1:12" ht="16.5" thickBot="1" x14ac:dyDescent="0.3">
      <c r="A423" s="1775"/>
      <c r="B423" s="1826"/>
      <c r="C423" s="1161"/>
      <c r="D423" s="203" t="s">
        <v>270</v>
      </c>
      <c r="E423" s="106"/>
      <c r="F423" s="253">
        <f>(F422/F420)*100</f>
        <v>1.9230769230769231</v>
      </c>
      <c r="G423" s="253">
        <f t="shared" ref="G423" si="37">(G422/G420)*100</f>
        <v>0</v>
      </c>
      <c r="H423" s="197"/>
      <c r="I423" s="197"/>
      <c r="J423" s="197"/>
      <c r="K423" s="33"/>
      <c r="L423" s="22"/>
    </row>
    <row r="424" spans="1:12" ht="14.85" customHeight="1" x14ac:dyDescent="0.25">
      <c r="A424" s="1775"/>
      <c r="B424" s="1826"/>
      <c r="C424" s="1159" t="s">
        <v>582</v>
      </c>
      <c r="D424" s="248" t="s">
        <v>251</v>
      </c>
      <c r="E424" s="249"/>
      <c r="F424" s="250">
        <v>40</v>
      </c>
      <c r="G424" s="250">
        <v>41</v>
      </c>
      <c r="H424" s="250">
        <v>100</v>
      </c>
      <c r="I424" s="250">
        <v>93</v>
      </c>
      <c r="J424" s="250">
        <v>88</v>
      </c>
      <c r="K424" s="36">
        <v>96</v>
      </c>
      <c r="L424" s="20"/>
    </row>
    <row r="425" spans="1:12" ht="14.85" customHeight="1" x14ac:dyDescent="0.25">
      <c r="A425" s="1775"/>
      <c r="B425" s="1826"/>
      <c r="C425" s="1160"/>
      <c r="D425" s="28" t="s">
        <v>257</v>
      </c>
      <c r="E425" s="94"/>
      <c r="F425" s="236">
        <v>31</v>
      </c>
      <c r="G425" s="236">
        <v>38</v>
      </c>
      <c r="H425" s="236">
        <v>85</v>
      </c>
      <c r="I425" s="236">
        <v>78</v>
      </c>
      <c r="J425" s="236">
        <v>79</v>
      </c>
      <c r="K425" s="28">
        <v>86</v>
      </c>
      <c r="L425" s="21"/>
    </row>
    <row r="426" spans="1:12" x14ac:dyDescent="0.25">
      <c r="A426" s="1775"/>
      <c r="B426" s="1826"/>
      <c r="C426" s="1160"/>
      <c r="D426" s="28" t="s">
        <v>263</v>
      </c>
      <c r="E426" s="94"/>
      <c r="F426" s="236">
        <v>9</v>
      </c>
      <c r="G426" s="236">
        <v>3</v>
      </c>
      <c r="H426" s="236">
        <v>15</v>
      </c>
      <c r="I426" s="236">
        <v>15</v>
      </c>
      <c r="J426" s="236">
        <v>9</v>
      </c>
      <c r="K426" s="28">
        <v>10</v>
      </c>
      <c r="L426" s="21"/>
    </row>
    <row r="427" spans="1:12" ht="14.1" customHeight="1" thickBot="1" x14ac:dyDescent="0.3">
      <c r="A427" s="1775"/>
      <c r="B427" s="1826"/>
      <c r="C427" s="1161"/>
      <c r="D427" s="203" t="s">
        <v>270</v>
      </c>
      <c r="E427" s="106"/>
      <c r="F427" s="253">
        <f t="shared" ref="F427:G427" si="38">(F426/F424)*100</f>
        <v>22.5</v>
      </c>
      <c r="G427" s="253">
        <f t="shared" si="38"/>
        <v>7.3170731707317067</v>
      </c>
      <c r="H427" s="253">
        <f>(H426/H424)*100</f>
        <v>15</v>
      </c>
      <c r="I427" s="253">
        <f t="shared" ref="I427:K427" si="39">(I426/I424)*100</f>
        <v>16.129032258064516</v>
      </c>
      <c r="J427" s="253">
        <f t="shared" si="39"/>
        <v>10.227272727272728</v>
      </c>
      <c r="K427" s="253">
        <f t="shared" si="39"/>
        <v>10.416666666666668</v>
      </c>
      <c r="L427" s="22"/>
    </row>
    <row r="428" spans="1:12" x14ac:dyDescent="0.25">
      <c r="A428" s="1775"/>
      <c r="B428" s="1826"/>
      <c r="C428" s="1587" t="s">
        <v>472</v>
      </c>
      <c r="D428" s="254" t="s">
        <v>473</v>
      </c>
      <c r="E428" s="242"/>
      <c r="F428" s="255">
        <v>40</v>
      </c>
      <c r="G428" s="255">
        <f>3/5*100</f>
        <v>60</v>
      </c>
      <c r="H428" s="255">
        <v>50</v>
      </c>
      <c r="I428" s="255">
        <v>50</v>
      </c>
      <c r="J428" s="255">
        <f>1/3*100</f>
        <v>33.333333333333329</v>
      </c>
      <c r="K428" s="255">
        <f>2/4*100</f>
        <v>50</v>
      </c>
      <c r="L428" s="87"/>
    </row>
    <row r="429" spans="1:12" x14ac:dyDescent="0.25">
      <c r="A429" s="1775"/>
      <c r="B429" s="1826"/>
      <c r="C429" s="1167"/>
      <c r="D429" s="232" t="s">
        <v>474</v>
      </c>
      <c r="E429" s="94"/>
      <c r="F429" s="234">
        <v>40</v>
      </c>
      <c r="G429" s="234">
        <f>2/5*100</f>
        <v>40</v>
      </c>
      <c r="H429" s="234">
        <v>50</v>
      </c>
      <c r="I429" s="234">
        <v>50</v>
      </c>
      <c r="J429" s="234">
        <f t="shared" ref="J429:J430" si="40">1/3*100</f>
        <v>33.333333333333329</v>
      </c>
      <c r="K429" s="234">
        <f>1/4*100</f>
        <v>25</v>
      </c>
      <c r="L429" s="21"/>
    </row>
    <row r="430" spans="1:12" ht="16.5" thickBot="1" x14ac:dyDescent="0.3">
      <c r="A430" s="1775"/>
      <c r="B430" s="1873"/>
      <c r="C430" s="1255"/>
      <c r="D430" s="311" t="s">
        <v>475</v>
      </c>
      <c r="E430" s="104"/>
      <c r="F430" s="312">
        <v>20</v>
      </c>
      <c r="G430" s="312">
        <v>0</v>
      </c>
      <c r="H430" s="312">
        <v>0</v>
      </c>
      <c r="I430" s="312">
        <v>0</v>
      </c>
      <c r="J430" s="312">
        <f t="shared" si="40"/>
        <v>33.333333333333329</v>
      </c>
      <c r="K430" s="312">
        <f>1/4*100</f>
        <v>25</v>
      </c>
      <c r="L430" s="22"/>
    </row>
    <row r="431" spans="1:12" ht="14.1" customHeight="1" thickBot="1" x14ac:dyDescent="0.3">
      <c r="A431" s="1775"/>
      <c r="B431" s="683" t="s">
        <v>249</v>
      </c>
      <c r="C431" s="1619"/>
      <c r="D431" s="1620"/>
      <c r="E431" s="622" t="s">
        <v>442</v>
      </c>
      <c r="F431" s="622" t="s">
        <v>443</v>
      </c>
      <c r="G431" s="622" t="s">
        <v>444</v>
      </c>
      <c r="H431" s="622" t="s">
        <v>445</v>
      </c>
      <c r="I431" s="622" t="s">
        <v>446</v>
      </c>
      <c r="J431" s="622" t="s">
        <v>447</v>
      </c>
      <c r="K431" s="622" t="s">
        <v>448</v>
      </c>
      <c r="L431" s="284" t="s">
        <v>449</v>
      </c>
    </row>
    <row r="432" spans="1:12" x14ac:dyDescent="0.25">
      <c r="A432" s="1776"/>
      <c r="B432" s="1744" t="s">
        <v>219</v>
      </c>
      <c r="C432" s="1109" t="s">
        <v>459</v>
      </c>
      <c r="D432" s="1110"/>
      <c r="E432" s="28"/>
      <c r="F432" s="187"/>
      <c r="G432" s="158"/>
      <c r="H432" s="817">
        <v>74</v>
      </c>
      <c r="I432" s="817">
        <v>296</v>
      </c>
      <c r="J432" s="817">
        <v>327</v>
      </c>
      <c r="K432" s="817">
        <v>310</v>
      </c>
      <c r="L432" s="21"/>
    </row>
    <row r="433" spans="1:12" x14ac:dyDescent="0.25">
      <c r="A433" s="1776"/>
      <c r="B433" s="1678"/>
      <c r="C433" s="1123" t="s">
        <v>436</v>
      </c>
      <c r="D433" s="1124"/>
      <c r="E433" s="28"/>
      <c r="F433" s="187"/>
      <c r="G433" s="187"/>
      <c r="H433" s="358">
        <v>59</v>
      </c>
      <c r="I433" s="358">
        <v>182</v>
      </c>
      <c r="J433" s="358">
        <v>186</v>
      </c>
      <c r="K433" s="358">
        <v>149</v>
      </c>
      <c r="L433" s="21"/>
    </row>
    <row r="434" spans="1:12" x14ac:dyDescent="0.25">
      <c r="A434" s="1776"/>
      <c r="B434" s="1678"/>
      <c r="C434" s="1123" t="s">
        <v>437</v>
      </c>
      <c r="D434" s="1124"/>
      <c r="E434" s="96"/>
      <c r="F434" s="96"/>
      <c r="G434" s="96"/>
      <c r="H434" s="358">
        <v>15</v>
      </c>
      <c r="I434" s="358">
        <v>114</v>
      </c>
      <c r="J434" s="358">
        <v>141</v>
      </c>
      <c r="K434" s="358">
        <v>161</v>
      </c>
      <c r="L434" s="21"/>
    </row>
    <row r="435" spans="1:12" x14ac:dyDescent="0.25">
      <c r="A435" s="1776"/>
      <c r="B435" s="1678"/>
      <c r="C435" s="1111" t="s">
        <v>353</v>
      </c>
      <c r="D435" s="1112"/>
      <c r="E435" s="157"/>
      <c r="F435" s="157"/>
      <c r="G435" s="157"/>
      <c r="H435" s="157">
        <f>H434-H433</f>
        <v>-44</v>
      </c>
      <c r="I435" s="157">
        <f>I434-I433</f>
        <v>-68</v>
      </c>
      <c r="J435" s="157">
        <f>J434-J433</f>
        <v>-45</v>
      </c>
      <c r="K435" s="157">
        <f>K434-K433</f>
        <v>12</v>
      </c>
      <c r="L435" s="21"/>
    </row>
    <row r="436" spans="1:12" ht="16.5" thickBot="1" x14ac:dyDescent="0.3">
      <c r="A436" s="1776"/>
      <c r="B436" s="1678"/>
      <c r="C436" s="1353" t="s">
        <v>270</v>
      </c>
      <c r="D436" s="1178"/>
      <c r="E436" s="360"/>
      <c r="F436" s="360"/>
      <c r="G436" s="360"/>
      <c r="H436" s="423">
        <f>H434/H432*100</f>
        <v>20.27027027027027</v>
      </c>
      <c r="I436" s="423">
        <f>I434/I432*100</f>
        <v>38.513513513513516</v>
      </c>
      <c r="J436" s="423">
        <f>J434/J432*100</f>
        <v>43.119266055045877</v>
      </c>
      <c r="K436" s="435">
        <f>K434/K432*100</f>
        <v>51.935483870967744</v>
      </c>
      <c r="L436" s="53"/>
    </row>
    <row r="437" spans="1:12" x14ac:dyDescent="0.25">
      <c r="A437" s="1776"/>
      <c r="B437" s="1678"/>
      <c r="C437" s="1406" t="s">
        <v>484</v>
      </c>
      <c r="D437" s="1405"/>
      <c r="E437" s="225"/>
      <c r="F437" s="225"/>
      <c r="G437" s="225"/>
      <c r="H437" s="261">
        <f>3/4*100</f>
        <v>75</v>
      </c>
      <c r="I437" s="261">
        <f>4/9*100</f>
        <v>44.444444444444443</v>
      </c>
      <c r="J437" s="261">
        <f>5/9*100</f>
        <v>55.555555555555557</v>
      </c>
      <c r="K437" s="315">
        <v>27.27272727272727</v>
      </c>
      <c r="L437" s="20"/>
    </row>
    <row r="438" spans="1:12" x14ac:dyDescent="0.25">
      <c r="A438" s="1776"/>
      <c r="B438" s="1678"/>
      <c r="C438" s="1111" t="s">
        <v>485</v>
      </c>
      <c r="D438" s="1112"/>
      <c r="E438" s="96"/>
      <c r="F438" s="96"/>
      <c r="G438" s="96"/>
      <c r="H438" s="235">
        <v>0</v>
      </c>
      <c r="I438" s="235">
        <v>0</v>
      </c>
      <c r="J438" s="235">
        <f>1/9*100</f>
        <v>11.111111111111111</v>
      </c>
      <c r="K438" s="237">
        <v>27.27272727272727</v>
      </c>
      <c r="L438" s="21"/>
    </row>
    <row r="439" spans="1:12" x14ac:dyDescent="0.25">
      <c r="A439" s="1777"/>
      <c r="B439" s="1679"/>
      <c r="C439" s="1277" t="s">
        <v>486</v>
      </c>
      <c r="D439" s="1142"/>
      <c r="E439" s="360"/>
      <c r="F439" s="360"/>
      <c r="G439" s="360"/>
      <c r="H439" s="356">
        <f>1/4*100</f>
        <v>25</v>
      </c>
      <c r="I439" s="356">
        <f>5/9*100</f>
        <v>55.555555555555557</v>
      </c>
      <c r="J439" s="356">
        <f>3/9*100</f>
        <v>33.333333333333329</v>
      </c>
      <c r="K439" s="361">
        <v>45.454545454545453</v>
      </c>
      <c r="L439" s="53"/>
    </row>
    <row r="440" spans="1:12" ht="16.5" thickBot="1" x14ac:dyDescent="0.3">
      <c r="A440" s="338" t="s">
        <v>248</v>
      </c>
      <c r="B440" s="338" t="s">
        <v>249</v>
      </c>
      <c r="C440" s="1433"/>
      <c r="D440" s="1433"/>
      <c r="E440" s="616">
        <v>2005</v>
      </c>
      <c r="F440" s="616">
        <v>2010</v>
      </c>
      <c r="G440" s="616">
        <v>2015</v>
      </c>
      <c r="H440" s="616">
        <v>2020</v>
      </c>
      <c r="I440" s="616">
        <v>2021</v>
      </c>
      <c r="J440" s="616">
        <v>2022</v>
      </c>
      <c r="K440" s="616">
        <v>2023</v>
      </c>
      <c r="L440" s="616">
        <v>2024</v>
      </c>
    </row>
    <row r="441" spans="1:12" ht="15" customHeight="1" x14ac:dyDescent="0.25">
      <c r="A441" s="1766" t="s">
        <v>487</v>
      </c>
      <c r="B441" s="1692" t="s">
        <v>227</v>
      </c>
      <c r="C441" s="1206" t="s">
        <v>435</v>
      </c>
      <c r="D441" s="1206"/>
      <c r="E441" s="36"/>
      <c r="F441" s="36"/>
      <c r="G441" s="36"/>
      <c r="H441" s="36"/>
      <c r="I441" s="36"/>
      <c r="J441" s="36"/>
      <c r="K441" s="195">
        <v>661</v>
      </c>
      <c r="L441" s="325">
        <v>685</v>
      </c>
    </row>
    <row r="442" spans="1:12" x14ac:dyDescent="0.25">
      <c r="A442" s="1767"/>
      <c r="B442" s="1693"/>
      <c r="C442" s="1124" t="s">
        <v>533</v>
      </c>
      <c r="D442" s="1124"/>
      <c r="E442" s="28"/>
      <c r="F442" s="28"/>
      <c r="G442" s="28"/>
      <c r="H442" s="28"/>
      <c r="I442" s="28"/>
      <c r="J442" s="28"/>
      <c r="K442" s="28">
        <v>207</v>
      </c>
      <c r="L442" s="21">
        <v>214</v>
      </c>
    </row>
    <row r="443" spans="1:12" x14ac:dyDescent="0.25">
      <c r="A443" s="1767"/>
      <c r="B443" s="1693"/>
      <c r="C443" s="1124" t="s">
        <v>534</v>
      </c>
      <c r="D443" s="1124"/>
      <c r="E443" s="28"/>
      <c r="F443" s="28"/>
      <c r="G443" s="28"/>
      <c r="H443" s="28"/>
      <c r="I443" s="28"/>
      <c r="J443" s="28"/>
      <c r="K443" s="28">
        <v>454</v>
      </c>
      <c r="L443" s="21">
        <v>471</v>
      </c>
    </row>
    <row r="444" spans="1:12" x14ac:dyDescent="0.25">
      <c r="A444" s="1767"/>
      <c r="B444" s="1693"/>
      <c r="C444" s="1128" t="s">
        <v>353</v>
      </c>
      <c r="D444" s="1128"/>
      <c r="E444" s="28"/>
      <c r="F444" s="28"/>
      <c r="G444" s="28"/>
      <c r="H444" s="28"/>
      <c r="I444" s="28"/>
      <c r="J444" s="28"/>
      <c r="K444" s="262">
        <f t="shared" ref="K444" si="41">K443-K442</f>
        <v>247</v>
      </c>
      <c r="L444" s="317">
        <v>257</v>
      </c>
    </row>
    <row r="445" spans="1:12" ht="16.5" thickBot="1" x14ac:dyDescent="0.3">
      <c r="A445" s="1767"/>
      <c r="B445" s="1694"/>
      <c r="C445" s="1126" t="s">
        <v>270</v>
      </c>
      <c r="D445" s="1126"/>
      <c r="E445" s="197"/>
      <c r="F445" s="197"/>
      <c r="G445" s="197"/>
      <c r="H445" s="197"/>
      <c r="I445" s="197"/>
      <c r="J445" s="197"/>
      <c r="K445" s="161">
        <f t="shared" ref="K445" si="42">K443/K441*100</f>
        <v>68.683812405446304</v>
      </c>
      <c r="L445" s="1076">
        <v>68.759124087591232</v>
      </c>
    </row>
    <row r="446" spans="1:12" x14ac:dyDescent="0.25">
      <c r="A446" s="1767"/>
      <c r="B446" s="1692" t="s">
        <v>488</v>
      </c>
      <c r="C446" s="1405" t="s">
        <v>489</v>
      </c>
      <c r="D446" s="1405"/>
      <c r="E446" s="40"/>
      <c r="F446" s="40">
        <v>57</v>
      </c>
      <c r="G446" s="40">
        <v>51</v>
      </c>
      <c r="H446" s="40">
        <v>73</v>
      </c>
      <c r="I446" s="40"/>
      <c r="J446" s="40"/>
      <c r="K446" s="40">
        <v>94</v>
      </c>
      <c r="L446" s="1072">
        <v>31</v>
      </c>
    </row>
    <row r="447" spans="1:12" x14ac:dyDescent="0.25">
      <c r="A447" s="1767"/>
      <c r="B447" s="1693"/>
      <c r="C447" s="1112" t="s">
        <v>490</v>
      </c>
      <c r="D447" s="1112"/>
      <c r="E447" s="157"/>
      <c r="F447" s="44">
        <v>1</v>
      </c>
      <c r="G447" s="44">
        <v>0</v>
      </c>
      <c r="H447" s="44">
        <v>0</v>
      </c>
      <c r="I447" s="44"/>
      <c r="J447" s="44"/>
      <c r="K447" s="44">
        <v>1</v>
      </c>
      <c r="L447" s="1072">
        <v>1</v>
      </c>
    </row>
    <row r="448" spans="1:12" x14ac:dyDescent="0.25">
      <c r="A448" s="1768"/>
      <c r="B448" s="1875"/>
      <c r="C448" s="1142" t="s">
        <v>491</v>
      </c>
      <c r="D448" s="1142"/>
      <c r="E448" s="336"/>
      <c r="F448" s="165">
        <f>F447/F446*100</f>
        <v>1.7543859649122806</v>
      </c>
      <c r="G448" s="165">
        <f t="shared" ref="G448:H448" si="43">G447/G446*100</f>
        <v>0</v>
      </c>
      <c r="H448" s="165">
        <f t="shared" si="43"/>
        <v>0</v>
      </c>
      <c r="I448" s="336"/>
      <c r="J448" s="336"/>
      <c r="K448" s="165">
        <f>K447/K446*100</f>
        <v>1.0638297872340425</v>
      </c>
      <c r="L448" s="859">
        <v>3.225806451612903</v>
      </c>
    </row>
    <row r="449" spans="1:12" ht="16.5" thickBot="1" x14ac:dyDescent="0.3">
      <c r="A449" s="338" t="s">
        <v>248</v>
      </c>
      <c r="B449" s="820" t="s">
        <v>249</v>
      </c>
      <c r="C449" s="1433"/>
      <c r="D449" s="1433"/>
      <c r="E449" s="617">
        <v>2005</v>
      </c>
      <c r="F449" s="617">
        <v>2010</v>
      </c>
      <c r="G449" s="617">
        <v>2015</v>
      </c>
      <c r="H449" s="617">
        <v>2020</v>
      </c>
      <c r="I449" s="617">
        <v>2021</v>
      </c>
      <c r="J449" s="617">
        <v>2022</v>
      </c>
      <c r="K449" s="617">
        <v>2023</v>
      </c>
      <c r="L449" s="616">
        <v>2024</v>
      </c>
    </row>
    <row r="450" spans="1:12" ht="15" customHeight="1" x14ac:dyDescent="0.25">
      <c r="A450" s="1621" t="s">
        <v>492</v>
      </c>
      <c r="B450" s="1624" t="s">
        <v>493</v>
      </c>
      <c r="C450" s="1251" t="s">
        <v>459</v>
      </c>
      <c r="D450" s="1206"/>
      <c r="E450" s="36"/>
      <c r="F450" s="195">
        <v>658</v>
      </c>
      <c r="G450" s="195">
        <v>676</v>
      </c>
      <c r="H450" s="195">
        <v>961</v>
      </c>
      <c r="I450" s="195">
        <v>1221</v>
      </c>
      <c r="J450" s="195">
        <v>1243</v>
      </c>
      <c r="K450" s="195">
        <v>1350</v>
      </c>
      <c r="L450" s="195">
        <v>1437</v>
      </c>
    </row>
    <row r="451" spans="1:12" x14ac:dyDescent="0.25">
      <c r="A451" s="1622"/>
      <c r="B451" s="1625"/>
      <c r="C451" s="1320" t="s">
        <v>436</v>
      </c>
      <c r="D451" s="28" t="s">
        <v>494</v>
      </c>
      <c r="E451" s="28"/>
      <c r="F451" s="96">
        <v>280</v>
      </c>
      <c r="G451" s="96">
        <v>303</v>
      </c>
      <c r="H451" s="96">
        <v>486</v>
      </c>
      <c r="I451" s="96">
        <v>627</v>
      </c>
      <c r="J451" s="96">
        <v>639</v>
      </c>
      <c r="K451" s="96">
        <v>649</v>
      </c>
      <c r="L451" s="96">
        <v>691</v>
      </c>
    </row>
    <row r="452" spans="1:12" x14ac:dyDescent="0.25">
      <c r="A452" s="1622"/>
      <c r="B452" s="1625"/>
      <c r="C452" s="1320"/>
      <c r="D452" s="28" t="s">
        <v>495</v>
      </c>
      <c r="E452" s="28"/>
      <c r="F452" s="96">
        <v>48</v>
      </c>
      <c r="G452" s="96">
        <v>63</v>
      </c>
      <c r="H452" s="96">
        <v>53</v>
      </c>
      <c r="I452" s="96">
        <v>73</v>
      </c>
      <c r="J452" s="96">
        <v>74</v>
      </c>
      <c r="K452" s="96">
        <v>82</v>
      </c>
      <c r="L452" s="96">
        <v>109</v>
      </c>
    </row>
    <row r="453" spans="1:12" x14ac:dyDescent="0.25">
      <c r="A453" s="1622"/>
      <c r="B453" s="1625"/>
      <c r="C453" s="1320" t="s">
        <v>437</v>
      </c>
      <c r="D453" s="28" t="s">
        <v>496</v>
      </c>
      <c r="E453" s="28"/>
      <c r="F453" s="96">
        <v>93</v>
      </c>
      <c r="G453" s="96">
        <v>99</v>
      </c>
      <c r="H453" s="96">
        <v>188</v>
      </c>
      <c r="I453" s="96">
        <v>245</v>
      </c>
      <c r="J453" s="96">
        <v>277</v>
      </c>
      <c r="K453" s="96">
        <v>282</v>
      </c>
      <c r="L453" s="96">
        <v>289</v>
      </c>
    </row>
    <row r="454" spans="1:12" ht="16.5" thickBot="1" x14ac:dyDescent="0.3">
      <c r="A454" s="1622"/>
      <c r="B454" s="1625"/>
      <c r="C454" s="1559"/>
      <c r="D454" s="110" t="s">
        <v>497</v>
      </c>
      <c r="E454" s="110"/>
      <c r="F454" s="360">
        <v>74</v>
      </c>
      <c r="G454" s="360">
        <v>80</v>
      </c>
      <c r="H454" s="360">
        <v>85</v>
      </c>
      <c r="I454" s="360">
        <v>137</v>
      </c>
      <c r="J454" s="360">
        <v>112</v>
      </c>
      <c r="K454" s="360">
        <v>127</v>
      </c>
      <c r="L454" s="360">
        <v>142</v>
      </c>
    </row>
    <row r="455" spans="1:12" x14ac:dyDescent="0.25">
      <c r="A455" s="1622"/>
      <c r="B455" s="1625"/>
      <c r="C455" s="1441" t="s">
        <v>353</v>
      </c>
      <c r="D455" s="40" t="s">
        <v>498</v>
      </c>
      <c r="E455" s="40"/>
      <c r="F455" s="81">
        <f t="shared" ref="F455:L455" si="44">+F453-F451</f>
        <v>-187</v>
      </c>
      <c r="G455" s="81">
        <f t="shared" si="44"/>
        <v>-204</v>
      </c>
      <c r="H455" s="81">
        <f t="shared" si="44"/>
        <v>-298</v>
      </c>
      <c r="I455" s="81">
        <f t="shared" si="44"/>
        <v>-382</v>
      </c>
      <c r="J455" s="81">
        <f t="shared" si="44"/>
        <v>-362</v>
      </c>
      <c r="K455" s="81">
        <f t="shared" si="44"/>
        <v>-367</v>
      </c>
      <c r="L455" s="81">
        <f t="shared" si="44"/>
        <v>-402</v>
      </c>
    </row>
    <row r="456" spans="1:12" x14ac:dyDescent="0.25">
      <c r="A456" s="1622"/>
      <c r="B456" s="1625"/>
      <c r="C456" s="1560"/>
      <c r="D456" s="44" t="s">
        <v>499</v>
      </c>
      <c r="E456" s="44"/>
      <c r="F456" s="79">
        <f t="shared" ref="F456:L456" si="45">F454-F452</f>
        <v>26</v>
      </c>
      <c r="G456" s="79">
        <f t="shared" si="45"/>
        <v>17</v>
      </c>
      <c r="H456" s="79">
        <f t="shared" si="45"/>
        <v>32</v>
      </c>
      <c r="I456" s="79">
        <f t="shared" si="45"/>
        <v>64</v>
      </c>
      <c r="J456" s="79">
        <f t="shared" si="45"/>
        <v>38</v>
      </c>
      <c r="K456" s="79">
        <f t="shared" si="45"/>
        <v>45</v>
      </c>
      <c r="L456" s="79">
        <f t="shared" si="45"/>
        <v>33</v>
      </c>
    </row>
    <row r="457" spans="1:12" ht="16.5" customHeight="1" x14ac:dyDescent="0.25">
      <c r="A457" s="1622"/>
      <c r="B457" s="1625"/>
      <c r="C457" s="1560" t="s">
        <v>270</v>
      </c>
      <c r="D457" s="44" t="s">
        <v>500</v>
      </c>
      <c r="E457" s="44"/>
      <c r="F457" s="263">
        <f t="shared" ref="F457:L457" si="46">+F453/(F453+F451)*100</f>
        <v>24.932975871313673</v>
      </c>
      <c r="G457" s="263">
        <f t="shared" si="46"/>
        <v>24.626865671641792</v>
      </c>
      <c r="H457" s="263">
        <f t="shared" si="46"/>
        <v>27.893175074183979</v>
      </c>
      <c r="I457" s="263">
        <f t="shared" si="46"/>
        <v>28.096330275229359</v>
      </c>
      <c r="J457" s="263">
        <f t="shared" si="46"/>
        <v>30.240174672489083</v>
      </c>
      <c r="K457" s="263">
        <f t="shared" si="46"/>
        <v>30.290010741138563</v>
      </c>
      <c r="L457" s="263">
        <f t="shared" si="46"/>
        <v>29.489795918367346</v>
      </c>
    </row>
    <row r="458" spans="1:12" ht="16.5" thickBot="1" x14ac:dyDescent="0.3">
      <c r="A458" s="1623"/>
      <c r="B458" s="1626"/>
      <c r="C458" s="1421"/>
      <c r="D458" s="203" t="s">
        <v>501</v>
      </c>
      <c r="E458" s="203"/>
      <c r="F458" s="230">
        <f>+F454/(F454+F452)*100</f>
        <v>60.655737704918032</v>
      </c>
      <c r="G458" s="230">
        <f t="shared" ref="G458:L458" si="47">+G454/(G454+G452)*100</f>
        <v>55.944055944055947</v>
      </c>
      <c r="H458" s="230">
        <f t="shared" si="47"/>
        <v>61.594202898550719</v>
      </c>
      <c r="I458" s="230">
        <f t="shared" si="47"/>
        <v>65.238095238095241</v>
      </c>
      <c r="J458" s="230">
        <f t="shared" si="47"/>
        <v>60.215053763440864</v>
      </c>
      <c r="K458" s="230">
        <f t="shared" si="47"/>
        <v>60.765550239234443</v>
      </c>
      <c r="L458" s="230">
        <f t="shared" si="47"/>
        <v>56.573705179282875</v>
      </c>
    </row>
  </sheetData>
  <mergeCells count="225">
    <mergeCell ref="C371:D371"/>
    <mergeCell ref="C396:C399"/>
    <mergeCell ref="C400:C402"/>
    <mergeCell ref="C403:D403"/>
    <mergeCell ref="C428:C430"/>
    <mergeCell ref="C444:D444"/>
    <mergeCell ref="C457:C458"/>
    <mergeCell ref="A450:A458"/>
    <mergeCell ref="B450:B458"/>
    <mergeCell ref="A362:A439"/>
    <mergeCell ref="B362:B370"/>
    <mergeCell ref="C362:C364"/>
    <mergeCell ref="C365:C367"/>
    <mergeCell ref="C368:D368"/>
    <mergeCell ref="C369:D369"/>
    <mergeCell ref="C370:D370"/>
    <mergeCell ref="C372:D372"/>
    <mergeCell ref="C373:D373"/>
    <mergeCell ref="C374:D374"/>
    <mergeCell ref="C375:D375"/>
    <mergeCell ref="C404:D404"/>
    <mergeCell ref="C405:D405"/>
    <mergeCell ref="C406:D406"/>
    <mergeCell ref="C407:D407"/>
    <mergeCell ref="A441:A448"/>
    <mergeCell ref="B441:B445"/>
    <mergeCell ref="C441:D441"/>
    <mergeCell ref="C442:D442"/>
    <mergeCell ref="C443:D443"/>
    <mergeCell ref="C445:D445"/>
    <mergeCell ref="B446:B448"/>
    <mergeCell ref="C446:D446"/>
    <mergeCell ref="C448:D448"/>
    <mergeCell ref="C451:C452"/>
    <mergeCell ref="C453:C454"/>
    <mergeCell ref="C455:C456"/>
    <mergeCell ref="C439:D439"/>
    <mergeCell ref="C424:C427"/>
    <mergeCell ref="B404:B430"/>
    <mergeCell ref="C408:C411"/>
    <mergeCell ref="C412:C415"/>
    <mergeCell ref="C416:C419"/>
    <mergeCell ref="C449:D449"/>
    <mergeCell ref="C450:D450"/>
    <mergeCell ref="C440:D440"/>
    <mergeCell ref="C436:D436"/>
    <mergeCell ref="C437:D437"/>
    <mergeCell ref="C438:D438"/>
    <mergeCell ref="C420:C423"/>
    <mergeCell ref="C433:D433"/>
    <mergeCell ref="C434:D434"/>
    <mergeCell ref="C431:D431"/>
    <mergeCell ref="C447:D447"/>
    <mergeCell ref="B432:B439"/>
    <mergeCell ref="C432:D432"/>
    <mergeCell ref="A317:A340"/>
    <mergeCell ref="B317:B321"/>
    <mergeCell ref="C317:D317"/>
    <mergeCell ref="C318:D318"/>
    <mergeCell ref="C319:D319"/>
    <mergeCell ref="C320:D320"/>
    <mergeCell ref="C321:D321"/>
    <mergeCell ref="C322:D322"/>
    <mergeCell ref="A351:A360"/>
    <mergeCell ref="B351:B360"/>
    <mergeCell ref="C354:C356"/>
    <mergeCell ref="C350:D350"/>
    <mergeCell ref="C358:D358"/>
    <mergeCell ref="C359:D359"/>
    <mergeCell ref="C360:D360"/>
    <mergeCell ref="C351:C353"/>
    <mergeCell ref="A342:A349"/>
    <mergeCell ref="B342:B345"/>
    <mergeCell ref="C342:D342"/>
    <mergeCell ref="C343:D343"/>
    <mergeCell ref="C344:D344"/>
    <mergeCell ref="C345:D345"/>
    <mergeCell ref="B346:B349"/>
    <mergeCell ref="C346:D346"/>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341:D341"/>
    <mergeCell ref="C257:C260"/>
    <mergeCell ref="C261:C264"/>
    <mergeCell ref="C265:C268"/>
    <mergeCell ref="C269:C272"/>
    <mergeCell ref="C273:C276"/>
    <mergeCell ref="C277:C280"/>
    <mergeCell ref="C281:C284"/>
    <mergeCell ref="C285:C288"/>
    <mergeCell ref="C289:C292"/>
    <mergeCell ref="C293:C296"/>
    <mergeCell ref="C297:C300"/>
    <mergeCell ref="C301:C304"/>
    <mergeCell ref="C305:C308"/>
    <mergeCell ref="C309:C312"/>
    <mergeCell ref="C313:D313"/>
    <mergeCell ref="C314:D314"/>
    <mergeCell ref="C315:D315"/>
    <mergeCell ref="C323:D323"/>
    <mergeCell ref="C316:D316"/>
    <mergeCell ref="B326:B335"/>
    <mergeCell ref="C326:C330"/>
    <mergeCell ref="C435:D435"/>
    <mergeCell ref="C324:D324"/>
    <mergeCell ref="C325:D325"/>
    <mergeCell ref="C331:C335"/>
    <mergeCell ref="B336:B340"/>
    <mergeCell ref="C336:D336"/>
    <mergeCell ref="C337:D337"/>
    <mergeCell ref="C338:D338"/>
    <mergeCell ref="C339:D339"/>
    <mergeCell ref="C340:D340"/>
    <mergeCell ref="B322:B325"/>
    <mergeCell ref="C347:D347"/>
    <mergeCell ref="C348:D348"/>
    <mergeCell ref="C349:D349"/>
    <mergeCell ref="C361:D361"/>
    <mergeCell ref="B372:B402"/>
    <mergeCell ref="C376:C379"/>
    <mergeCell ref="C380:C383"/>
    <mergeCell ref="C384:C387"/>
    <mergeCell ref="C388:C391"/>
    <mergeCell ref="C392:C395"/>
    <mergeCell ref="C357:D357"/>
  </mergeCells>
  <conditionalFormatting sqref="E349:F349">
    <cfRule type="cellIs" dxfId="511" priority="65" operator="lessThan">
      <formula>0</formula>
    </cfRule>
    <cfRule type="cellIs" dxfId="510" priority="66" operator="greaterThan">
      <formula>0</formula>
    </cfRule>
  </conditionalFormatting>
  <conditionalFormatting sqref="E39:L39">
    <cfRule type="cellIs" dxfId="509" priority="196" operator="greaterThan">
      <formula>1</formula>
    </cfRule>
    <cfRule type="cellIs" dxfId="508" priority="197" operator="greaterThan">
      <formula>1</formula>
    </cfRule>
    <cfRule type="cellIs" dxfId="507" priority="198" operator="lessThan">
      <formula>1</formula>
    </cfRule>
    <cfRule type="cellIs" dxfId="506" priority="199" operator="greaterThan">
      <formula>1</formula>
    </cfRule>
  </conditionalFormatting>
  <conditionalFormatting sqref="E40:L40">
    <cfRule type="cellIs" dxfId="505" priority="195" operator="greaterThan">
      <formula>50</formula>
    </cfRule>
    <cfRule type="cellIs" dxfId="504" priority="201" operator="greaterThan">
      <formula>50</formula>
    </cfRule>
    <cfRule type="cellIs" dxfId="503" priority="200" operator="lessThan">
      <formula>50</formula>
    </cfRule>
  </conditionalFormatting>
  <conditionalFormatting sqref="E44:L44">
    <cfRule type="cellIs" dxfId="502" priority="193" operator="lessThan">
      <formula>1</formula>
    </cfRule>
    <cfRule type="cellIs" dxfId="501" priority="192" operator="greaterThan">
      <formula>1</formula>
    </cfRule>
    <cfRule type="cellIs" dxfId="500" priority="191" operator="greaterThan">
      <formula>1</formula>
    </cfRule>
    <cfRule type="cellIs" dxfId="499" priority="194" operator="greaterThan">
      <formula>1</formula>
    </cfRule>
  </conditionalFormatting>
  <conditionalFormatting sqref="E45:L45">
    <cfRule type="cellIs" dxfId="498" priority="190" operator="greaterThan">
      <formula>50</formula>
    </cfRule>
    <cfRule type="cellIs" dxfId="497" priority="189" operator="lessThan">
      <formula>50</formula>
    </cfRule>
    <cfRule type="cellIs" dxfId="496" priority="188" operator="greaterThan">
      <formula>50</formula>
    </cfRule>
  </conditionalFormatting>
  <conditionalFormatting sqref="E50:L50">
    <cfRule type="cellIs" dxfId="495" priority="171" operator="lessThan">
      <formula>1</formula>
    </cfRule>
    <cfRule type="cellIs" dxfId="494" priority="169" operator="greaterThan">
      <formula>1</formula>
    </cfRule>
    <cfRule type="cellIs" dxfId="493" priority="168" operator="lessThan">
      <formula>1</formula>
    </cfRule>
    <cfRule type="cellIs" dxfId="492" priority="172" operator="greaterThan">
      <formula>1</formula>
    </cfRule>
    <cfRule type="cellIs" dxfId="491" priority="170" operator="greaterThan">
      <formula>1</formula>
    </cfRule>
  </conditionalFormatting>
  <conditionalFormatting sqref="E51:L51">
    <cfRule type="cellIs" dxfId="490" priority="179" operator="greaterThan">
      <formula>50</formula>
    </cfRule>
    <cfRule type="cellIs" dxfId="489" priority="180" operator="lessThan">
      <formula>50</formula>
    </cfRule>
  </conditionalFormatting>
  <conditionalFormatting sqref="F370:K370">
    <cfRule type="cellIs" dxfId="488" priority="61" operator="lessThan">
      <formula>0</formula>
    </cfRule>
  </conditionalFormatting>
  <conditionalFormatting sqref="F320:L321">
    <cfRule type="cellIs" dxfId="487" priority="82" operator="lessThan">
      <formula>1</formula>
    </cfRule>
  </conditionalFormatting>
  <conditionalFormatting sqref="F455:L455">
    <cfRule type="cellIs" dxfId="486" priority="13" operator="lessThan">
      <formula>0</formula>
    </cfRule>
  </conditionalFormatting>
  <conditionalFormatting sqref="F456:L458">
    <cfRule type="cellIs" dxfId="485" priority="11" operator="greaterThan">
      <formula>0</formula>
    </cfRule>
  </conditionalFormatting>
  <conditionalFormatting sqref="F458:L458">
    <cfRule type="cellIs" dxfId="484" priority="16" operator="lessThan">
      <formula>0</formula>
    </cfRule>
    <cfRule type="cellIs" dxfId="483" priority="15" operator="greaterThan">
      <formula>0</formula>
    </cfRule>
  </conditionalFormatting>
  <conditionalFormatting sqref="G325:L325">
    <cfRule type="cellIs" dxfId="482" priority="89" operator="lessThan">
      <formula>1</formula>
    </cfRule>
    <cfRule type="cellIs" dxfId="481" priority="88" operator="greaterThan">
      <formula>0</formula>
    </cfRule>
  </conditionalFormatting>
  <conditionalFormatting sqref="H435:J435">
    <cfRule type="cellIs" dxfId="480" priority="2" operator="greaterThan">
      <formula>0</formula>
    </cfRule>
  </conditionalFormatting>
  <conditionalFormatting sqref="H436:J436">
    <cfRule type="cellIs" dxfId="479" priority="4" operator="greaterThan">
      <formula>50</formula>
    </cfRule>
    <cfRule type="cellIs" dxfId="478" priority="3" operator="lessThan">
      <formula>50</formula>
    </cfRule>
  </conditionalFormatting>
  <conditionalFormatting sqref="H59:K59">
    <cfRule type="cellIs" dxfId="477" priority="175" operator="greaterThan">
      <formula>0</formula>
    </cfRule>
  </conditionalFormatting>
  <conditionalFormatting sqref="H60:K60">
    <cfRule type="cellIs" dxfId="476" priority="176" operator="lessThan">
      <formula>50</formula>
    </cfRule>
    <cfRule type="cellIs" dxfId="475" priority="177" operator="greaterThan">
      <formula>50</formula>
    </cfRule>
    <cfRule type="cellIs" dxfId="474" priority="173" operator="lessThan">
      <formula>50</formula>
    </cfRule>
    <cfRule type="cellIs" dxfId="473" priority="174" operator="greaterThan">
      <formula>50</formula>
    </cfRule>
  </conditionalFormatting>
  <conditionalFormatting sqref="H339:K339">
    <cfRule type="cellIs" dxfId="472" priority="95" operator="greaterThan">
      <formula>0</formula>
    </cfRule>
    <cfRule type="cellIs" dxfId="471" priority="91" operator="lessThan">
      <formula>0</formula>
    </cfRule>
    <cfRule type="cellIs" dxfId="470" priority="96" operator="lessThan">
      <formula>0</formula>
    </cfRule>
    <cfRule type="cellIs" dxfId="469" priority="97" operator="greaterThan">
      <formula>0</formula>
    </cfRule>
  </conditionalFormatting>
  <conditionalFormatting sqref="H340:K340">
    <cfRule type="cellIs" dxfId="468" priority="70" operator="greaterThan">
      <formula>50</formula>
    </cfRule>
    <cfRule type="cellIs" dxfId="467" priority="94" operator="greaterThan">
      <formula>50</formula>
    </cfRule>
    <cfRule type="cellIs" dxfId="466" priority="90" operator="lessThan">
      <formula>50</formula>
    </cfRule>
  </conditionalFormatting>
  <conditionalFormatting sqref="H435:K435">
    <cfRule type="cellIs" dxfId="465" priority="1" operator="lessThan">
      <formula>0</formula>
    </cfRule>
  </conditionalFormatting>
  <conditionalFormatting sqref="H55:L55">
    <cfRule type="cellIs" dxfId="464" priority="178" operator="greaterThan">
      <formula>0</formula>
    </cfRule>
  </conditionalFormatting>
  <conditionalFormatting sqref="I329:I330">
    <cfRule type="cellIs" dxfId="463" priority="77" operator="greaterThan">
      <formula>50</formula>
    </cfRule>
  </conditionalFormatting>
  <conditionalFormatting sqref="I329:L329">
    <cfRule type="cellIs" dxfId="462" priority="85" operator="lessThan">
      <formula>1</formula>
    </cfRule>
    <cfRule type="cellIs" dxfId="461" priority="84" operator="greaterThan">
      <formula>0</formula>
    </cfRule>
  </conditionalFormatting>
  <conditionalFormatting sqref="I330:L330">
    <cfRule type="cellIs" dxfId="460" priority="83" operator="greaterThan">
      <formula>50</formula>
    </cfRule>
    <cfRule type="cellIs" dxfId="459" priority="86" operator="lessThan">
      <formula>50</formula>
    </cfRule>
  </conditionalFormatting>
  <conditionalFormatting sqref="I334:L334">
    <cfRule type="cellIs" dxfId="458" priority="93" operator="lessThan">
      <formula>1</formula>
    </cfRule>
    <cfRule type="cellIs" dxfId="457" priority="92" operator="greaterThan">
      <formula>0</formula>
    </cfRule>
    <cfRule type="cellIs" dxfId="456" priority="73" operator="greaterThan">
      <formula>0</formula>
    </cfRule>
  </conditionalFormatting>
  <conditionalFormatting sqref="I335:L335">
    <cfRule type="cellIs" dxfId="455" priority="71" operator="greaterThan">
      <formula>50</formula>
    </cfRule>
  </conditionalFormatting>
  <conditionalFormatting sqref="J329:L329">
    <cfRule type="cellIs" dxfId="454" priority="76" operator="greaterThan">
      <formula>0</formula>
    </cfRule>
  </conditionalFormatting>
  <conditionalFormatting sqref="J330:L330">
    <cfRule type="cellIs" dxfId="453" priority="75" operator="greaterThan">
      <formula>50</formula>
    </cfRule>
  </conditionalFormatting>
  <conditionalFormatting sqref="K445">
    <cfRule type="cellIs" dxfId="452" priority="9" operator="lessThan">
      <formula>50</formula>
    </cfRule>
    <cfRule type="cellIs" dxfId="451" priority="8" operator="lessThan">
      <formula>50</formula>
    </cfRule>
    <cfRule type="cellIs" dxfId="450" priority="10" operator="greaterThan">
      <formula>50</formula>
    </cfRule>
  </conditionalFormatting>
  <hyperlinks>
    <hyperlink ref="M1" location="INDICADORES!A1" display="INDICADORES" xr:uid="{20C54420-0033-424D-B6C7-D733DE9C999E}"/>
    <hyperlink ref="O1" location="DISTRITOS!A1" display="DISTRITOS" xr:uid="{E87E4905-2DEF-4657-9F1A-4D58E304117C}"/>
  </hyperlinks>
  <pageMargins left="0.7" right="0.7" top="0.75" bottom="0.75" header="0.3" footer="0.3"/>
  <pageSetup paperSize="9" orientation="portrait" horizontalDpi="0"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B122E-7900-4E41-B8C5-24720838E46C}">
  <sheetPr codeName="Hoja18">
    <tabColor theme="8" tint="-0.249977111117893"/>
  </sheetPr>
  <dimension ref="A1:O510"/>
  <sheetViews>
    <sheetView showGridLines="0" topLeftCell="C1" zoomScale="70" zoomScaleNormal="70" workbookViewId="0">
      <pane ySplit="2" topLeftCell="A505" activePane="bottomLeft" state="frozen"/>
      <selection activeCell="C3" activeCellId="1" sqref="K60 C3:K3"/>
      <selection pane="bottomLeft" activeCell="L497" sqref="L497"/>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6.140625" style="11" customWidth="1"/>
    <col min="14" max="14" width="4.7109375" style="11" customWidth="1"/>
    <col min="15" max="15" width="14.5703125" style="11" customWidth="1"/>
    <col min="16" max="16384" width="11.42578125" style="11"/>
  </cols>
  <sheetData>
    <row r="1" spans="1:15" ht="30" customHeight="1" thickTop="1" thickBot="1" x14ac:dyDescent="0.3">
      <c r="A1" s="1020" t="s">
        <v>588</v>
      </c>
      <c r="B1" s="1020"/>
      <c r="C1" s="1020"/>
      <c r="D1" s="1020"/>
      <c r="E1" s="1020"/>
      <c r="F1" s="1020"/>
      <c r="G1" s="1020"/>
      <c r="H1" s="1020"/>
      <c r="I1" s="1020"/>
      <c r="J1" s="1020"/>
      <c r="K1" s="1020"/>
      <c r="M1" s="479" t="s">
        <v>246</v>
      </c>
      <c r="N1" s="480"/>
      <c r="O1" s="481" t="s">
        <v>247</v>
      </c>
    </row>
    <row r="2" spans="1:15" ht="18" customHeight="1" thickTop="1" thickBot="1" x14ac:dyDescent="0.3">
      <c r="A2" s="761" t="s">
        <v>248</v>
      </c>
      <c r="B2" s="463" t="s">
        <v>249</v>
      </c>
      <c r="C2" s="1422"/>
      <c r="D2" s="1422"/>
      <c r="E2" s="616">
        <v>2005</v>
      </c>
      <c r="F2" s="616">
        <v>2010</v>
      </c>
      <c r="G2" s="616">
        <v>2015</v>
      </c>
      <c r="H2" s="616">
        <v>2020</v>
      </c>
      <c r="I2" s="616">
        <v>2021</v>
      </c>
      <c r="J2" s="616">
        <v>2022</v>
      </c>
      <c r="K2" s="616">
        <v>2023</v>
      </c>
      <c r="L2" s="616">
        <v>2024</v>
      </c>
    </row>
    <row r="3" spans="1:15" s="64" customFormat="1" x14ac:dyDescent="0.25">
      <c r="A3" s="1882" t="s">
        <v>26</v>
      </c>
      <c r="B3" s="1672" t="s">
        <v>568</v>
      </c>
      <c r="C3" s="1211" t="s">
        <v>251</v>
      </c>
      <c r="D3" s="1211"/>
      <c r="E3" s="81">
        <v>230909</v>
      </c>
      <c r="F3" s="81">
        <v>228835</v>
      </c>
      <c r="G3" s="81">
        <v>211736</v>
      </c>
      <c r="H3" s="81">
        <v>219867</v>
      </c>
      <c r="I3" s="81">
        <v>216818</v>
      </c>
      <c r="J3" s="81">
        <v>213905</v>
      </c>
      <c r="K3" s="81">
        <v>220345</v>
      </c>
      <c r="L3" s="82">
        <v>230035</v>
      </c>
    </row>
    <row r="4" spans="1:15" x14ac:dyDescent="0.25">
      <c r="A4" s="1882"/>
      <c r="B4" s="1673"/>
      <c r="C4" s="1213" t="s">
        <v>257</v>
      </c>
      <c r="D4" s="1213"/>
      <c r="E4" s="80">
        <v>107071</v>
      </c>
      <c r="F4" s="80">
        <v>105455</v>
      </c>
      <c r="G4" s="80">
        <v>96343</v>
      </c>
      <c r="H4" s="80">
        <v>99966</v>
      </c>
      <c r="I4" s="80">
        <v>98514</v>
      </c>
      <c r="J4" s="80">
        <v>97357</v>
      </c>
      <c r="K4" s="80">
        <v>100759</v>
      </c>
      <c r="L4" s="83">
        <v>105836</v>
      </c>
    </row>
    <row r="5" spans="1:15" x14ac:dyDescent="0.25">
      <c r="A5" s="1882"/>
      <c r="B5" s="1673"/>
      <c r="C5" s="1213" t="s">
        <v>263</v>
      </c>
      <c r="D5" s="1213"/>
      <c r="E5" s="80">
        <v>123838</v>
      </c>
      <c r="F5" s="80">
        <v>123380</v>
      </c>
      <c r="G5" s="80">
        <v>115393</v>
      </c>
      <c r="H5" s="80">
        <v>119901</v>
      </c>
      <c r="I5" s="80">
        <v>118304</v>
      </c>
      <c r="J5" s="80">
        <v>116548</v>
      </c>
      <c r="K5" s="80">
        <v>119586</v>
      </c>
      <c r="L5" s="83">
        <v>124199</v>
      </c>
    </row>
    <row r="6" spans="1:15" x14ac:dyDescent="0.25">
      <c r="A6" s="1882"/>
      <c r="B6" s="1785"/>
      <c r="C6" s="1215" t="s">
        <v>269</v>
      </c>
      <c r="D6" s="1215"/>
      <c r="E6" s="363">
        <f>+E5-E4</f>
        <v>16767</v>
      </c>
      <c r="F6" s="363">
        <f t="shared" ref="F6:L6" si="0">+F5-F4</f>
        <v>17925</v>
      </c>
      <c r="G6" s="363">
        <f t="shared" si="0"/>
        <v>19050</v>
      </c>
      <c r="H6" s="363">
        <f t="shared" si="0"/>
        <v>19935</v>
      </c>
      <c r="I6" s="363">
        <f t="shared" si="0"/>
        <v>19790</v>
      </c>
      <c r="J6" s="363">
        <f t="shared" si="0"/>
        <v>19191</v>
      </c>
      <c r="K6" s="363">
        <f t="shared" si="0"/>
        <v>18827</v>
      </c>
      <c r="L6" s="365">
        <f t="shared" si="0"/>
        <v>18363</v>
      </c>
    </row>
    <row r="7" spans="1:15" ht="16.5" thickBot="1" x14ac:dyDescent="0.3">
      <c r="A7" s="1882"/>
      <c r="B7" s="1786"/>
      <c r="C7" s="1126" t="s">
        <v>270</v>
      </c>
      <c r="D7" s="1126"/>
      <c r="E7" s="366">
        <f>E5/E3*100</f>
        <v>53.630651035689382</v>
      </c>
      <c r="F7" s="366">
        <f t="shared" ref="F7:L7" si="1">F5/F3*100</f>
        <v>53.916577446631855</v>
      </c>
      <c r="G7" s="366">
        <f t="shared" si="1"/>
        <v>54.498526466921071</v>
      </c>
      <c r="H7" s="366">
        <f t="shared" si="1"/>
        <v>54.533422478134511</v>
      </c>
      <c r="I7" s="366">
        <f t="shared" si="1"/>
        <v>54.563735483216334</v>
      </c>
      <c r="J7" s="366">
        <f t="shared" si="1"/>
        <v>54.485869895514362</v>
      </c>
      <c r="K7" s="366">
        <f t="shared" si="1"/>
        <v>54.272164106287867</v>
      </c>
      <c r="L7" s="367">
        <f t="shared" si="1"/>
        <v>53.991349142521791</v>
      </c>
    </row>
    <row r="8" spans="1:15" x14ac:dyDescent="0.25">
      <c r="A8" s="1883"/>
      <c r="B8" s="1879" t="s">
        <v>569</v>
      </c>
      <c r="C8" s="1300" t="s">
        <v>257</v>
      </c>
      <c r="D8" s="168" t="s">
        <v>272</v>
      </c>
      <c r="E8" s="81">
        <v>107071</v>
      </c>
      <c r="F8" s="81">
        <v>105455</v>
      </c>
      <c r="G8" s="81">
        <v>96343</v>
      </c>
      <c r="H8" s="81">
        <v>99966</v>
      </c>
      <c r="I8" s="81">
        <v>98514</v>
      </c>
      <c r="J8" s="81">
        <v>97357</v>
      </c>
      <c r="K8" s="81">
        <v>100759</v>
      </c>
      <c r="L8" s="82">
        <v>105836</v>
      </c>
    </row>
    <row r="9" spans="1:15" x14ac:dyDescent="0.25">
      <c r="A9" s="1883"/>
      <c r="B9" s="1788"/>
      <c r="C9" s="1301"/>
      <c r="D9" s="164" t="s">
        <v>275</v>
      </c>
      <c r="E9" s="80">
        <v>16068</v>
      </c>
      <c r="F9" s="80">
        <v>15892</v>
      </c>
      <c r="G9" s="80">
        <v>14413</v>
      </c>
      <c r="H9" s="80">
        <v>14069</v>
      </c>
      <c r="I9" s="80">
        <v>13548</v>
      </c>
      <c r="J9" s="80">
        <v>13130</v>
      </c>
      <c r="K9" s="80">
        <v>13188</v>
      </c>
      <c r="L9" s="83">
        <v>12582</v>
      </c>
    </row>
    <row r="10" spans="1:15" x14ac:dyDescent="0.25">
      <c r="A10" s="1883"/>
      <c r="B10" s="1788"/>
      <c r="C10" s="1301"/>
      <c r="D10" s="164" t="s">
        <v>282</v>
      </c>
      <c r="E10" s="80">
        <v>72789</v>
      </c>
      <c r="F10" s="80">
        <v>70975</v>
      </c>
      <c r="G10" s="80">
        <v>63026</v>
      </c>
      <c r="H10" s="80">
        <v>66844</v>
      </c>
      <c r="I10" s="80">
        <v>66273</v>
      </c>
      <c r="J10" s="80">
        <v>65562</v>
      </c>
      <c r="K10" s="80">
        <v>68547</v>
      </c>
      <c r="L10" s="83">
        <v>73638</v>
      </c>
    </row>
    <row r="11" spans="1:15" x14ac:dyDescent="0.25">
      <c r="A11" s="1883"/>
      <c r="B11" s="1788"/>
      <c r="C11" s="1301"/>
      <c r="D11" s="164" t="s">
        <v>288</v>
      </c>
      <c r="E11" s="80">
        <v>18211</v>
      </c>
      <c r="F11" s="80">
        <v>18585</v>
      </c>
      <c r="G11" s="80">
        <v>18904</v>
      </c>
      <c r="H11" s="80">
        <v>19053</v>
      </c>
      <c r="I11" s="80">
        <v>18693</v>
      </c>
      <c r="J11" s="80">
        <v>18665</v>
      </c>
      <c r="K11" s="80">
        <v>19024</v>
      </c>
      <c r="L11" s="83">
        <v>19616</v>
      </c>
    </row>
    <row r="12" spans="1:15" x14ac:dyDescent="0.25">
      <c r="A12" s="1883"/>
      <c r="B12" s="1788"/>
      <c r="C12" s="1301"/>
      <c r="D12" s="164" t="s">
        <v>295</v>
      </c>
      <c r="E12" s="80">
        <v>3718</v>
      </c>
      <c r="F12" s="80">
        <v>4971</v>
      </c>
      <c r="G12" s="80">
        <v>6393</v>
      </c>
      <c r="H12" s="80">
        <v>6498</v>
      </c>
      <c r="I12" s="80">
        <v>6330</v>
      </c>
      <c r="J12" s="80">
        <v>6184</v>
      </c>
      <c r="K12" s="80">
        <v>6160</v>
      </c>
      <c r="L12" s="83">
        <v>6315</v>
      </c>
    </row>
    <row r="13" spans="1:15" ht="16.5" thickBot="1" x14ac:dyDescent="0.3">
      <c r="A13" s="1883"/>
      <c r="B13" s="1788"/>
      <c r="C13" s="1302"/>
      <c r="D13" s="169" t="s">
        <v>296</v>
      </c>
      <c r="E13" s="264">
        <v>3</v>
      </c>
      <c r="F13" s="264">
        <v>3</v>
      </c>
      <c r="G13" s="264">
        <v>0</v>
      </c>
      <c r="H13" s="264">
        <v>0</v>
      </c>
      <c r="I13" s="264">
        <v>0</v>
      </c>
      <c r="J13" s="264">
        <v>0</v>
      </c>
      <c r="K13" s="264">
        <v>0</v>
      </c>
      <c r="L13" s="268">
        <v>0</v>
      </c>
    </row>
    <row r="14" spans="1:15" x14ac:dyDescent="0.25">
      <c r="A14" s="1883"/>
      <c r="B14" s="1788"/>
      <c r="C14" s="1300" t="s">
        <v>263</v>
      </c>
      <c r="D14" s="168" t="s">
        <v>272</v>
      </c>
      <c r="E14" s="250">
        <v>123838</v>
      </c>
      <c r="F14" s="250">
        <v>123380</v>
      </c>
      <c r="G14" s="250">
        <v>115393</v>
      </c>
      <c r="H14" s="250">
        <v>119901</v>
      </c>
      <c r="I14" s="250">
        <v>118304</v>
      </c>
      <c r="J14" s="250">
        <v>116548</v>
      </c>
      <c r="K14" s="250">
        <v>119586</v>
      </c>
      <c r="L14" s="902">
        <v>124199</v>
      </c>
    </row>
    <row r="15" spans="1:15" x14ac:dyDescent="0.25">
      <c r="A15" s="1883"/>
      <c r="B15" s="1788"/>
      <c r="C15" s="1301"/>
      <c r="D15" s="164" t="s">
        <v>275</v>
      </c>
      <c r="E15" s="80">
        <v>15167</v>
      </c>
      <c r="F15" s="80">
        <v>15062</v>
      </c>
      <c r="G15" s="80">
        <v>13659</v>
      </c>
      <c r="H15" s="80">
        <v>13447</v>
      </c>
      <c r="I15" s="80">
        <v>13055</v>
      </c>
      <c r="J15" s="80">
        <v>12531</v>
      </c>
      <c r="K15" s="80">
        <v>12565</v>
      </c>
      <c r="L15" s="83">
        <v>11878</v>
      </c>
    </row>
    <row r="16" spans="1:15" x14ac:dyDescent="0.25">
      <c r="A16" s="1883"/>
      <c r="B16" s="1788"/>
      <c r="C16" s="1301"/>
      <c r="D16" s="164" t="s">
        <v>282</v>
      </c>
      <c r="E16" s="80">
        <v>80319</v>
      </c>
      <c r="F16" s="80">
        <v>78733</v>
      </c>
      <c r="G16" s="80">
        <v>71490</v>
      </c>
      <c r="H16" s="80">
        <v>75704</v>
      </c>
      <c r="I16" s="80">
        <v>74706</v>
      </c>
      <c r="J16" s="80">
        <v>73457</v>
      </c>
      <c r="K16" s="80">
        <v>76193</v>
      </c>
      <c r="L16" s="83">
        <v>80859</v>
      </c>
    </row>
    <row r="17" spans="1:13" x14ac:dyDescent="0.25">
      <c r="A17" s="1883"/>
      <c r="B17" s="1788"/>
      <c r="C17" s="1301"/>
      <c r="D17" s="164" t="s">
        <v>288</v>
      </c>
      <c r="E17" s="80">
        <v>28348</v>
      </c>
      <c r="F17" s="80">
        <v>29583</v>
      </c>
      <c r="G17" s="80">
        <v>30244</v>
      </c>
      <c r="H17" s="80">
        <v>30750</v>
      </c>
      <c r="I17" s="80">
        <v>30543</v>
      </c>
      <c r="J17" s="80">
        <v>30560</v>
      </c>
      <c r="K17" s="80">
        <v>30828</v>
      </c>
      <c r="L17" s="83">
        <v>31462</v>
      </c>
    </row>
    <row r="18" spans="1:13" x14ac:dyDescent="0.25">
      <c r="A18" s="1883"/>
      <c r="B18" s="1788"/>
      <c r="C18" s="1301"/>
      <c r="D18" s="164" t="s">
        <v>295</v>
      </c>
      <c r="E18" s="80">
        <v>7854</v>
      </c>
      <c r="F18" s="80">
        <v>9695</v>
      </c>
      <c r="G18" s="80">
        <v>11755</v>
      </c>
      <c r="H18" s="80">
        <v>12373</v>
      </c>
      <c r="I18" s="80">
        <v>12427</v>
      </c>
      <c r="J18" s="80">
        <v>12276</v>
      </c>
      <c r="K18" s="80">
        <v>12207</v>
      </c>
      <c r="L18" s="83">
        <v>12442</v>
      </c>
    </row>
    <row r="19" spans="1:13" ht="16.5" thickBot="1" x14ac:dyDescent="0.3">
      <c r="A19" s="1883"/>
      <c r="B19" s="1788"/>
      <c r="C19" s="1302"/>
      <c r="D19" s="169" t="s">
        <v>296</v>
      </c>
      <c r="E19" s="381">
        <v>4</v>
      </c>
      <c r="F19" s="381">
        <v>2</v>
      </c>
      <c r="G19" s="381">
        <v>0</v>
      </c>
      <c r="H19" s="381">
        <v>0</v>
      </c>
      <c r="I19" s="381">
        <v>0</v>
      </c>
      <c r="J19" s="381">
        <v>0</v>
      </c>
      <c r="K19" s="381">
        <v>0</v>
      </c>
      <c r="L19" s="756">
        <v>0</v>
      </c>
    </row>
    <row r="20" spans="1:13" x14ac:dyDescent="0.25">
      <c r="A20" s="1883"/>
      <c r="B20" s="1788"/>
      <c r="C20" s="1306" t="s">
        <v>269</v>
      </c>
      <c r="D20" s="535" t="s">
        <v>272</v>
      </c>
      <c r="E20" s="375">
        <f>E14-E8</f>
        <v>16767</v>
      </c>
      <c r="F20" s="375">
        <f t="shared" ref="F20:L20" si="2">F14-F8</f>
        <v>17925</v>
      </c>
      <c r="G20" s="375">
        <f t="shared" si="2"/>
        <v>19050</v>
      </c>
      <c r="H20" s="375">
        <f t="shared" si="2"/>
        <v>19935</v>
      </c>
      <c r="I20" s="375">
        <f t="shared" si="2"/>
        <v>19790</v>
      </c>
      <c r="J20" s="375">
        <f t="shared" si="2"/>
        <v>19191</v>
      </c>
      <c r="K20" s="375">
        <f t="shared" si="2"/>
        <v>18827</v>
      </c>
      <c r="L20" s="376">
        <f t="shared" si="2"/>
        <v>18363</v>
      </c>
    </row>
    <row r="21" spans="1:13" x14ac:dyDescent="0.25">
      <c r="A21" s="1883"/>
      <c r="B21" s="1788"/>
      <c r="C21" s="1307"/>
      <c r="D21" s="527" t="s">
        <v>275</v>
      </c>
      <c r="E21" s="157">
        <f t="shared" ref="E21:L24" si="3">E15-E9</f>
        <v>-901</v>
      </c>
      <c r="F21" s="157">
        <f t="shared" si="3"/>
        <v>-830</v>
      </c>
      <c r="G21" s="157">
        <f t="shared" si="3"/>
        <v>-754</v>
      </c>
      <c r="H21" s="157">
        <f t="shared" si="3"/>
        <v>-622</v>
      </c>
      <c r="I21" s="157">
        <f t="shared" si="3"/>
        <v>-493</v>
      </c>
      <c r="J21" s="157">
        <f t="shared" si="3"/>
        <v>-599</v>
      </c>
      <c r="K21" s="157">
        <f t="shared" si="3"/>
        <v>-623</v>
      </c>
      <c r="L21" s="160">
        <f t="shared" si="3"/>
        <v>-704</v>
      </c>
    </row>
    <row r="22" spans="1:13" x14ac:dyDescent="0.25">
      <c r="A22" s="1883"/>
      <c r="B22" s="1788"/>
      <c r="C22" s="1307"/>
      <c r="D22" s="527" t="s">
        <v>282</v>
      </c>
      <c r="E22" s="363">
        <f t="shared" si="3"/>
        <v>7530</v>
      </c>
      <c r="F22" s="363">
        <f t="shared" si="3"/>
        <v>7758</v>
      </c>
      <c r="G22" s="363">
        <f t="shared" si="3"/>
        <v>8464</v>
      </c>
      <c r="H22" s="363">
        <f t="shared" si="3"/>
        <v>8860</v>
      </c>
      <c r="I22" s="363">
        <f t="shared" si="3"/>
        <v>8433</v>
      </c>
      <c r="J22" s="363">
        <f t="shared" si="3"/>
        <v>7895</v>
      </c>
      <c r="K22" s="363">
        <f t="shared" si="3"/>
        <v>7646</v>
      </c>
      <c r="L22" s="365">
        <f t="shared" si="3"/>
        <v>7221</v>
      </c>
    </row>
    <row r="23" spans="1:13" x14ac:dyDescent="0.25">
      <c r="A23" s="1883"/>
      <c r="B23" s="1788"/>
      <c r="C23" s="1307"/>
      <c r="D23" s="527" t="s">
        <v>288</v>
      </c>
      <c r="E23" s="363">
        <f t="shared" si="3"/>
        <v>10137</v>
      </c>
      <c r="F23" s="363">
        <f t="shared" si="3"/>
        <v>10998</v>
      </c>
      <c r="G23" s="363">
        <f t="shared" si="3"/>
        <v>11340</v>
      </c>
      <c r="H23" s="363">
        <f t="shared" si="3"/>
        <v>11697</v>
      </c>
      <c r="I23" s="363">
        <f t="shared" si="3"/>
        <v>11850</v>
      </c>
      <c r="J23" s="363">
        <f t="shared" si="3"/>
        <v>11895</v>
      </c>
      <c r="K23" s="363">
        <f t="shared" si="3"/>
        <v>11804</v>
      </c>
      <c r="L23" s="365">
        <f t="shared" si="3"/>
        <v>11846</v>
      </c>
    </row>
    <row r="24" spans="1:13" ht="16.5" thickBot="1" x14ac:dyDescent="0.3">
      <c r="A24" s="1883"/>
      <c r="B24" s="1788"/>
      <c r="C24" s="1308"/>
      <c r="D24" s="538" t="s">
        <v>295</v>
      </c>
      <c r="E24" s="382">
        <f t="shared" si="3"/>
        <v>4136</v>
      </c>
      <c r="F24" s="382">
        <f t="shared" si="3"/>
        <v>4724</v>
      </c>
      <c r="G24" s="382">
        <f t="shared" si="3"/>
        <v>5362</v>
      </c>
      <c r="H24" s="382">
        <f t="shared" si="3"/>
        <v>5875</v>
      </c>
      <c r="I24" s="382">
        <f t="shared" si="3"/>
        <v>6097</v>
      </c>
      <c r="J24" s="382">
        <f t="shared" si="3"/>
        <v>6092</v>
      </c>
      <c r="K24" s="382">
        <f t="shared" si="3"/>
        <v>6047</v>
      </c>
      <c r="L24" s="383">
        <f t="shared" si="3"/>
        <v>6127</v>
      </c>
    </row>
    <row r="25" spans="1:13" x14ac:dyDescent="0.25">
      <c r="A25" s="1883"/>
      <c r="B25" s="1788"/>
      <c r="C25" s="1265" t="s">
        <v>270</v>
      </c>
      <c r="D25" s="535" t="s">
        <v>272</v>
      </c>
      <c r="E25" s="384">
        <f>E14/E3*100</f>
        <v>53.630651035689382</v>
      </c>
      <c r="F25" s="384">
        <f t="shared" ref="F25:L25" si="4">F14/F3*100</f>
        <v>53.916577446631855</v>
      </c>
      <c r="G25" s="384">
        <f t="shared" si="4"/>
        <v>54.498526466921071</v>
      </c>
      <c r="H25" s="384">
        <f t="shared" si="4"/>
        <v>54.533422478134511</v>
      </c>
      <c r="I25" s="384">
        <f t="shared" si="4"/>
        <v>54.563735483216334</v>
      </c>
      <c r="J25" s="384">
        <f t="shared" si="4"/>
        <v>54.485869895514362</v>
      </c>
      <c r="K25" s="384">
        <f t="shared" si="4"/>
        <v>54.272164106287867</v>
      </c>
      <c r="L25" s="385">
        <f t="shared" si="4"/>
        <v>53.991349142521791</v>
      </c>
    </row>
    <row r="26" spans="1:13" x14ac:dyDescent="0.25">
      <c r="A26" s="1883"/>
      <c r="B26" s="1788"/>
      <c r="C26" s="1360"/>
      <c r="D26" s="527" t="s">
        <v>275</v>
      </c>
      <c r="E26" s="158">
        <f>(E15/(E15+E9))*100</f>
        <v>48.557707699695854</v>
      </c>
      <c r="F26" s="158">
        <f t="shared" ref="F26:L27" si="5">(F15/(F15+F9))*100</f>
        <v>48.659300898106864</v>
      </c>
      <c r="G26" s="158">
        <f t="shared" si="5"/>
        <v>48.65702479338843</v>
      </c>
      <c r="H26" s="158">
        <f t="shared" si="5"/>
        <v>48.869748509957844</v>
      </c>
      <c r="I26" s="158">
        <f t="shared" si="5"/>
        <v>49.073412772995525</v>
      </c>
      <c r="J26" s="158">
        <f t="shared" si="5"/>
        <v>48.832859202681114</v>
      </c>
      <c r="K26" s="158">
        <f t="shared" si="5"/>
        <v>48.790432182658336</v>
      </c>
      <c r="L26" s="330">
        <f t="shared" si="5"/>
        <v>48.560915780866722</v>
      </c>
    </row>
    <row r="27" spans="1:13" x14ac:dyDescent="0.25">
      <c r="A27" s="1883"/>
      <c r="B27" s="1788"/>
      <c r="C27" s="1360"/>
      <c r="D27" s="527" t="s">
        <v>282</v>
      </c>
      <c r="E27" s="364">
        <f>(E16/(E16+E10))*100</f>
        <v>52.45904851477389</v>
      </c>
      <c r="F27" s="364">
        <f t="shared" si="5"/>
        <v>52.59104389878965</v>
      </c>
      <c r="G27" s="364">
        <f t="shared" si="5"/>
        <v>53.14609414493443</v>
      </c>
      <c r="H27" s="364">
        <f t="shared" si="5"/>
        <v>53.107725117153514</v>
      </c>
      <c r="I27" s="364">
        <f t="shared" si="5"/>
        <v>52.990870980784379</v>
      </c>
      <c r="J27" s="364">
        <f t="shared" si="5"/>
        <v>52.839539919003876</v>
      </c>
      <c r="K27" s="364">
        <f t="shared" si="5"/>
        <v>52.641287826447424</v>
      </c>
      <c r="L27" s="386">
        <f t="shared" si="5"/>
        <v>52.336938581331673</v>
      </c>
    </row>
    <row r="28" spans="1:13" x14ac:dyDescent="0.25">
      <c r="A28" s="1883"/>
      <c r="B28" s="1788"/>
      <c r="C28" s="1360"/>
      <c r="D28" s="527" t="s">
        <v>288</v>
      </c>
      <c r="E28" s="364">
        <f t="shared" ref="E28:L29" si="6">(E17/(E17+E11))*100</f>
        <v>60.886187418114645</v>
      </c>
      <c r="F28" s="364">
        <f t="shared" si="6"/>
        <v>61.416292974588934</v>
      </c>
      <c r="G28" s="364">
        <f t="shared" si="6"/>
        <v>61.536583380808985</v>
      </c>
      <c r="H28" s="364">
        <f t="shared" si="6"/>
        <v>61.743268477802538</v>
      </c>
      <c r="I28" s="364">
        <f t="shared" si="6"/>
        <v>62.033877650499633</v>
      </c>
      <c r="J28" s="364">
        <f t="shared" si="6"/>
        <v>62.082275266632813</v>
      </c>
      <c r="K28" s="364">
        <f t="shared" si="6"/>
        <v>61.839043568964136</v>
      </c>
      <c r="L28" s="386">
        <f t="shared" si="6"/>
        <v>61.595990445984569</v>
      </c>
    </row>
    <row r="29" spans="1:13" ht="16.5" thickBot="1" x14ac:dyDescent="0.3">
      <c r="A29" s="1883"/>
      <c r="B29" s="1789"/>
      <c r="C29" s="1361"/>
      <c r="D29" s="538" t="s">
        <v>295</v>
      </c>
      <c r="E29" s="366">
        <f t="shared" si="6"/>
        <v>67.870722433460074</v>
      </c>
      <c r="F29" s="366">
        <f t="shared" si="6"/>
        <v>66.105277512614208</v>
      </c>
      <c r="G29" s="366">
        <f t="shared" si="6"/>
        <v>64.772977738593781</v>
      </c>
      <c r="H29" s="366">
        <f t="shared" si="6"/>
        <v>65.566212707328702</v>
      </c>
      <c r="I29" s="366">
        <f t="shared" si="6"/>
        <v>66.252599029695574</v>
      </c>
      <c r="J29" s="366">
        <f t="shared" si="6"/>
        <v>66.500541711809319</v>
      </c>
      <c r="K29" s="366">
        <f t="shared" si="6"/>
        <v>66.461588718898028</v>
      </c>
      <c r="L29" s="367">
        <f t="shared" si="6"/>
        <v>66.332569174174978</v>
      </c>
    </row>
    <row r="30" spans="1:13" ht="17.25" thickTop="1" thickBot="1" x14ac:dyDescent="0.3">
      <c r="A30" s="1883"/>
      <c r="B30" s="823" t="s">
        <v>249</v>
      </c>
      <c r="C30" s="1675"/>
      <c r="D30" s="1675"/>
      <c r="E30" s="112">
        <v>2005</v>
      </c>
      <c r="F30" s="112">
        <v>2010</v>
      </c>
      <c r="G30" s="112">
        <v>2015</v>
      </c>
      <c r="H30" s="112">
        <v>2020</v>
      </c>
      <c r="I30" s="112">
        <v>2021</v>
      </c>
      <c r="J30" s="112">
        <v>2022</v>
      </c>
      <c r="K30" s="112">
        <v>2023</v>
      </c>
      <c r="L30" s="112">
        <v>2024</v>
      </c>
      <c r="M30" s="482"/>
    </row>
    <row r="31" spans="1:13" x14ac:dyDescent="0.25">
      <c r="A31" s="1882"/>
      <c r="B31" s="1787" t="s">
        <v>570</v>
      </c>
      <c r="C31" s="1537" t="s">
        <v>272</v>
      </c>
      <c r="D31" s="1541"/>
      <c r="E31" s="81">
        <v>35031</v>
      </c>
      <c r="F31" s="81">
        <v>41362</v>
      </c>
      <c r="G31" s="81">
        <v>25428</v>
      </c>
      <c r="H31" s="81">
        <v>33770</v>
      </c>
      <c r="I31" s="81">
        <v>34054</v>
      </c>
      <c r="J31" s="81">
        <v>33362</v>
      </c>
      <c r="K31" s="81">
        <v>37827</v>
      </c>
      <c r="L31" s="82">
        <f>L32+L33</f>
        <v>43677</v>
      </c>
    </row>
    <row r="32" spans="1:13" x14ac:dyDescent="0.25">
      <c r="A32" s="1882"/>
      <c r="B32" s="1788"/>
      <c r="C32" s="1123" t="s">
        <v>257</v>
      </c>
      <c r="D32" s="1124"/>
      <c r="E32" s="80">
        <v>16768</v>
      </c>
      <c r="F32" s="80">
        <v>19818</v>
      </c>
      <c r="G32" s="80">
        <v>11575</v>
      </c>
      <c r="H32" s="80">
        <v>15242</v>
      </c>
      <c r="I32" s="80">
        <v>15480</v>
      </c>
      <c r="J32" s="80">
        <v>15268</v>
      </c>
      <c r="K32" s="80">
        <v>17344</v>
      </c>
      <c r="L32" s="83">
        <v>20314</v>
      </c>
    </row>
    <row r="33" spans="1:12" x14ac:dyDescent="0.25">
      <c r="A33" s="1882"/>
      <c r="B33" s="1788"/>
      <c r="C33" s="1123" t="s">
        <v>263</v>
      </c>
      <c r="D33" s="1124"/>
      <c r="E33" s="80">
        <v>18263</v>
      </c>
      <c r="F33" s="80">
        <v>21544</v>
      </c>
      <c r="G33" s="80">
        <v>13853</v>
      </c>
      <c r="H33" s="80">
        <v>18528</v>
      </c>
      <c r="I33" s="80">
        <v>18574</v>
      </c>
      <c r="J33" s="80">
        <v>18094</v>
      </c>
      <c r="K33" s="80">
        <v>20483</v>
      </c>
      <c r="L33" s="83">
        <v>23363</v>
      </c>
    </row>
    <row r="34" spans="1:12" x14ac:dyDescent="0.25">
      <c r="A34" s="1882"/>
      <c r="B34" s="1788"/>
      <c r="C34" s="1111" t="s">
        <v>269</v>
      </c>
      <c r="D34" s="1112"/>
      <c r="E34" s="363">
        <f>+E33-E32</f>
        <v>1495</v>
      </c>
      <c r="F34" s="363">
        <f t="shared" ref="F34:L34" si="7">+F33-F32</f>
        <v>1726</v>
      </c>
      <c r="G34" s="363">
        <f t="shared" si="7"/>
        <v>2278</v>
      </c>
      <c r="H34" s="363">
        <f t="shared" si="7"/>
        <v>3286</v>
      </c>
      <c r="I34" s="363">
        <f t="shared" si="7"/>
        <v>3094</v>
      </c>
      <c r="J34" s="363">
        <f t="shared" si="7"/>
        <v>2826</v>
      </c>
      <c r="K34" s="363">
        <f t="shared" si="7"/>
        <v>3139</v>
      </c>
      <c r="L34" s="365">
        <f t="shared" si="7"/>
        <v>3049</v>
      </c>
    </row>
    <row r="35" spans="1:12" ht="16.5" thickBot="1" x14ac:dyDescent="0.3">
      <c r="A35" s="1882"/>
      <c r="B35" s="1881"/>
      <c r="C35" s="1353" t="s">
        <v>270</v>
      </c>
      <c r="D35" s="1178"/>
      <c r="E35" s="378">
        <f>E33/E31*100</f>
        <v>52.133824327024634</v>
      </c>
      <c r="F35" s="378">
        <f t="shared" ref="F35:L35" si="8">F33/F31*100</f>
        <v>52.086456167496728</v>
      </c>
      <c r="G35" s="378">
        <f t="shared" si="8"/>
        <v>54.479314141890832</v>
      </c>
      <c r="H35" s="378">
        <f t="shared" si="8"/>
        <v>54.865265028131482</v>
      </c>
      <c r="I35" s="378">
        <f t="shared" si="8"/>
        <v>54.542784988547602</v>
      </c>
      <c r="J35" s="378">
        <f t="shared" si="8"/>
        <v>54.235357592470478</v>
      </c>
      <c r="K35" s="378">
        <f t="shared" si="8"/>
        <v>54.14915272160097</v>
      </c>
      <c r="L35" s="379">
        <f t="shared" si="8"/>
        <v>53.490395402614645</v>
      </c>
    </row>
    <row r="36" spans="1:12" ht="15" customHeight="1" x14ac:dyDescent="0.25">
      <c r="A36" s="1882"/>
      <c r="B36" s="1672" t="s">
        <v>342</v>
      </c>
      <c r="C36" s="1147" t="s">
        <v>343</v>
      </c>
      <c r="D36" s="1147"/>
      <c r="E36" s="195">
        <f>E37+E38</f>
        <v>10156</v>
      </c>
      <c r="F36" s="195">
        <f t="shared" ref="F36:L36" si="9">F37+F38</f>
        <v>11390</v>
      </c>
      <c r="G36" s="195">
        <f t="shared" si="9"/>
        <v>12580</v>
      </c>
      <c r="H36" s="195">
        <f t="shared" si="9"/>
        <v>13187</v>
      </c>
      <c r="I36" s="195">
        <f t="shared" si="9"/>
        <v>13368</v>
      </c>
      <c r="J36" s="195">
        <f t="shared" si="9"/>
        <v>13557</v>
      </c>
      <c r="K36" s="195">
        <f t="shared" si="9"/>
        <v>13605</v>
      </c>
      <c r="L36" s="196">
        <f t="shared" si="9"/>
        <v>14034</v>
      </c>
    </row>
    <row r="37" spans="1:12" x14ac:dyDescent="0.25">
      <c r="A37" s="1882"/>
      <c r="B37" s="1673"/>
      <c r="C37" s="1124" t="s">
        <v>344</v>
      </c>
      <c r="D37" s="1124"/>
      <c r="E37" s="80">
        <v>1763</v>
      </c>
      <c r="F37" s="80">
        <v>2110</v>
      </c>
      <c r="G37" s="80">
        <v>2553</v>
      </c>
      <c r="H37" s="80">
        <v>2790</v>
      </c>
      <c r="I37" s="80">
        <v>2817</v>
      </c>
      <c r="J37" s="80">
        <v>2912</v>
      </c>
      <c r="K37" s="80">
        <v>3046</v>
      </c>
      <c r="L37" s="83">
        <v>3227</v>
      </c>
    </row>
    <row r="38" spans="1:12" x14ac:dyDescent="0.25">
      <c r="A38" s="1882"/>
      <c r="B38" s="1673"/>
      <c r="C38" s="1124" t="s">
        <v>345</v>
      </c>
      <c r="D38" s="1124"/>
      <c r="E38" s="80">
        <v>8393</v>
      </c>
      <c r="F38" s="80">
        <v>9280</v>
      </c>
      <c r="G38" s="80">
        <v>10027</v>
      </c>
      <c r="H38" s="80">
        <v>10397</v>
      </c>
      <c r="I38" s="80">
        <v>10551</v>
      </c>
      <c r="J38" s="80">
        <v>10645</v>
      </c>
      <c r="K38" s="80">
        <v>10559</v>
      </c>
      <c r="L38" s="83">
        <v>10807</v>
      </c>
    </row>
    <row r="39" spans="1:12" x14ac:dyDescent="0.25">
      <c r="A39" s="1882"/>
      <c r="B39" s="1673"/>
      <c r="C39" s="1112" t="s">
        <v>269</v>
      </c>
      <c r="D39" s="1112"/>
      <c r="E39" s="157">
        <f>E38-E37</f>
        <v>6630</v>
      </c>
      <c r="F39" s="157">
        <f t="shared" ref="F39:L39" si="10">F38-F37</f>
        <v>7170</v>
      </c>
      <c r="G39" s="157">
        <f t="shared" si="10"/>
        <v>7474</v>
      </c>
      <c r="H39" s="157">
        <f t="shared" si="10"/>
        <v>7607</v>
      </c>
      <c r="I39" s="157">
        <f t="shared" si="10"/>
        <v>7734</v>
      </c>
      <c r="J39" s="157">
        <f t="shared" si="10"/>
        <v>7733</v>
      </c>
      <c r="K39" s="157">
        <f t="shared" si="10"/>
        <v>7513</v>
      </c>
      <c r="L39" s="160">
        <f t="shared" si="10"/>
        <v>7580</v>
      </c>
    </row>
    <row r="40" spans="1:12" ht="16.5" thickBot="1" x14ac:dyDescent="0.3">
      <c r="A40" s="1882"/>
      <c r="B40" s="1781"/>
      <c r="C40" s="1178" t="s">
        <v>346</v>
      </c>
      <c r="D40" s="1178"/>
      <c r="E40" s="165">
        <f t="shared" ref="E40:L40" si="11">E38/E36*100</f>
        <v>82.640803465931469</v>
      </c>
      <c r="F40" s="165">
        <f t="shared" si="11"/>
        <v>81.474978050921862</v>
      </c>
      <c r="G40" s="165">
        <f t="shared" si="11"/>
        <v>79.705882352941188</v>
      </c>
      <c r="H40" s="165">
        <f t="shared" si="11"/>
        <v>78.842799727003865</v>
      </c>
      <c r="I40" s="165">
        <f t="shared" si="11"/>
        <v>78.927289048473966</v>
      </c>
      <c r="J40" s="165">
        <f t="shared" si="11"/>
        <v>78.520321605074869</v>
      </c>
      <c r="K40" s="165">
        <f t="shared" si="11"/>
        <v>77.611172363101801</v>
      </c>
      <c r="L40" s="166">
        <f t="shared" si="11"/>
        <v>77.005842952828843</v>
      </c>
    </row>
    <row r="41" spans="1:12" ht="15" customHeight="1" x14ac:dyDescent="0.25">
      <c r="A41" s="1882"/>
      <c r="B41" s="1672" t="s">
        <v>134</v>
      </c>
      <c r="C41" s="1206" t="s">
        <v>348</v>
      </c>
      <c r="D41" s="1206"/>
      <c r="E41" s="195">
        <f>E42+E43</f>
        <v>1626</v>
      </c>
      <c r="F41" s="195">
        <f t="shared" ref="F41:L41" si="12">F42+F43</f>
        <v>1773</v>
      </c>
      <c r="G41" s="195">
        <f t="shared" si="12"/>
        <v>1914</v>
      </c>
      <c r="H41" s="195">
        <f t="shared" si="12"/>
        <v>2000</v>
      </c>
      <c r="I41" s="195">
        <f t="shared" si="12"/>
        <v>1934</v>
      </c>
      <c r="J41" s="195">
        <f t="shared" si="12"/>
        <v>1984</v>
      </c>
      <c r="K41" s="195">
        <f t="shared" si="12"/>
        <v>1849</v>
      </c>
      <c r="L41" s="196">
        <f t="shared" si="12"/>
        <v>1820</v>
      </c>
    </row>
    <row r="42" spans="1:12" x14ac:dyDescent="0.25">
      <c r="A42" s="1882"/>
      <c r="B42" s="1673"/>
      <c r="C42" s="1124" t="s">
        <v>349</v>
      </c>
      <c r="D42" s="1124"/>
      <c r="E42" s="181">
        <v>287</v>
      </c>
      <c r="F42" s="181">
        <v>313</v>
      </c>
      <c r="G42" s="181">
        <v>307</v>
      </c>
      <c r="H42" s="80">
        <v>334</v>
      </c>
      <c r="I42" s="80">
        <v>324</v>
      </c>
      <c r="J42" s="80">
        <v>349</v>
      </c>
      <c r="K42" s="80">
        <v>327</v>
      </c>
      <c r="L42" s="83">
        <v>336</v>
      </c>
    </row>
    <row r="43" spans="1:12" x14ac:dyDescent="0.25">
      <c r="A43" s="1882"/>
      <c r="B43" s="1673"/>
      <c r="C43" s="1124" t="s">
        <v>350</v>
      </c>
      <c r="D43" s="1124"/>
      <c r="E43" s="80">
        <v>1339</v>
      </c>
      <c r="F43" s="80">
        <v>1460</v>
      </c>
      <c r="G43" s="80">
        <v>1607</v>
      </c>
      <c r="H43" s="80">
        <v>1666</v>
      </c>
      <c r="I43" s="80">
        <v>1610</v>
      </c>
      <c r="J43" s="80">
        <v>1635</v>
      </c>
      <c r="K43" s="80">
        <v>1522</v>
      </c>
      <c r="L43" s="83">
        <v>1484</v>
      </c>
    </row>
    <row r="44" spans="1:12" x14ac:dyDescent="0.25">
      <c r="A44" s="1882"/>
      <c r="B44" s="1673"/>
      <c r="C44" s="1112" t="s">
        <v>269</v>
      </c>
      <c r="D44" s="1112"/>
      <c r="E44" s="157">
        <f>E43-E42</f>
        <v>1052</v>
      </c>
      <c r="F44" s="157">
        <f t="shared" ref="F44:L44" si="13">F43-F42</f>
        <v>1147</v>
      </c>
      <c r="G44" s="157">
        <f t="shared" si="13"/>
        <v>1300</v>
      </c>
      <c r="H44" s="157">
        <f t="shared" si="13"/>
        <v>1332</v>
      </c>
      <c r="I44" s="157">
        <f t="shared" si="13"/>
        <v>1286</v>
      </c>
      <c r="J44" s="157">
        <f t="shared" si="13"/>
        <v>1286</v>
      </c>
      <c r="K44" s="157">
        <f t="shared" si="13"/>
        <v>1195</v>
      </c>
      <c r="L44" s="160">
        <f t="shared" si="13"/>
        <v>1148</v>
      </c>
    </row>
    <row r="45" spans="1:12" x14ac:dyDescent="0.25">
      <c r="A45" s="1884"/>
      <c r="B45" s="1781"/>
      <c r="C45" s="1178" t="s">
        <v>351</v>
      </c>
      <c r="D45" s="1178"/>
      <c r="E45" s="165">
        <f t="shared" ref="E45:L45" si="14">E43/E41*100</f>
        <v>82.349323493234934</v>
      </c>
      <c r="F45" s="165">
        <f t="shared" si="14"/>
        <v>82.346305696559511</v>
      </c>
      <c r="G45" s="165">
        <f t="shared" si="14"/>
        <v>83.960292580982227</v>
      </c>
      <c r="H45" s="165">
        <f t="shared" si="14"/>
        <v>83.3</v>
      </c>
      <c r="I45" s="165">
        <f t="shared" si="14"/>
        <v>83.247156153050668</v>
      </c>
      <c r="J45" s="165">
        <f t="shared" si="14"/>
        <v>82.409274193548384</v>
      </c>
      <c r="K45" s="165">
        <f t="shared" si="14"/>
        <v>82.314764737696052</v>
      </c>
      <c r="L45" s="166">
        <f t="shared" si="14"/>
        <v>81.538461538461533</v>
      </c>
    </row>
    <row r="46" spans="1:12" ht="16.5" thickBot="1" x14ac:dyDescent="0.3">
      <c r="A46" s="338" t="s">
        <v>248</v>
      </c>
      <c r="B46" s="463" t="s">
        <v>249</v>
      </c>
      <c r="C46" s="1422"/>
      <c r="D46" s="1422"/>
      <c r="E46" s="616">
        <v>2005</v>
      </c>
      <c r="F46" s="616">
        <v>2010</v>
      </c>
      <c r="G46" s="616">
        <v>2015</v>
      </c>
      <c r="H46" s="616">
        <v>2020</v>
      </c>
      <c r="I46" s="616">
        <v>2021</v>
      </c>
      <c r="J46" s="616">
        <v>2022</v>
      </c>
      <c r="K46" s="616">
        <v>2023</v>
      </c>
      <c r="L46" s="616">
        <v>2024</v>
      </c>
    </row>
    <row r="47" spans="1:12" x14ac:dyDescent="0.25">
      <c r="A47" s="1814" t="s">
        <v>38</v>
      </c>
      <c r="B47" s="1683" t="s">
        <v>352</v>
      </c>
      <c r="C47" s="1650" t="s">
        <v>251</v>
      </c>
      <c r="D47" s="1650"/>
      <c r="E47" s="225">
        <v>7214</v>
      </c>
      <c r="F47" s="225">
        <v>14072</v>
      </c>
      <c r="G47" s="225">
        <v>13950</v>
      </c>
      <c r="H47" s="225">
        <v>12752</v>
      </c>
      <c r="I47" s="225">
        <v>12699</v>
      </c>
      <c r="J47" s="225">
        <v>8971</v>
      </c>
      <c r="K47" s="225">
        <v>8912</v>
      </c>
      <c r="L47" s="902">
        <v>8725</v>
      </c>
    </row>
    <row r="48" spans="1:12" x14ac:dyDescent="0.25">
      <c r="A48" s="1815"/>
      <c r="B48" s="1684"/>
      <c r="C48" s="1124" t="s">
        <v>257</v>
      </c>
      <c r="D48" s="1124"/>
      <c r="E48" s="96">
        <v>2889</v>
      </c>
      <c r="F48" s="96">
        <v>7157</v>
      </c>
      <c r="G48" s="96">
        <v>6630</v>
      </c>
      <c r="H48" s="96">
        <v>5564</v>
      </c>
      <c r="I48" s="96">
        <v>5520</v>
      </c>
      <c r="J48" s="96">
        <v>3809</v>
      </c>
      <c r="K48" s="96">
        <v>3764</v>
      </c>
      <c r="L48" s="83">
        <v>3648</v>
      </c>
    </row>
    <row r="49" spans="1:12" x14ac:dyDescent="0.25">
      <c r="A49" s="1815"/>
      <c r="B49" s="1684"/>
      <c r="C49" s="1124" t="s">
        <v>263</v>
      </c>
      <c r="D49" s="1124"/>
      <c r="E49" s="96">
        <v>4325</v>
      </c>
      <c r="F49" s="96">
        <v>6915</v>
      </c>
      <c r="G49" s="96">
        <v>7320</v>
      </c>
      <c r="H49" s="96">
        <v>7188</v>
      </c>
      <c r="I49" s="96">
        <v>7179</v>
      </c>
      <c r="J49" s="96">
        <v>5162</v>
      </c>
      <c r="K49" s="96">
        <v>5148</v>
      </c>
      <c r="L49" s="83">
        <v>5077</v>
      </c>
    </row>
    <row r="50" spans="1:12" x14ac:dyDescent="0.25">
      <c r="A50" s="1815"/>
      <c r="B50" s="1684"/>
      <c r="C50" s="1112" t="s">
        <v>353</v>
      </c>
      <c r="D50" s="1112"/>
      <c r="E50" s="157">
        <f t="shared" ref="E50:L50" si="15">+E49-E48</f>
        <v>1436</v>
      </c>
      <c r="F50" s="363">
        <f t="shared" si="15"/>
        <v>-242</v>
      </c>
      <c r="G50" s="157">
        <f t="shared" si="15"/>
        <v>690</v>
      </c>
      <c r="H50" s="157">
        <f t="shared" si="15"/>
        <v>1624</v>
      </c>
      <c r="I50" s="157">
        <f t="shared" si="15"/>
        <v>1659</v>
      </c>
      <c r="J50" s="157">
        <f t="shared" si="15"/>
        <v>1353</v>
      </c>
      <c r="K50" s="157">
        <f t="shared" si="15"/>
        <v>1384</v>
      </c>
      <c r="L50" s="160">
        <f t="shared" si="15"/>
        <v>1429</v>
      </c>
    </row>
    <row r="51" spans="1:12" ht="16.5" thickBot="1" x14ac:dyDescent="0.3">
      <c r="A51" s="1815"/>
      <c r="B51" s="1754"/>
      <c r="C51" s="1126" t="s">
        <v>270</v>
      </c>
      <c r="D51" s="1126"/>
      <c r="E51" s="161">
        <f>E49/E47*100</f>
        <v>59.952869420571112</v>
      </c>
      <c r="F51" s="366">
        <f t="shared" ref="F51:L51" si="16">F49/F47*100</f>
        <v>49.140136441159747</v>
      </c>
      <c r="G51" s="161">
        <f t="shared" si="16"/>
        <v>52.473118279569896</v>
      </c>
      <c r="H51" s="161">
        <f t="shared" si="16"/>
        <v>56.36762860727729</v>
      </c>
      <c r="I51" s="161">
        <f t="shared" si="16"/>
        <v>56.532010394519247</v>
      </c>
      <c r="J51" s="161">
        <f t="shared" si="16"/>
        <v>57.540965332738821</v>
      </c>
      <c r="K51" s="161">
        <f t="shared" si="16"/>
        <v>57.76481149012568</v>
      </c>
      <c r="L51" s="162">
        <f t="shared" si="16"/>
        <v>58.189111747851008</v>
      </c>
    </row>
    <row r="52" spans="1:12" s="64" customFormat="1" x14ac:dyDescent="0.25">
      <c r="A52" s="1815"/>
      <c r="B52" s="1683" t="s">
        <v>146</v>
      </c>
      <c r="C52" s="1147" t="s">
        <v>251</v>
      </c>
      <c r="D52" s="1147"/>
      <c r="E52" s="40"/>
      <c r="F52" s="40"/>
      <c r="G52" s="40"/>
      <c r="H52" s="40">
        <v>9.35</v>
      </c>
      <c r="I52" s="40">
        <v>7.68</v>
      </c>
      <c r="J52" s="40">
        <v>6.13</v>
      </c>
      <c r="K52" s="40">
        <v>5.77</v>
      </c>
      <c r="L52" s="325">
        <v>5.57</v>
      </c>
    </row>
    <row r="53" spans="1:12" x14ac:dyDescent="0.25">
      <c r="A53" s="1815"/>
      <c r="B53" s="1684"/>
      <c r="C53" s="1124" t="s">
        <v>257</v>
      </c>
      <c r="D53" s="1124"/>
      <c r="E53" s="28"/>
      <c r="F53" s="28"/>
      <c r="G53" s="28"/>
      <c r="H53" s="28">
        <v>8.77</v>
      </c>
      <c r="I53" s="28">
        <v>7.03</v>
      </c>
      <c r="J53" s="28">
        <v>5.6</v>
      </c>
      <c r="K53" s="28">
        <v>5.13</v>
      </c>
      <c r="L53" s="21">
        <v>4.96</v>
      </c>
    </row>
    <row r="54" spans="1:12" x14ac:dyDescent="0.25">
      <c r="A54" s="1815"/>
      <c r="B54" s="1684"/>
      <c r="C54" s="1223" t="s">
        <v>263</v>
      </c>
      <c r="D54" s="1223"/>
      <c r="E54" s="28"/>
      <c r="F54" s="28"/>
      <c r="G54" s="28"/>
      <c r="H54" s="28">
        <v>9.8800000000000008</v>
      </c>
      <c r="I54" s="28">
        <v>8.26</v>
      </c>
      <c r="J54" s="28">
        <v>6.61</v>
      </c>
      <c r="K54" s="28">
        <v>6.35</v>
      </c>
      <c r="L54" s="21">
        <v>6.14</v>
      </c>
    </row>
    <row r="55" spans="1:12" ht="16.5" thickBot="1" x14ac:dyDescent="0.3">
      <c r="A55" s="1815"/>
      <c r="B55" s="1754"/>
      <c r="C55" s="1225" t="s">
        <v>354</v>
      </c>
      <c r="D55" s="1225"/>
      <c r="E55" s="203"/>
      <c r="F55" s="203"/>
      <c r="G55" s="203"/>
      <c r="H55" s="34">
        <f>+H54-H53</f>
        <v>1.1100000000000012</v>
      </c>
      <c r="I55" s="34">
        <f>+I54-I53</f>
        <v>1.2299999999999995</v>
      </c>
      <c r="J55" s="34">
        <f>+J54-J53</f>
        <v>1.0100000000000007</v>
      </c>
      <c r="K55" s="34">
        <f>+K54-K53</f>
        <v>1.2199999999999998</v>
      </c>
      <c r="L55" s="35">
        <f>+L54-L53</f>
        <v>1.1799999999999997</v>
      </c>
    </row>
    <row r="56" spans="1:12" s="64" customFormat="1" x14ac:dyDescent="0.25">
      <c r="A56" s="1815"/>
      <c r="B56" s="1683" t="s">
        <v>151</v>
      </c>
      <c r="C56" s="1317" t="s">
        <v>251</v>
      </c>
      <c r="D56" s="1317"/>
      <c r="E56" s="40"/>
      <c r="F56" s="40"/>
      <c r="G56" s="40"/>
      <c r="H56" s="195">
        <v>802</v>
      </c>
      <c r="I56" s="195">
        <v>888</v>
      </c>
      <c r="J56" s="195">
        <v>935</v>
      </c>
      <c r="K56" s="195">
        <v>968</v>
      </c>
      <c r="L56" s="325"/>
    </row>
    <row r="57" spans="1:12" x14ac:dyDescent="0.25">
      <c r="A57" s="1815"/>
      <c r="B57" s="1684"/>
      <c r="C57" s="1230" t="s">
        <v>257</v>
      </c>
      <c r="D57" s="1230"/>
      <c r="E57" s="28"/>
      <c r="F57" s="28"/>
      <c r="G57" s="28"/>
      <c r="H57" s="96">
        <v>289</v>
      </c>
      <c r="I57" s="96">
        <v>308</v>
      </c>
      <c r="J57" s="96">
        <v>321</v>
      </c>
      <c r="K57" s="96">
        <v>308</v>
      </c>
      <c r="L57" s="21"/>
    </row>
    <row r="58" spans="1:12" x14ac:dyDescent="0.25">
      <c r="A58" s="1815"/>
      <c r="B58" s="1684"/>
      <c r="C58" s="1124" t="s">
        <v>263</v>
      </c>
      <c r="D58" s="1124"/>
      <c r="E58" s="28"/>
      <c r="F58" s="28"/>
      <c r="G58" s="28"/>
      <c r="H58" s="96">
        <v>513</v>
      </c>
      <c r="I58" s="96">
        <v>580</v>
      </c>
      <c r="J58" s="96">
        <v>614</v>
      </c>
      <c r="K58" s="96">
        <v>660</v>
      </c>
      <c r="L58" s="21"/>
    </row>
    <row r="59" spans="1:12" x14ac:dyDescent="0.25">
      <c r="A59" s="1815"/>
      <c r="B59" s="1684"/>
      <c r="C59" s="1112" t="s">
        <v>353</v>
      </c>
      <c r="D59" s="1112"/>
      <c r="E59" s="28"/>
      <c r="F59" s="28"/>
      <c r="G59" s="28"/>
      <c r="H59" s="44">
        <f>+H58-H57</f>
        <v>224</v>
      </c>
      <c r="I59" s="44">
        <f>+I58-I57</f>
        <v>272</v>
      </c>
      <c r="J59" s="44">
        <f>+J58-J57</f>
        <v>293</v>
      </c>
      <c r="K59" s="44">
        <f>+K58-K57</f>
        <v>352</v>
      </c>
      <c r="L59" s="21"/>
    </row>
    <row r="60" spans="1:12" ht="16.5" thickBot="1" x14ac:dyDescent="0.3">
      <c r="A60" s="1815"/>
      <c r="B60" s="1754"/>
      <c r="C60" s="1126" t="s">
        <v>270</v>
      </c>
      <c r="D60" s="1126"/>
      <c r="E60" s="33"/>
      <c r="F60" s="33"/>
      <c r="G60" s="33"/>
      <c r="H60" s="161">
        <f>H58/H56*100</f>
        <v>63.965087281795505</v>
      </c>
      <c r="I60" s="161">
        <f>I58/I56*100</f>
        <v>65.315315315315317</v>
      </c>
      <c r="J60" s="161">
        <f>J58/J56*100</f>
        <v>65.668449197860966</v>
      </c>
      <c r="K60" s="161">
        <f>K58/K56*100</f>
        <v>68.181818181818173</v>
      </c>
      <c r="L60" s="22"/>
    </row>
    <row r="61" spans="1:12" ht="16.5" thickBot="1" x14ac:dyDescent="0.3">
      <c r="A61" s="1779"/>
      <c r="B61" s="823" t="s">
        <v>249</v>
      </c>
      <c r="C61" s="1675"/>
      <c r="D61" s="1675"/>
      <c r="E61" s="112"/>
      <c r="F61" s="112">
        <v>2011</v>
      </c>
      <c r="G61" s="112"/>
      <c r="H61" s="112"/>
      <c r="I61" s="112">
        <v>2021</v>
      </c>
      <c r="J61" s="112"/>
      <c r="K61" s="112"/>
      <c r="L61" s="616">
        <v>2024</v>
      </c>
    </row>
    <row r="62" spans="1:12" x14ac:dyDescent="0.25">
      <c r="A62" s="1815"/>
      <c r="B62" s="1683" t="s">
        <v>156</v>
      </c>
      <c r="C62" s="1689" t="s">
        <v>355</v>
      </c>
      <c r="D62" s="207" t="s">
        <v>251</v>
      </c>
      <c r="E62" s="612"/>
      <c r="F62" s="81">
        <v>92360</v>
      </c>
      <c r="G62" s="103"/>
      <c r="H62" s="103"/>
      <c r="I62" s="81">
        <v>90840</v>
      </c>
      <c r="J62" s="36"/>
      <c r="K62" s="36"/>
      <c r="L62" s="20"/>
    </row>
    <row r="63" spans="1:12" ht="15" customHeight="1" x14ac:dyDescent="0.25">
      <c r="A63" s="1815"/>
      <c r="B63" s="1684"/>
      <c r="C63" s="1676"/>
      <c r="D63" s="28" t="s">
        <v>257</v>
      </c>
      <c r="E63" s="94"/>
      <c r="F63" s="80">
        <v>45315</v>
      </c>
      <c r="G63" s="95"/>
      <c r="H63" s="95"/>
      <c r="I63" s="80">
        <v>44121</v>
      </c>
      <c r="J63" s="28"/>
      <c r="K63" s="28"/>
      <c r="L63" s="21"/>
    </row>
    <row r="64" spans="1:12" x14ac:dyDescent="0.25">
      <c r="A64" s="1815"/>
      <c r="B64" s="1684"/>
      <c r="C64" s="1676"/>
      <c r="D64" s="28" t="s">
        <v>263</v>
      </c>
      <c r="E64" s="94"/>
      <c r="F64" s="80">
        <v>47045</v>
      </c>
      <c r="G64" s="95"/>
      <c r="H64" s="95"/>
      <c r="I64" s="80">
        <v>46722</v>
      </c>
      <c r="J64" s="28"/>
      <c r="K64" s="28"/>
      <c r="L64" s="21"/>
    </row>
    <row r="65" spans="1:12" hidden="1" x14ac:dyDescent="0.25">
      <c r="A65" s="1815"/>
      <c r="B65" s="1684"/>
      <c r="C65" s="1403" t="s">
        <v>356</v>
      </c>
      <c r="D65" s="144" t="s">
        <v>251</v>
      </c>
      <c r="E65" s="94"/>
      <c r="F65" s="80">
        <v>630</v>
      </c>
      <c r="G65" s="95"/>
      <c r="H65" s="95"/>
      <c r="I65" s="96"/>
      <c r="J65" s="28"/>
      <c r="K65" s="28"/>
      <c r="L65" s="21"/>
    </row>
    <row r="66" spans="1:12" hidden="1" x14ac:dyDescent="0.25">
      <c r="A66" s="1815"/>
      <c r="B66" s="1684"/>
      <c r="C66" s="1403"/>
      <c r="D66" s="28" t="s">
        <v>257</v>
      </c>
      <c r="E66" s="94"/>
      <c r="F66" s="80">
        <v>585</v>
      </c>
      <c r="G66" s="95"/>
      <c r="H66" s="95"/>
      <c r="I66" s="96"/>
      <c r="J66" s="28"/>
      <c r="K66" s="28"/>
      <c r="L66" s="21"/>
    </row>
    <row r="67" spans="1:12" hidden="1" x14ac:dyDescent="0.25">
      <c r="A67" s="1815"/>
      <c r="B67" s="1684"/>
      <c r="C67" s="1403"/>
      <c r="D67" s="28" t="s">
        <v>263</v>
      </c>
      <c r="E67" s="94"/>
      <c r="F67" s="80">
        <v>50</v>
      </c>
      <c r="G67" s="95"/>
      <c r="H67" s="95"/>
      <c r="I67" s="96"/>
      <c r="J67" s="28"/>
      <c r="K67" s="28"/>
      <c r="L67" s="21"/>
    </row>
    <row r="68" spans="1:12" hidden="1" x14ac:dyDescent="0.25">
      <c r="A68" s="1815"/>
      <c r="B68" s="1684"/>
      <c r="C68" s="1403"/>
      <c r="D68" s="28" t="s">
        <v>357</v>
      </c>
      <c r="E68" s="94"/>
      <c r="F68" s="97">
        <f>F67/F65*100</f>
        <v>7.9365079365079358</v>
      </c>
      <c r="G68" s="94"/>
      <c r="H68" s="94"/>
      <c r="I68" s="28"/>
      <c r="J68" s="28"/>
      <c r="K68" s="28"/>
      <c r="L68" s="21"/>
    </row>
    <row r="69" spans="1:12" ht="14.85" hidden="1" customHeight="1" x14ac:dyDescent="0.25">
      <c r="A69" s="1815"/>
      <c r="B69" s="1684"/>
      <c r="C69" s="1403" t="s">
        <v>358</v>
      </c>
      <c r="D69" s="144" t="s">
        <v>251</v>
      </c>
      <c r="E69" s="94"/>
      <c r="F69" s="80">
        <v>910</v>
      </c>
      <c r="G69" s="80"/>
      <c r="H69" s="80"/>
      <c r="I69" s="80">
        <v>351</v>
      </c>
      <c r="J69" s="28"/>
      <c r="K69" s="28"/>
      <c r="L69" s="21"/>
    </row>
    <row r="70" spans="1:12" hidden="1" x14ac:dyDescent="0.25">
      <c r="A70" s="1815"/>
      <c r="B70" s="1684"/>
      <c r="C70" s="1403"/>
      <c r="D70" s="28" t="s">
        <v>257</v>
      </c>
      <c r="E70" s="94"/>
      <c r="F70" s="80">
        <v>740</v>
      </c>
      <c r="G70" s="80"/>
      <c r="H70" s="80"/>
      <c r="I70" s="80">
        <v>249</v>
      </c>
      <c r="J70" s="28"/>
      <c r="K70" s="28"/>
      <c r="L70" s="21"/>
    </row>
    <row r="71" spans="1:12" hidden="1" x14ac:dyDescent="0.25">
      <c r="A71" s="1815"/>
      <c r="B71" s="1684"/>
      <c r="C71" s="1403"/>
      <c r="D71" s="28" t="s">
        <v>263</v>
      </c>
      <c r="E71" s="94"/>
      <c r="F71" s="80">
        <v>170</v>
      </c>
      <c r="G71" s="80"/>
      <c r="H71" s="80"/>
      <c r="I71" s="80">
        <v>105</v>
      </c>
      <c r="J71" s="28"/>
      <c r="K71" s="28"/>
      <c r="L71" s="21"/>
    </row>
    <row r="72" spans="1:12" hidden="1" x14ac:dyDescent="0.25">
      <c r="A72" s="1815"/>
      <c r="B72" s="1684"/>
      <c r="C72" s="1403"/>
      <c r="D72" s="28" t="s">
        <v>357</v>
      </c>
      <c r="E72" s="94"/>
      <c r="F72" s="97">
        <f>F71/F69*100</f>
        <v>18.681318681318682</v>
      </c>
      <c r="G72" s="94"/>
      <c r="H72" s="94"/>
      <c r="I72" s="97">
        <f>I71/I69*100</f>
        <v>29.914529914529915</v>
      </c>
      <c r="J72" s="28"/>
      <c r="K72" s="28"/>
      <c r="L72" s="21"/>
    </row>
    <row r="73" spans="1:12" hidden="1" x14ac:dyDescent="0.25">
      <c r="A73" s="1815"/>
      <c r="B73" s="1684"/>
      <c r="C73" s="1403" t="s">
        <v>359</v>
      </c>
      <c r="D73" s="144" t="s">
        <v>251</v>
      </c>
      <c r="E73" s="94"/>
      <c r="F73" s="80">
        <v>2400</v>
      </c>
      <c r="G73" s="80"/>
      <c r="H73" s="80"/>
      <c r="I73" s="80">
        <v>2190</v>
      </c>
      <c r="J73" s="28"/>
      <c r="K73" s="28"/>
      <c r="L73" s="21"/>
    </row>
    <row r="74" spans="1:12" hidden="1" x14ac:dyDescent="0.25">
      <c r="A74" s="1815"/>
      <c r="B74" s="1684"/>
      <c r="C74" s="1403"/>
      <c r="D74" s="28" t="s">
        <v>257</v>
      </c>
      <c r="E74" s="94"/>
      <c r="F74" s="80">
        <v>1280</v>
      </c>
      <c r="G74" s="80"/>
      <c r="H74" s="80"/>
      <c r="I74" s="80">
        <v>1284</v>
      </c>
      <c r="J74" s="28"/>
      <c r="K74" s="28"/>
      <c r="L74" s="21"/>
    </row>
    <row r="75" spans="1:12" hidden="1" x14ac:dyDescent="0.25">
      <c r="A75" s="1815"/>
      <c r="B75" s="1684"/>
      <c r="C75" s="1403"/>
      <c r="D75" s="28" t="s">
        <v>263</v>
      </c>
      <c r="E75" s="94"/>
      <c r="F75" s="80">
        <v>1120</v>
      </c>
      <c r="G75" s="80"/>
      <c r="H75" s="80"/>
      <c r="I75" s="80">
        <v>906</v>
      </c>
      <c r="J75" s="28"/>
      <c r="K75" s="28"/>
      <c r="L75" s="21"/>
    </row>
    <row r="76" spans="1:12" hidden="1" x14ac:dyDescent="0.25">
      <c r="A76" s="1815"/>
      <c r="B76" s="1684"/>
      <c r="C76" s="1403"/>
      <c r="D76" s="28" t="s">
        <v>357</v>
      </c>
      <c r="E76" s="94"/>
      <c r="F76" s="98">
        <f>F75/F73*100</f>
        <v>46.666666666666664</v>
      </c>
      <c r="G76" s="94"/>
      <c r="H76" s="94"/>
      <c r="I76" s="98">
        <f>I75/I73*100</f>
        <v>41.369863013698634</v>
      </c>
      <c r="J76" s="28"/>
      <c r="K76" s="28"/>
      <c r="L76" s="21"/>
    </row>
    <row r="77" spans="1:12" hidden="1" x14ac:dyDescent="0.25">
      <c r="A77" s="1815"/>
      <c r="B77" s="1684"/>
      <c r="C77" s="1403" t="s">
        <v>360</v>
      </c>
      <c r="D77" s="144" t="s">
        <v>251</v>
      </c>
      <c r="E77" s="94"/>
      <c r="F77" s="80">
        <v>2550</v>
      </c>
      <c r="G77" s="80"/>
      <c r="H77" s="80"/>
      <c r="I77" s="80">
        <v>702</v>
      </c>
      <c r="J77" s="28"/>
      <c r="K77" s="28"/>
      <c r="L77" s="21"/>
    </row>
    <row r="78" spans="1:12" hidden="1" x14ac:dyDescent="0.25">
      <c r="A78" s="1815"/>
      <c r="B78" s="1684"/>
      <c r="C78" s="1403"/>
      <c r="D78" s="28" t="s">
        <v>257</v>
      </c>
      <c r="E78" s="94"/>
      <c r="F78" s="80">
        <v>1820</v>
      </c>
      <c r="G78" s="80"/>
      <c r="H78" s="80"/>
      <c r="I78" s="80">
        <v>471</v>
      </c>
      <c r="J78" s="28"/>
      <c r="K78" s="28"/>
      <c r="L78" s="21"/>
    </row>
    <row r="79" spans="1:12" hidden="1" x14ac:dyDescent="0.25">
      <c r="A79" s="1815"/>
      <c r="B79" s="1684"/>
      <c r="C79" s="1403"/>
      <c r="D79" s="28" t="s">
        <v>263</v>
      </c>
      <c r="E79" s="94"/>
      <c r="F79" s="80">
        <v>730</v>
      </c>
      <c r="G79" s="80"/>
      <c r="H79" s="80"/>
      <c r="I79" s="80">
        <v>228</v>
      </c>
      <c r="J79" s="28"/>
      <c r="K79" s="28"/>
      <c r="L79" s="21"/>
    </row>
    <row r="80" spans="1:12" hidden="1" x14ac:dyDescent="0.25">
      <c r="A80" s="1815"/>
      <c r="B80" s="1684"/>
      <c r="C80" s="1403"/>
      <c r="D80" s="28" t="s">
        <v>357</v>
      </c>
      <c r="E80" s="94"/>
      <c r="F80" s="97">
        <f>F79/F77*100</f>
        <v>28.627450980392155</v>
      </c>
      <c r="G80" s="94"/>
      <c r="H80" s="94"/>
      <c r="I80" s="97">
        <f>I79/I77*100</f>
        <v>32.478632478632477</v>
      </c>
      <c r="J80" s="28"/>
      <c r="K80" s="28"/>
      <c r="L80" s="21"/>
    </row>
    <row r="81" spans="1:12" hidden="1" x14ac:dyDescent="0.25">
      <c r="A81" s="1815"/>
      <c r="B81" s="1684"/>
      <c r="C81" s="1403" t="s">
        <v>361</v>
      </c>
      <c r="D81" s="144" t="s">
        <v>251</v>
      </c>
      <c r="E81" s="94"/>
      <c r="F81" s="80">
        <v>445</v>
      </c>
      <c r="G81" s="80"/>
      <c r="H81" s="80"/>
      <c r="I81" s="80">
        <v>468</v>
      </c>
      <c r="J81" s="28"/>
      <c r="K81" s="28"/>
      <c r="L81" s="21"/>
    </row>
    <row r="82" spans="1:12" hidden="1" x14ac:dyDescent="0.25">
      <c r="A82" s="1815"/>
      <c r="B82" s="1684"/>
      <c r="C82" s="1403"/>
      <c r="D82" s="28" t="s">
        <v>257</v>
      </c>
      <c r="E82" s="94"/>
      <c r="F82" s="80">
        <v>360</v>
      </c>
      <c r="G82" s="80"/>
      <c r="H82" s="80"/>
      <c r="I82" s="80">
        <v>297</v>
      </c>
      <c r="J82" s="28"/>
      <c r="K82" s="28"/>
      <c r="L82" s="21"/>
    </row>
    <row r="83" spans="1:12" hidden="1" x14ac:dyDescent="0.25">
      <c r="A83" s="1815"/>
      <c r="B83" s="1684"/>
      <c r="C83" s="1403"/>
      <c r="D83" s="28" t="s">
        <v>263</v>
      </c>
      <c r="E83" s="94"/>
      <c r="F83" s="80">
        <v>85</v>
      </c>
      <c r="G83" s="80"/>
      <c r="H83" s="80"/>
      <c r="I83" s="80">
        <v>168</v>
      </c>
      <c r="J83" s="28"/>
      <c r="K83" s="28"/>
      <c r="L83" s="21"/>
    </row>
    <row r="84" spans="1:12" hidden="1" x14ac:dyDescent="0.25">
      <c r="A84" s="1815"/>
      <c r="B84" s="1684"/>
      <c r="C84" s="1403"/>
      <c r="D84" s="28" t="s">
        <v>357</v>
      </c>
      <c r="E84" s="94"/>
      <c r="F84" s="97">
        <f>(F83/F81)*100</f>
        <v>19.101123595505616</v>
      </c>
      <c r="G84" s="94"/>
      <c r="H84" s="94"/>
      <c r="I84" s="97">
        <f>I83/I81*100</f>
        <v>35.897435897435898</v>
      </c>
      <c r="J84" s="28"/>
      <c r="K84" s="28"/>
      <c r="L84" s="21"/>
    </row>
    <row r="85" spans="1:12" hidden="1" x14ac:dyDescent="0.25">
      <c r="A85" s="1815"/>
      <c r="B85" s="1684"/>
      <c r="C85" s="1403" t="s">
        <v>362</v>
      </c>
      <c r="D85" s="144" t="s">
        <v>251</v>
      </c>
      <c r="E85" s="94"/>
      <c r="F85" s="80">
        <v>200</v>
      </c>
      <c r="G85" s="80"/>
      <c r="H85" s="80"/>
      <c r="I85" s="80">
        <v>579</v>
      </c>
      <c r="J85" s="28"/>
      <c r="K85" s="28"/>
      <c r="L85" s="21"/>
    </row>
    <row r="86" spans="1:12" ht="15" hidden="1" customHeight="1" x14ac:dyDescent="0.25">
      <c r="A86" s="1815"/>
      <c r="B86" s="1684"/>
      <c r="C86" s="1403"/>
      <c r="D86" s="28" t="s">
        <v>257</v>
      </c>
      <c r="E86" s="94"/>
      <c r="F86" s="80">
        <v>130</v>
      </c>
      <c r="G86" s="80"/>
      <c r="H86" s="80"/>
      <c r="I86" s="80">
        <v>360</v>
      </c>
      <c r="J86" s="28"/>
      <c r="K86" s="28"/>
      <c r="L86" s="21"/>
    </row>
    <row r="87" spans="1:12" hidden="1" x14ac:dyDescent="0.25">
      <c r="A87" s="1815"/>
      <c r="B87" s="1684"/>
      <c r="C87" s="1403"/>
      <c r="D87" s="28" t="s">
        <v>263</v>
      </c>
      <c r="E87" s="94"/>
      <c r="F87" s="80">
        <v>70</v>
      </c>
      <c r="G87" s="80"/>
      <c r="H87" s="80"/>
      <c r="I87" s="80">
        <v>216</v>
      </c>
      <c r="J87" s="28"/>
      <c r="K87" s="28"/>
      <c r="L87" s="21"/>
    </row>
    <row r="88" spans="1:12" hidden="1" x14ac:dyDescent="0.25">
      <c r="A88" s="1815"/>
      <c r="B88" s="1684"/>
      <c r="C88" s="1403"/>
      <c r="D88" s="28" t="s">
        <v>357</v>
      </c>
      <c r="E88" s="94"/>
      <c r="F88" s="97">
        <f>(F87/F85)*100</f>
        <v>35</v>
      </c>
      <c r="G88" s="94"/>
      <c r="H88" s="94"/>
      <c r="I88" s="97">
        <f>I87/I85*100</f>
        <v>37.305699481865283</v>
      </c>
      <c r="J88" s="28"/>
      <c r="K88" s="28"/>
      <c r="L88" s="21"/>
    </row>
    <row r="89" spans="1:12" hidden="1" x14ac:dyDescent="0.25">
      <c r="A89" s="1815"/>
      <c r="B89" s="1684"/>
      <c r="C89" s="1403" t="s">
        <v>363</v>
      </c>
      <c r="D89" s="144" t="s">
        <v>251</v>
      </c>
      <c r="E89" s="94"/>
      <c r="F89" s="80">
        <v>3870</v>
      </c>
      <c r="G89" s="80"/>
      <c r="H89" s="80"/>
      <c r="I89" s="80">
        <v>3705</v>
      </c>
      <c r="J89" s="28"/>
      <c r="K89" s="28"/>
      <c r="L89" s="21"/>
    </row>
    <row r="90" spans="1:12" hidden="1" x14ac:dyDescent="0.25">
      <c r="A90" s="1815"/>
      <c r="B90" s="1684"/>
      <c r="C90" s="1403"/>
      <c r="D90" s="28" t="s">
        <v>257</v>
      </c>
      <c r="E90" s="94"/>
      <c r="F90" s="80">
        <v>1035</v>
      </c>
      <c r="G90" s="80"/>
      <c r="H90" s="80"/>
      <c r="I90" s="80">
        <v>918</v>
      </c>
      <c r="J90" s="28"/>
      <c r="K90" s="28"/>
      <c r="L90" s="21"/>
    </row>
    <row r="91" spans="1:12" hidden="1" x14ac:dyDescent="0.25">
      <c r="A91" s="1815"/>
      <c r="B91" s="1684"/>
      <c r="C91" s="1403"/>
      <c r="D91" s="28" t="s">
        <v>263</v>
      </c>
      <c r="E91" s="94"/>
      <c r="F91" s="80">
        <v>2840</v>
      </c>
      <c r="G91" s="80"/>
      <c r="H91" s="80"/>
      <c r="I91" s="80">
        <v>2787</v>
      </c>
      <c r="J91" s="28"/>
      <c r="K91" s="28"/>
      <c r="L91" s="21"/>
    </row>
    <row r="92" spans="1:12" hidden="1" x14ac:dyDescent="0.25">
      <c r="A92" s="1815"/>
      <c r="B92" s="1684"/>
      <c r="C92" s="1403"/>
      <c r="D92" s="28" t="s">
        <v>357</v>
      </c>
      <c r="E92" s="94"/>
      <c r="F92" s="99">
        <f>(F91/F89)*100</f>
        <v>73.385012919896639</v>
      </c>
      <c r="G92" s="94"/>
      <c r="H92" s="94"/>
      <c r="I92" s="99">
        <f>I91/I89*100</f>
        <v>75.222672064777328</v>
      </c>
      <c r="J92" s="28"/>
      <c r="K92" s="28"/>
      <c r="L92" s="21"/>
    </row>
    <row r="93" spans="1:12" hidden="1" x14ac:dyDescent="0.25">
      <c r="A93" s="1815"/>
      <c r="B93" s="1684"/>
      <c r="C93" s="1403" t="s">
        <v>364</v>
      </c>
      <c r="D93" s="144" t="s">
        <v>251</v>
      </c>
      <c r="E93" s="94"/>
      <c r="F93" s="80">
        <v>3335</v>
      </c>
      <c r="G93" s="80"/>
      <c r="H93" s="80"/>
      <c r="I93" s="80">
        <v>3978</v>
      </c>
      <c r="J93" s="28"/>
      <c r="K93" s="28"/>
      <c r="L93" s="21"/>
    </row>
    <row r="94" spans="1:12" ht="14.85" hidden="1" customHeight="1" x14ac:dyDescent="0.25">
      <c r="A94" s="1815"/>
      <c r="B94" s="1684"/>
      <c r="C94" s="1403"/>
      <c r="D94" s="28" t="s">
        <v>257</v>
      </c>
      <c r="E94" s="94"/>
      <c r="F94" s="80">
        <v>965</v>
      </c>
      <c r="G94" s="80"/>
      <c r="H94" s="80"/>
      <c r="I94" s="80">
        <v>1302</v>
      </c>
      <c r="J94" s="28"/>
      <c r="K94" s="28"/>
      <c r="L94" s="21"/>
    </row>
    <row r="95" spans="1:12" hidden="1" x14ac:dyDescent="0.25">
      <c r="A95" s="1815"/>
      <c r="B95" s="1684"/>
      <c r="C95" s="1403"/>
      <c r="D95" s="28" t="s">
        <v>263</v>
      </c>
      <c r="E95" s="94"/>
      <c r="F95" s="80">
        <v>2370</v>
      </c>
      <c r="G95" s="80"/>
      <c r="H95" s="80"/>
      <c r="I95" s="80">
        <v>2673</v>
      </c>
      <c r="J95" s="28"/>
      <c r="K95" s="28"/>
      <c r="L95" s="21"/>
    </row>
    <row r="96" spans="1:12" hidden="1" x14ac:dyDescent="0.25">
      <c r="A96" s="1815"/>
      <c r="B96" s="1684"/>
      <c r="C96" s="1403"/>
      <c r="D96" s="28" t="s">
        <v>357</v>
      </c>
      <c r="E96" s="94"/>
      <c r="F96" s="99">
        <f>(F95/F93)*100</f>
        <v>71.064467766116948</v>
      </c>
      <c r="G96" s="94"/>
      <c r="H96" s="94"/>
      <c r="I96" s="99">
        <f>I95/I93*100</f>
        <v>67.194570135746616</v>
      </c>
      <c r="J96" s="28"/>
      <c r="K96" s="28"/>
      <c r="L96" s="21"/>
    </row>
    <row r="97" spans="1:12" hidden="1" x14ac:dyDescent="0.25">
      <c r="A97" s="1815"/>
      <c r="B97" s="1684"/>
      <c r="C97" s="1403" t="s">
        <v>365</v>
      </c>
      <c r="D97" s="144" t="s">
        <v>251</v>
      </c>
      <c r="E97" s="94"/>
      <c r="F97" s="80">
        <v>660</v>
      </c>
      <c r="G97" s="80"/>
      <c r="H97" s="80"/>
      <c r="I97" s="80">
        <v>1104</v>
      </c>
      <c r="J97" s="28"/>
      <c r="K97" s="28"/>
      <c r="L97" s="21"/>
    </row>
    <row r="98" spans="1:12" hidden="1" x14ac:dyDescent="0.25">
      <c r="A98" s="1815"/>
      <c r="B98" s="1684"/>
      <c r="C98" s="1403"/>
      <c r="D98" s="28" t="s">
        <v>257</v>
      </c>
      <c r="E98" s="94"/>
      <c r="F98" s="80">
        <v>325</v>
      </c>
      <c r="G98" s="80"/>
      <c r="H98" s="80"/>
      <c r="I98" s="80">
        <v>423</v>
      </c>
      <c r="J98" s="28"/>
      <c r="K98" s="28"/>
      <c r="L98" s="21"/>
    </row>
    <row r="99" spans="1:12" hidden="1" x14ac:dyDescent="0.25">
      <c r="A99" s="1815"/>
      <c r="B99" s="1684"/>
      <c r="C99" s="1403"/>
      <c r="D99" s="28" t="s">
        <v>263</v>
      </c>
      <c r="E99" s="94"/>
      <c r="F99" s="80">
        <v>335</v>
      </c>
      <c r="G99" s="80"/>
      <c r="H99" s="80"/>
      <c r="I99" s="80">
        <v>684</v>
      </c>
      <c r="J99" s="28"/>
      <c r="K99" s="28"/>
      <c r="L99" s="21"/>
    </row>
    <row r="100" spans="1:12" hidden="1" x14ac:dyDescent="0.25">
      <c r="A100" s="1815"/>
      <c r="B100" s="1684"/>
      <c r="C100" s="1403"/>
      <c r="D100" s="28" t="s">
        <v>357</v>
      </c>
      <c r="E100" s="94"/>
      <c r="F100" s="98">
        <f>F99/F97*100</f>
        <v>50.757575757575758</v>
      </c>
      <c r="G100" s="94"/>
      <c r="H100" s="94"/>
      <c r="I100" s="99">
        <f>I99/I97*100</f>
        <v>61.95652173913043</v>
      </c>
      <c r="J100" s="28"/>
      <c r="K100" s="28"/>
      <c r="L100" s="21"/>
    </row>
    <row r="101" spans="1:12" hidden="1" x14ac:dyDescent="0.25">
      <c r="A101" s="1815"/>
      <c r="B101" s="1684"/>
      <c r="C101" s="1403" t="s">
        <v>366</v>
      </c>
      <c r="D101" s="144" t="s">
        <v>251</v>
      </c>
      <c r="E101" s="94"/>
      <c r="F101" s="80">
        <v>4810</v>
      </c>
      <c r="G101" s="80"/>
      <c r="H101" s="80"/>
      <c r="I101" s="80">
        <v>3852</v>
      </c>
      <c r="J101" s="28"/>
      <c r="K101" s="28"/>
      <c r="L101" s="21"/>
    </row>
    <row r="102" spans="1:12" hidden="1" x14ac:dyDescent="0.25">
      <c r="A102" s="1815"/>
      <c r="B102" s="1684"/>
      <c r="C102" s="1403"/>
      <c r="D102" s="28" t="s">
        <v>257</v>
      </c>
      <c r="E102" s="94"/>
      <c r="F102" s="80">
        <v>3225</v>
      </c>
      <c r="G102" s="80"/>
      <c r="H102" s="80"/>
      <c r="I102" s="80">
        <v>2490</v>
      </c>
      <c r="J102" s="28"/>
      <c r="K102" s="28"/>
      <c r="L102" s="21"/>
    </row>
    <row r="103" spans="1:12" hidden="1" x14ac:dyDescent="0.25">
      <c r="A103" s="1815"/>
      <c r="B103" s="1684"/>
      <c r="C103" s="1403"/>
      <c r="D103" s="28" t="s">
        <v>263</v>
      </c>
      <c r="E103" s="94"/>
      <c r="F103" s="80">
        <v>1590</v>
      </c>
      <c r="G103" s="80"/>
      <c r="H103" s="80"/>
      <c r="I103" s="80">
        <v>1362</v>
      </c>
      <c r="J103" s="28"/>
      <c r="K103" s="28"/>
      <c r="L103" s="21"/>
    </row>
    <row r="104" spans="1:12" hidden="1" x14ac:dyDescent="0.25">
      <c r="A104" s="1815"/>
      <c r="B104" s="1684"/>
      <c r="C104" s="1403"/>
      <c r="D104" s="28" t="s">
        <v>357</v>
      </c>
      <c r="E104" s="94"/>
      <c r="F104" s="97">
        <f>(F103/F101)*100</f>
        <v>33.056133056133056</v>
      </c>
      <c r="G104" s="94"/>
      <c r="H104" s="94"/>
      <c r="I104" s="97">
        <f>I103/I101*100</f>
        <v>35.358255451713397</v>
      </c>
      <c r="J104" s="28"/>
      <c r="K104" s="28"/>
      <c r="L104" s="21"/>
    </row>
    <row r="105" spans="1:12" hidden="1" x14ac:dyDescent="0.25">
      <c r="A105" s="1815"/>
      <c r="B105" s="1684"/>
      <c r="C105" s="1403" t="s">
        <v>367</v>
      </c>
      <c r="D105" s="144" t="s">
        <v>251</v>
      </c>
      <c r="E105" s="94"/>
      <c r="F105" s="80">
        <v>1510</v>
      </c>
      <c r="G105" s="80"/>
      <c r="H105" s="80"/>
      <c r="I105" s="80">
        <v>1485</v>
      </c>
      <c r="J105" s="96"/>
      <c r="K105" s="28"/>
      <c r="L105" s="21"/>
    </row>
    <row r="106" spans="1:12" hidden="1" x14ac:dyDescent="0.25">
      <c r="A106" s="1815"/>
      <c r="B106" s="1684"/>
      <c r="C106" s="1403"/>
      <c r="D106" s="28" t="s">
        <v>257</v>
      </c>
      <c r="E106" s="94"/>
      <c r="F106" s="80">
        <v>755</v>
      </c>
      <c r="G106" s="80"/>
      <c r="H106" s="80"/>
      <c r="I106" s="80">
        <v>690</v>
      </c>
      <c r="J106" s="96"/>
      <c r="K106" s="28"/>
      <c r="L106" s="21"/>
    </row>
    <row r="107" spans="1:12" hidden="1" x14ac:dyDescent="0.25">
      <c r="A107" s="1815"/>
      <c r="B107" s="1684"/>
      <c r="C107" s="1403"/>
      <c r="D107" s="28" t="s">
        <v>263</v>
      </c>
      <c r="E107" s="94"/>
      <c r="F107" s="80">
        <v>750</v>
      </c>
      <c r="G107" s="80"/>
      <c r="H107" s="80"/>
      <c r="I107" s="80">
        <v>792</v>
      </c>
      <c r="J107" s="96"/>
      <c r="K107" s="28"/>
      <c r="L107" s="21"/>
    </row>
    <row r="108" spans="1:12" hidden="1" x14ac:dyDescent="0.25">
      <c r="A108" s="1815"/>
      <c r="B108" s="1684"/>
      <c r="C108" s="1403"/>
      <c r="D108" s="28" t="s">
        <v>357</v>
      </c>
      <c r="E108" s="94"/>
      <c r="F108" s="98">
        <f>(F107/F105)*100</f>
        <v>49.668874172185426</v>
      </c>
      <c r="G108" s="94"/>
      <c r="H108" s="94"/>
      <c r="I108" s="98">
        <f>I107/I105*100</f>
        <v>53.333333333333336</v>
      </c>
      <c r="J108" s="96"/>
      <c r="K108" s="28"/>
      <c r="L108" s="21"/>
    </row>
    <row r="109" spans="1:12" hidden="1" x14ac:dyDescent="0.25">
      <c r="A109" s="1815"/>
      <c r="B109" s="1684"/>
      <c r="C109" s="1403" t="s">
        <v>368</v>
      </c>
      <c r="D109" s="144" t="s">
        <v>251</v>
      </c>
      <c r="E109" s="94"/>
      <c r="F109" s="80">
        <v>3140</v>
      </c>
      <c r="G109" s="80"/>
      <c r="H109" s="80"/>
      <c r="I109" s="80">
        <v>4788</v>
      </c>
      <c r="J109" s="96"/>
      <c r="K109" s="28"/>
      <c r="L109" s="21"/>
    </row>
    <row r="110" spans="1:12" hidden="1" x14ac:dyDescent="0.25">
      <c r="A110" s="1815"/>
      <c r="B110" s="1684"/>
      <c r="C110" s="1403"/>
      <c r="D110" s="28" t="s">
        <v>257</v>
      </c>
      <c r="E110" s="94"/>
      <c r="F110" s="80">
        <v>1310</v>
      </c>
      <c r="G110" s="80"/>
      <c r="H110" s="80"/>
      <c r="I110" s="80">
        <v>2217</v>
      </c>
      <c r="J110" s="96"/>
      <c r="K110" s="28"/>
      <c r="L110" s="21"/>
    </row>
    <row r="111" spans="1:12" hidden="1" x14ac:dyDescent="0.25">
      <c r="A111" s="1815"/>
      <c r="B111" s="1684"/>
      <c r="C111" s="1403"/>
      <c r="D111" s="28" t="s">
        <v>263</v>
      </c>
      <c r="E111" s="94"/>
      <c r="F111" s="80">
        <v>1830</v>
      </c>
      <c r="G111" s="80"/>
      <c r="H111" s="80"/>
      <c r="I111" s="80">
        <v>2571</v>
      </c>
      <c r="J111" s="96"/>
      <c r="K111" s="28"/>
      <c r="L111" s="21"/>
    </row>
    <row r="112" spans="1:12" hidden="1" x14ac:dyDescent="0.25">
      <c r="A112" s="1815"/>
      <c r="B112" s="1684"/>
      <c r="C112" s="1403"/>
      <c r="D112" s="28" t="s">
        <v>357</v>
      </c>
      <c r="E112" s="94"/>
      <c r="F112" s="98">
        <f>F111/F109*100</f>
        <v>58.280254777070063</v>
      </c>
      <c r="G112" s="94"/>
      <c r="H112" s="94"/>
      <c r="I112" s="98">
        <f>I111/I109*100</f>
        <v>53.696741854636585</v>
      </c>
      <c r="J112" s="96"/>
      <c r="K112" s="28"/>
      <c r="L112" s="21"/>
    </row>
    <row r="113" spans="1:12" hidden="1" x14ac:dyDescent="0.25">
      <c r="A113" s="1815"/>
      <c r="B113" s="1684"/>
      <c r="C113" s="1403" t="s">
        <v>369</v>
      </c>
      <c r="D113" s="144" t="s">
        <v>251</v>
      </c>
      <c r="E113" s="94"/>
      <c r="F113" s="80">
        <v>1925</v>
      </c>
      <c r="G113" s="80"/>
      <c r="H113" s="80"/>
      <c r="I113" s="80">
        <v>2592</v>
      </c>
      <c r="J113" s="96"/>
      <c r="K113" s="28"/>
      <c r="L113" s="21"/>
    </row>
    <row r="114" spans="1:12" hidden="1" x14ac:dyDescent="0.25">
      <c r="A114" s="1815"/>
      <c r="B114" s="1684"/>
      <c r="C114" s="1403"/>
      <c r="D114" s="28" t="s">
        <v>257</v>
      </c>
      <c r="E114" s="94"/>
      <c r="F114" s="80">
        <v>1295</v>
      </c>
      <c r="G114" s="80"/>
      <c r="H114" s="80"/>
      <c r="I114" s="80">
        <v>1818</v>
      </c>
      <c r="J114" s="96"/>
      <c r="K114" s="28"/>
      <c r="L114" s="21"/>
    </row>
    <row r="115" spans="1:12" hidden="1" x14ac:dyDescent="0.25">
      <c r="A115" s="1815"/>
      <c r="B115" s="1684"/>
      <c r="C115" s="1403"/>
      <c r="D115" s="28" t="s">
        <v>263</v>
      </c>
      <c r="E115" s="94"/>
      <c r="F115" s="80">
        <v>630</v>
      </c>
      <c r="G115" s="80"/>
      <c r="H115" s="80"/>
      <c r="I115" s="80">
        <v>771</v>
      </c>
      <c r="J115" s="96"/>
      <c r="K115" s="28"/>
      <c r="L115" s="21"/>
    </row>
    <row r="116" spans="1:12" hidden="1" x14ac:dyDescent="0.25">
      <c r="A116" s="1815"/>
      <c r="B116" s="1684"/>
      <c r="C116" s="1403"/>
      <c r="D116" s="28" t="s">
        <v>357</v>
      </c>
      <c r="E116" s="94"/>
      <c r="F116" s="97">
        <f>(F115/F113)*100</f>
        <v>32.727272727272727</v>
      </c>
      <c r="G116" s="94"/>
      <c r="H116" s="94"/>
      <c r="I116" s="97">
        <f>I115/I113*100</f>
        <v>29.745370370370374</v>
      </c>
      <c r="J116" s="96"/>
      <c r="K116" s="28"/>
      <c r="L116" s="21"/>
    </row>
    <row r="117" spans="1:12" hidden="1" x14ac:dyDescent="0.25">
      <c r="A117" s="1815"/>
      <c r="B117" s="1684"/>
      <c r="C117" s="1403" t="s">
        <v>370</v>
      </c>
      <c r="D117" s="144" t="s">
        <v>251</v>
      </c>
      <c r="E117" s="94"/>
      <c r="F117" s="80">
        <v>1930</v>
      </c>
      <c r="G117" s="80"/>
      <c r="H117" s="80"/>
      <c r="I117" s="80">
        <v>1203</v>
      </c>
      <c r="J117" s="96"/>
      <c r="K117" s="28"/>
      <c r="L117" s="21"/>
    </row>
    <row r="118" spans="1:12" hidden="1" x14ac:dyDescent="0.25">
      <c r="A118" s="1815"/>
      <c r="B118" s="1684"/>
      <c r="C118" s="1403"/>
      <c r="D118" s="28" t="s">
        <v>257</v>
      </c>
      <c r="E118" s="94"/>
      <c r="F118" s="80">
        <v>710</v>
      </c>
      <c r="G118" s="80"/>
      <c r="H118" s="80"/>
      <c r="I118" s="80">
        <v>381</v>
      </c>
      <c r="J118" s="96"/>
      <c r="K118" s="28"/>
      <c r="L118" s="21"/>
    </row>
    <row r="119" spans="1:12" hidden="1" x14ac:dyDescent="0.25">
      <c r="A119" s="1815"/>
      <c r="B119" s="1684"/>
      <c r="C119" s="1403"/>
      <c r="D119" s="28" t="s">
        <v>263</v>
      </c>
      <c r="E119" s="94"/>
      <c r="F119" s="80">
        <v>1215</v>
      </c>
      <c r="G119" s="80"/>
      <c r="H119" s="80"/>
      <c r="I119" s="80">
        <v>822</v>
      </c>
      <c r="J119" s="96"/>
      <c r="K119" s="28"/>
      <c r="L119" s="21"/>
    </row>
    <row r="120" spans="1:12" hidden="1" x14ac:dyDescent="0.25">
      <c r="A120" s="1815"/>
      <c r="B120" s="1684"/>
      <c r="C120" s="1403"/>
      <c r="D120" s="28" t="s">
        <v>357</v>
      </c>
      <c r="E120" s="94"/>
      <c r="F120" s="99">
        <f>(F119/F117)*100</f>
        <v>62.953367875647672</v>
      </c>
      <c r="G120" s="94"/>
      <c r="H120" s="94"/>
      <c r="I120" s="99">
        <f>I119/I117*100</f>
        <v>68.329177057356603</v>
      </c>
      <c r="J120" s="96"/>
      <c r="K120" s="28"/>
      <c r="L120" s="21"/>
    </row>
    <row r="121" spans="1:12" hidden="1" x14ac:dyDescent="0.25">
      <c r="A121" s="1815"/>
      <c r="B121" s="1684"/>
      <c r="C121" s="1403" t="s">
        <v>371</v>
      </c>
      <c r="D121" s="144" t="s">
        <v>251</v>
      </c>
      <c r="E121" s="94"/>
      <c r="F121" s="80">
        <v>30</v>
      </c>
      <c r="G121" s="80"/>
      <c r="H121" s="80"/>
      <c r="I121" s="80">
        <v>1476</v>
      </c>
      <c r="J121" s="96"/>
      <c r="K121" s="28"/>
      <c r="L121" s="21"/>
    </row>
    <row r="122" spans="1:12" hidden="1" x14ac:dyDescent="0.25">
      <c r="A122" s="1815"/>
      <c r="B122" s="1684"/>
      <c r="C122" s="1403"/>
      <c r="D122" s="28" t="s">
        <v>257</v>
      </c>
      <c r="E122" s="94"/>
      <c r="F122" s="80">
        <v>20</v>
      </c>
      <c r="G122" s="80"/>
      <c r="H122" s="80"/>
      <c r="I122" s="80">
        <v>687</v>
      </c>
      <c r="J122" s="96"/>
      <c r="K122" s="28"/>
      <c r="L122" s="21"/>
    </row>
    <row r="123" spans="1:12" hidden="1" x14ac:dyDescent="0.25">
      <c r="A123" s="1815"/>
      <c r="B123" s="1684"/>
      <c r="C123" s="1403"/>
      <c r="D123" s="28" t="s">
        <v>263</v>
      </c>
      <c r="E123" s="94"/>
      <c r="F123" s="80">
        <v>10</v>
      </c>
      <c r="G123" s="80"/>
      <c r="H123" s="80"/>
      <c r="I123" s="80">
        <v>792</v>
      </c>
      <c r="J123" s="96"/>
      <c r="K123" s="28"/>
      <c r="L123" s="21"/>
    </row>
    <row r="124" spans="1:12" hidden="1" x14ac:dyDescent="0.25">
      <c r="A124" s="1815"/>
      <c r="B124" s="1684"/>
      <c r="C124" s="1403"/>
      <c r="D124" s="28" t="s">
        <v>357</v>
      </c>
      <c r="E124" s="94"/>
      <c r="F124" s="97">
        <f>(F123/F121)*100</f>
        <v>33.333333333333329</v>
      </c>
      <c r="G124" s="94"/>
      <c r="H124" s="94"/>
      <c r="I124" s="98">
        <f>I123/I121*100</f>
        <v>53.658536585365859</v>
      </c>
      <c r="J124" s="96"/>
      <c r="K124" s="28"/>
      <c r="L124" s="21"/>
    </row>
    <row r="125" spans="1:12" hidden="1" x14ac:dyDescent="0.25">
      <c r="A125" s="1815"/>
      <c r="B125" s="1684"/>
      <c r="C125" s="1403" t="s">
        <v>372</v>
      </c>
      <c r="D125" s="144" t="s">
        <v>251</v>
      </c>
      <c r="E125" s="94"/>
      <c r="F125" s="80">
        <v>2745</v>
      </c>
      <c r="G125" s="80"/>
      <c r="H125" s="80"/>
      <c r="I125" s="80">
        <v>1422</v>
      </c>
      <c r="J125" s="96"/>
      <c r="K125" s="28"/>
      <c r="L125" s="21"/>
    </row>
    <row r="126" spans="1:12" ht="14.85" hidden="1" customHeight="1" x14ac:dyDescent="0.25">
      <c r="A126" s="1815"/>
      <c r="B126" s="1684"/>
      <c r="C126" s="1403"/>
      <c r="D126" s="28" t="s">
        <v>257</v>
      </c>
      <c r="E126" s="94"/>
      <c r="F126" s="80">
        <v>1970</v>
      </c>
      <c r="G126" s="80"/>
      <c r="H126" s="80"/>
      <c r="I126" s="80">
        <v>993</v>
      </c>
      <c r="J126" s="96"/>
      <c r="K126" s="28"/>
      <c r="L126" s="21"/>
    </row>
    <row r="127" spans="1:12" hidden="1" x14ac:dyDescent="0.25">
      <c r="A127" s="1815"/>
      <c r="B127" s="1684"/>
      <c r="C127" s="1403"/>
      <c r="D127" s="28" t="s">
        <v>263</v>
      </c>
      <c r="E127" s="94"/>
      <c r="F127" s="80">
        <v>780</v>
      </c>
      <c r="G127" s="80"/>
      <c r="H127" s="80"/>
      <c r="I127" s="80">
        <v>432</v>
      </c>
      <c r="J127" s="96"/>
      <c r="K127" s="28"/>
      <c r="L127" s="21"/>
    </row>
    <row r="128" spans="1:12" hidden="1" x14ac:dyDescent="0.25">
      <c r="A128" s="1815"/>
      <c r="B128" s="1684"/>
      <c r="C128" s="1403"/>
      <c r="D128" s="28" t="s">
        <v>357</v>
      </c>
      <c r="E128" s="94"/>
      <c r="F128" s="97">
        <f>(F127/F125)*100</f>
        <v>28.415300546448087</v>
      </c>
      <c r="G128" s="94"/>
      <c r="H128" s="94"/>
      <c r="I128" s="97">
        <f>I127/I125*100</f>
        <v>30.37974683544304</v>
      </c>
      <c r="J128" s="96"/>
      <c r="K128" s="28"/>
      <c r="L128" s="21"/>
    </row>
    <row r="129" spans="1:12" hidden="1" x14ac:dyDescent="0.25">
      <c r="A129" s="1815"/>
      <c r="B129" s="1684"/>
      <c r="C129" s="1403" t="s">
        <v>373</v>
      </c>
      <c r="D129" s="144" t="s">
        <v>251</v>
      </c>
      <c r="E129" s="94"/>
      <c r="F129" s="80">
        <v>500</v>
      </c>
      <c r="G129" s="80"/>
      <c r="H129" s="80"/>
      <c r="I129" s="80">
        <v>243</v>
      </c>
      <c r="J129" s="96"/>
      <c r="K129" s="28"/>
      <c r="L129" s="21"/>
    </row>
    <row r="130" spans="1:12" hidden="1" x14ac:dyDescent="0.25">
      <c r="A130" s="1815"/>
      <c r="B130" s="1684"/>
      <c r="C130" s="1403"/>
      <c r="D130" s="28" t="s">
        <v>257</v>
      </c>
      <c r="E130" s="94"/>
      <c r="F130" s="80">
        <v>450</v>
      </c>
      <c r="G130" s="80"/>
      <c r="H130" s="80"/>
      <c r="I130" s="80">
        <v>207</v>
      </c>
      <c r="J130" s="96"/>
      <c r="K130" s="28"/>
      <c r="L130" s="21"/>
    </row>
    <row r="131" spans="1:12" hidden="1" x14ac:dyDescent="0.25">
      <c r="A131" s="1815"/>
      <c r="B131" s="1684"/>
      <c r="C131" s="1403"/>
      <c r="D131" s="28" t="s">
        <v>263</v>
      </c>
      <c r="E131" s="94"/>
      <c r="F131" s="80">
        <v>50</v>
      </c>
      <c r="G131" s="80"/>
      <c r="H131" s="80"/>
      <c r="I131" s="80">
        <v>36</v>
      </c>
      <c r="J131" s="96"/>
      <c r="K131" s="28"/>
      <c r="L131" s="21"/>
    </row>
    <row r="132" spans="1:12" hidden="1" x14ac:dyDescent="0.25">
      <c r="A132" s="1815"/>
      <c r="B132" s="1684"/>
      <c r="C132" s="1403"/>
      <c r="D132" s="28" t="s">
        <v>357</v>
      </c>
      <c r="E132" s="94"/>
      <c r="F132" s="97">
        <f>(F131/F129)*100</f>
        <v>10</v>
      </c>
      <c r="G132" s="94"/>
      <c r="H132" s="94"/>
      <c r="I132" s="97">
        <f>I131/I129*100</f>
        <v>14.814814814814813</v>
      </c>
      <c r="J132" s="96"/>
      <c r="K132" s="28"/>
      <c r="L132" s="21"/>
    </row>
    <row r="133" spans="1:12" hidden="1" x14ac:dyDescent="0.25">
      <c r="A133" s="1815"/>
      <c r="B133" s="1684"/>
      <c r="C133" s="1403" t="s">
        <v>374</v>
      </c>
      <c r="D133" s="144" t="s">
        <v>251</v>
      </c>
      <c r="E133" s="94"/>
      <c r="F133" s="80">
        <v>540</v>
      </c>
      <c r="G133" s="80"/>
      <c r="H133" s="80"/>
      <c r="I133" s="80">
        <v>579</v>
      </c>
      <c r="J133" s="96"/>
      <c r="K133" s="28"/>
      <c r="L133" s="21"/>
    </row>
    <row r="134" spans="1:12" hidden="1" x14ac:dyDescent="0.25">
      <c r="A134" s="1815"/>
      <c r="B134" s="1684"/>
      <c r="C134" s="1403"/>
      <c r="D134" s="28" t="s">
        <v>257</v>
      </c>
      <c r="E134" s="94"/>
      <c r="F134" s="80">
        <v>240</v>
      </c>
      <c r="G134" s="80"/>
      <c r="H134" s="80"/>
      <c r="I134" s="80">
        <v>192</v>
      </c>
      <c r="J134" s="96"/>
      <c r="K134" s="28"/>
      <c r="L134" s="21"/>
    </row>
    <row r="135" spans="1:12" hidden="1" x14ac:dyDescent="0.25">
      <c r="A135" s="1815"/>
      <c r="B135" s="1684"/>
      <c r="C135" s="1403"/>
      <c r="D135" s="28" t="s">
        <v>263</v>
      </c>
      <c r="E135" s="94"/>
      <c r="F135" s="80">
        <v>300</v>
      </c>
      <c r="G135" s="80"/>
      <c r="H135" s="80"/>
      <c r="I135" s="80">
        <v>387</v>
      </c>
      <c r="J135" s="96"/>
      <c r="K135" s="28"/>
      <c r="L135" s="21"/>
    </row>
    <row r="136" spans="1:12" hidden="1" x14ac:dyDescent="0.25">
      <c r="A136" s="1815"/>
      <c r="B136" s="1684"/>
      <c r="C136" s="1403"/>
      <c r="D136" s="28" t="s">
        <v>357</v>
      </c>
      <c r="E136" s="94"/>
      <c r="F136" s="98">
        <f>(F135/F133)*100</f>
        <v>55.555555555555557</v>
      </c>
      <c r="G136" s="94"/>
      <c r="H136" s="94"/>
      <c r="I136" s="99">
        <f>I135/I133*100</f>
        <v>66.839378238341979</v>
      </c>
      <c r="J136" s="96"/>
      <c r="K136" s="28"/>
      <c r="L136" s="21"/>
    </row>
    <row r="137" spans="1:12" hidden="1" x14ac:dyDescent="0.25">
      <c r="A137" s="1815"/>
      <c r="B137" s="1684"/>
      <c r="C137" s="1403" t="s">
        <v>375</v>
      </c>
      <c r="D137" s="144" t="s">
        <v>251</v>
      </c>
      <c r="E137" s="94"/>
      <c r="F137" s="80">
        <v>205</v>
      </c>
      <c r="G137" s="80"/>
      <c r="H137" s="80"/>
      <c r="I137" s="80">
        <v>234</v>
      </c>
      <c r="J137" s="96"/>
      <c r="K137" s="28"/>
      <c r="L137" s="21"/>
    </row>
    <row r="138" spans="1:12" ht="14.85" hidden="1" customHeight="1" x14ac:dyDescent="0.25">
      <c r="A138" s="1815"/>
      <c r="B138" s="1684"/>
      <c r="C138" s="1403"/>
      <c r="D138" s="28" t="s">
        <v>257</v>
      </c>
      <c r="E138" s="94"/>
      <c r="F138" s="80">
        <v>145</v>
      </c>
      <c r="G138" s="80"/>
      <c r="H138" s="80"/>
      <c r="I138" s="80">
        <v>99</v>
      </c>
      <c r="J138" s="96"/>
      <c r="K138" s="28"/>
      <c r="L138" s="21"/>
    </row>
    <row r="139" spans="1:12" hidden="1" x14ac:dyDescent="0.25">
      <c r="A139" s="1815"/>
      <c r="B139" s="1684"/>
      <c r="C139" s="1403"/>
      <c r="D139" s="28" t="s">
        <v>263</v>
      </c>
      <c r="E139" s="94"/>
      <c r="F139" s="80">
        <v>55</v>
      </c>
      <c r="G139" s="80"/>
      <c r="H139" s="80"/>
      <c r="I139" s="80">
        <v>135</v>
      </c>
      <c r="J139" s="96"/>
      <c r="K139" s="28"/>
      <c r="L139" s="21"/>
    </row>
    <row r="140" spans="1:12" hidden="1" x14ac:dyDescent="0.25">
      <c r="A140" s="1815"/>
      <c r="B140" s="1684"/>
      <c r="C140" s="1403"/>
      <c r="D140" s="28" t="s">
        <v>357</v>
      </c>
      <c r="E140" s="94"/>
      <c r="F140" s="97">
        <f>(F139/F137)*100</f>
        <v>26.829268292682929</v>
      </c>
      <c r="G140" s="94"/>
      <c r="H140" s="94"/>
      <c r="I140" s="98">
        <f>I139/I137*100</f>
        <v>57.692307692307686</v>
      </c>
      <c r="J140" s="96"/>
      <c r="K140" s="28"/>
      <c r="L140" s="21"/>
    </row>
    <row r="141" spans="1:12" hidden="1" x14ac:dyDescent="0.25">
      <c r="A141" s="1815"/>
      <c r="B141" s="1684"/>
      <c r="C141" s="1403" t="s">
        <v>376</v>
      </c>
      <c r="D141" s="144" t="s">
        <v>251</v>
      </c>
      <c r="E141" s="94"/>
      <c r="F141" s="80">
        <v>2440</v>
      </c>
      <c r="G141" s="80"/>
      <c r="H141" s="80"/>
      <c r="I141" s="80">
        <v>2778</v>
      </c>
      <c r="J141" s="96"/>
      <c r="K141" s="28"/>
      <c r="L141" s="21"/>
    </row>
    <row r="142" spans="1:12" ht="14.85" hidden="1" customHeight="1" x14ac:dyDescent="0.25">
      <c r="A142" s="1815"/>
      <c r="B142" s="1684"/>
      <c r="C142" s="1403"/>
      <c r="D142" s="28" t="s">
        <v>257</v>
      </c>
      <c r="E142" s="94"/>
      <c r="F142" s="80">
        <v>1570</v>
      </c>
      <c r="G142" s="80"/>
      <c r="H142" s="80"/>
      <c r="I142" s="80">
        <v>1575</v>
      </c>
      <c r="J142" s="96"/>
      <c r="K142" s="28"/>
      <c r="L142" s="21"/>
    </row>
    <row r="143" spans="1:12" hidden="1" x14ac:dyDescent="0.25">
      <c r="A143" s="1815"/>
      <c r="B143" s="1684"/>
      <c r="C143" s="1403"/>
      <c r="D143" s="28" t="s">
        <v>263</v>
      </c>
      <c r="E143" s="94"/>
      <c r="F143" s="80">
        <v>870</v>
      </c>
      <c r="G143" s="80"/>
      <c r="H143" s="80"/>
      <c r="I143" s="80">
        <v>1203</v>
      </c>
      <c r="J143" s="96"/>
      <c r="K143" s="28"/>
      <c r="L143" s="21"/>
    </row>
    <row r="144" spans="1:12" hidden="1" x14ac:dyDescent="0.25">
      <c r="A144" s="1815"/>
      <c r="B144" s="1684"/>
      <c r="C144" s="1403"/>
      <c r="D144" s="28" t="s">
        <v>357</v>
      </c>
      <c r="E144" s="94"/>
      <c r="F144" s="97">
        <f>(F143/F141)*100</f>
        <v>35.655737704918032</v>
      </c>
      <c r="G144" s="94"/>
      <c r="H144" s="94"/>
      <c r="I144" s="98">
        <f>I143/I141*100</f>
        <v>43.30453563714903</v>
      </c>
      <c r="J144" s="96"/>
      <c r="K144" s="28"/>
      <c r="L144" s="21"/>
    </row>
    <row r="145" spans="1:12" hidden="1" x14ac:dyDescent="0.25">
      <c r="A145" s="1815"/>
      <c r="B145" s="1684"/>
      <c r="C145" s="1403" t="s">
        <v>377</v>
      </c>
      <c r="D145" s="144" t="s">
        <v>251</v>
      </c>
      <c r="E145" s="94"/>
      <c r="F145" s="80">
        <v>3235</v>
      </c>
      <c r="G145" s="80"/>
      <c r="H145" s="80"/>
      <c r="I145" s="80">
        <v>2289</v>
      </c>
      <c r="J145" s="96"/>
      <c r="K145" s="28"/>
      <c r="L145" s="21"/>
    </row>
    <row r="146" spans="1:12" hidden="1" x14ac:dyDescent="0.25">
      <c r="A146" s="1815"/>
      <c r="B146" s="1684"/>
      <c r="C146" s="1403"/>
      <c r="D146" s="28" t="s">
        <v>257</v>
      </c>
      <c r="E146" s="94"/>
      <c r="F146" s="80">
        <v>650</v>
      </c>
      <c r="G146" s="80"/>
      <c r="H146" s="80"/>
      <c r="I146" s="80">
        <v>660</v>
      </c>
      <c r="J146" s="96"/>
      <c r="K146" s="28"/>
      <c r="L146" s="21"/>
    </row>
    <row r="147" spans="1:12" hidden="1" x14ac:dyDescent="0.25">
      <c r="A147" s="1815"/>
      <c r="B147" s="1684"/>
      <c r="C147" s="1403"/>
      <c r="D147" s="28" t="s">
        <v>263</v>
      </c>
      <c r="E147" s="94"/>
      <c r="F147" s="80">
        <v>2585</v>
      </c>
      <c r="G147" s="80"/>
      <c r="H147" s="80"/>
      <c r="I147" s="80">
        <v>1629</v>
      </c>
      <c r="J147" s="96"/>
      <c r="K147" s="28"/>
      <c r="L147" s="21"/>
    </row>
    <row r="148" spans="1:12" hidden="1" x14ac:dyDescent="0.25">
      <c r="A148" s="1815"/>
      <c r="B148" s="1684"/>
      <c r="C148" s="1403"/>
      <c r="D148" s="28" t="s">
        <v>357</v>
      </c>
      <c r="E148" s="94"/>
      <c r="F148" s="99">
        <f>(F147/F145)*100</f>
        <v>79.907264296754249</v>
      </c>
      <c r="G148" s="94"/>
      <c r="H148" s="94"/>
      <c r="I148" s="99">
        <f>I147/I145*100</f>
        <v>71.166448230668408</v>
      </c>
      <c r="J148" s="96"/>
      <c r="K148" s="28"/>
      <c r="L148" s="21"/>
    </row>
    <row r="149" spans="1:12" hidden="1" x14ac:dyDescent="0.25">
      <c r="A149" s="1815"/>
      <c r="B149" s="1684"/>
      <c r="C149" s="1403" t="s">
        <v>378</v>
      </c>
      <c r="D149" s="144" t="s">
        <v>251</v>
      </c>
      <c r="E149" s="94"/>
      <c r="F149" s="80">
        <v>1310</v>
      </c>
      <c r="G149" s="80"/>
      <c r="H149" s="80"/>
      <c r="I149" s="80">
        <v>1320</v>
      </c>
      <c r="J149" s="96"/>
      <c r="K149" s="28"/>
      <c r="L149" s="21"/>
    </row>
    <row r="150" spans="1:12" hidden="1" x14ac:dyDescent="0.25">
      <c r="A150" s="1815"/>
      <c r="B150" s="1684"/>
      <c r="C150" s="1403"/>
      <c r="D150" s="28" t="s">
        <v>257</v>
      </c>
      <c r="E150" s="94"/>
      <c r="F150" s="80">
        <v>720</v>
      </c>
      <c r="G150" s="80"/>
      <c r="H150" s="80"/>
      <c r="I150" s="80">
        <v>705</v>
      </c>
      <c r="J150" s="96"/>
      <c r="K150" s="28"/>
      <c r="L150" s="21"/>
    </row>
    <row r="151" spans="1:12" hidden="1" x14ac:dyDescent="0.25">
      <c r="A151" s="1815"/>
      <c r="B151" s="1684"/>
      <c r="C151" s="1403"/>
      <c r="D151" s="28" t="s">
        <v>263</v>
      </c>
      <c r="E151" s="94"/>
      <c r="F151" s="80">
        <v>590</v>
      </c>
      <c r="G151" s="80"/>
      <c r="H151" s="80"/>
      <c r="I151" s="80">
        <v>618</v>
      </c>
      <c r="J151" s="96"/>
      <c r="K151" s="28"/>
      <c r="L151" s="21"/>
    </row>
    <row r="152" spans="1:12" hidden="1" x14ac:dyDescent="0.25">
      <c r="A152" s="1815"/>
      <c r="B152" s="1684"/>
      <c r="C152" s="1403"/>
      <c r="D152" s="28" t="s">
        <v>357</v>
      </c>
      <c r="E152" s="94"/>
      <c r="F152" s="98">
        <f>(F151/F149)*100</f>
        <v>45.038167938931295</v>
      </c>
      <c r="G152" s="94"/>
      <c r="H152" s="94"/>
      <c r="I152" s="98">
        <f>I151/I149*100</f>
        <v>46.81818181818182</v>
      </c>
      <c r="J152" s="96"/>
      <c r="K152" s="28"/>
      <c r="L152" s="21"/>
    </row>
    <row r="153" spans="1:12" hidden="1" x14ac:dyDescent="0.25">
      <c r="A153" s="1815"/>
      <c r="B153" s="1684"/>
      <c r="C153" s="1403" t="s">
        <v>379</v>
      </c>
      <c r="D153" s="144" t="s">
        <v>251</v>
      </c>
      <c r="E153" s="94"/>
      <c r="F153" s="80">
        <v>3315</v>
      </c>
      <c r="G153" s="80"/>
      <c r="H153" s="80"/>
      <c r="I153" s="80">
        <v>2256</v>
      </c>
      <c r="J153" s="96"/>
      <c r="K153" s="28"/>
      <c r="L153" s="21"/>
    </row>
    <row r="154" spans="1:12" hidden="1" x14ac:dyDescent="0.25">
      <c r="A154" s="1815"/>
      <c r="B154" s="1684"/>
      <c r="C154" s="1403"/>
      <c r="D154" s="28" t="s">
        <v>257</v>
      </c>
      <c r="E154" s="94"/>
      <c r="F154" s="80">
        <v>2450</v>
      </c>
      <c r="G154" s="80"/>
      <c r="H154" s="80"/>
      <c r="I154" s="80">
        <v>1653</v>
      </c>
      <c r="J154" s="96"/>
      <c r="K154" s="28"/>
      <c r="L154" s="21"/>
    </row>
    <row r="155" spans="1:12" hidden="1" x14ac:dyDescent="0.25">
      <c r="A155" s="1815"/>
      <c r="B155" s="1684"/>
      <c r="C155" s="1403"/>
      <c r="D155" s="28" t="s">
        <v>263</v>
      </c>
      <c r="E155" s="94"/>
      <c r="F155" s="80">
        <v>865</v>
      </c>
      <c r="G155" s="80"/>
      <c r="H155" s="80"/>
      <c r="I155" s="80">
        <v>606</v>
      </c>
      <c r="J155" s="96"/>
      <c r="K155" s="28"/>
      <c r="L155" s="21"/>
    </row>
    <row r="156" spans="1:12" hidden="1" x14ac:dyDescent="0.25">
      <c r="A156" s="1815"/>
      <c r="B156" s="1684"/>
      <c r="C156" s="1403"/>
      <c r="D156" s="28" t="s">
        <v>357</v>
      </c>
      <c r="E156" s="94"/>
      <c r="F156" s="97">
        <f>(F155/F153)*100</f>
        <v>26.09351432880845</v>
      </c>
      <c r="G156" s="94"/>
      <c r="H156" s="94"/>
      <c r="I156" s="97">
        <f>I155/I153*100</f>
        <v>26.861702127659576</v>
      </c>
      <c r="J156" s="96"/>
      <c r="K156" s="28"/>
      <c r="L156" s="21"/>
    </row>
    <row r="157" spans="1:12" ht="14.85" hidden="1" customHeight="1" x14ac:dyDescent="0.25">
      <c r="A157" s="1815"/>
      <c r="B157" s="1684"/>
      <c r="C157" s="1403" t="s">
        <v>380</v>
      </c>
      <c r="D157" s="144" t="s">
        <v>251</v>
      </c>
      <c r="E157" s="94"/>
      <c r="F157" s="80">
        <v>4235</v>
      </c>
      <c r="G157" s="80"/>
      <c r="H157" s="80"/>
      <c r="I157" s="80">
        <v>2376</v>
      </c>
      <c r="J157" s="96"/>
      <c r="K157" s="28"/>
      <c r="L157" s="21"/>
    </row>
    <row r="158" spans="1:12" hidden="1" x14ac:dyDescent="0.25">
      <c r="A158" s="1815"/>
      <c r="B158" s="1684"/>
      <c r="C158" s="1403"/>
      <c r="D158" s="28" t="s">
        <v>257</v>
      </c>
      <c r="E158" s="94"/>
      <c r="F158" s="80">
        <v>1610</v>
      </c>
      <c r="G158" s="80"/>
      <c r="H158" s="80"/>
      <c r="I158" s="80">
        <v>1185</v>
      </c>
      <c r="J158" s="96"/>
      <c r="K158" s="28"/>
      <c r="L158" s="21"/>
    </row>
    <row r="159" spans="1:12" hidden="1" x14ac:dyDescent="0.25">
      <c r="A159" s="1815"/>
      <c r="B159" s="1684"/>
      <c r="C159" s="1403"/>
      <c r="D159" s="28" t="s">
        <v>263</v>
      </c>
      <c r="E159" s="94"/>
      <c r="F159" s="80">
        <v>2625</v>
      </c>
      <c r="G159" s="80"/>
      <c r="H159" s="80"/>
      <c r="I159" s="80">
        <v>1194</v>
      </c>
      <c r="J159" s="96"/>
      <c r="K159" s="28"/>
      <c r="L159" s="21"/>
    </row>
    <row r="160" spans="1:12" hidden="1" x14ac:dyDescent="0.25">
      <c r="A160" s="1815"/>
      <c r="B160" s="1684"/>
      <c r="C160" s="1403"/>
      <c r="D160" s="28" t="s">
        <v>357</v>
      </c>
      <c r="E160" s="94"/>
      <c r="F160" s="99">
        <f>(F159/F157)*100</f>
        <v>61.983471074380169</v>
      </c>
      <c r="G160" s="94"/>
      <c r="H160" s="94"/>
      <c r="I160" s="98">
        <f>I159/I157*100</f>
        <v>50.252525252525245</v>
      </c>
      <c r="J160" s="96"/>
      <c r="K160" s="28"/>
      <c r="L160" s="21"/>
    </row>
    <row r="161" spans="1:12" hidden="1" x14ac:dyDescent="0.25">
      <c r="A161" s="1815"/>
      <c r="B161" s="1684"/>
      <c r="C161" s="1403" t="s">
        <v>381</v>
      </c>
      <c r="D161" s="144" t="s">
        <v>251</v>
      </c>
      <c r="E161" s="94"/>
      <c r="F161" s="80">
        <v>370</v>
      </c>
      <c r="G161" s="80"/>
      <c r="H161" s="80"/>
      <c r="I161" s="80">
        <v>576</v>
      </c>
      <c r="J161" s="28"/>
      <c r="K161" s="28"/>
      <c r="L161" s="21"/>
    </row>
    <row r="162" spans="1:12" ht="14.85" hidden="1" customHeight="1" x14ac:dyDescent="0.25">
      <c r="A162" s="1815"/>
      <c r="B162" s="1684"/>
      <c r="C162" s="1403"/>
      <c r="D162" s="28" t="s">
        <v>257</v>
      </c>
      <c r="E162" s="94"/>
      <c r="F162" s="80">
        <v>260</v>
      </c>
      <c r="G162" s="80"/>
      <c r="H162" s="80"/>
      <c r="I162" s="80">
        <v>321</v>
      </c>
      <c r="J162" s="28"/>
      <c r="K162" s="28"/>
      <c r="L162" s="21"/>
    </row>
    <row r="163" spans="1:12" hidden="1" x14ac:dyDescent="0.25">
      <c r="A163" s="1815"/>
      <c r="B163" s="1684"/>
      <c r="C163" s="1403"/>
      <c r="D163" s="28" t="s">
        <v>263</v>
      </c>
      <c r="E163" s="94"/>
      <c r="F163" s="80">
        <v>110</v>
      </c>
      <c r="G163" s="80"/>
      <c r="H163" s="80"/>
      <c r="I163" s="80">
        <v>255</v>
      </c>
      <c r="J163" s="28"/>
      <c r="K163" s="28"/>
      <c r="L163" s="21"/>
    </row>
    <row r="164" spans="1:12" hidden="1" x14ac:dyDescent="0.25">
      <c r="A164" s="1815"/>
      <c r="B164" s="1684"/>
      <c r="C164" s="1403"/>
      <c r="D164" s="28" t="s">
        <v>357</v>
      </c>
      <c r="E164" s="94"/>
      <c r="F164" s="97">
        <f>(F163/F161)*100</f>
        <v>29.72972972972973</v>
      </c>
      <c r="G164" s="94"/>
      <c r="H164" s="94"/>
      <c r="I164" s="98">
        <f>I163/I161*100</f>
        <v>44.270833333333329</v>
      </c>
      <c r="J164" s="28"/>
      <c r="K164" s="28"/>
      <c r="L164" s="21"/>
    </row>
    <row r="165" spans="1:12" hidden="1" x14ac:dyDescent="0.25">
      <c r="A165" s="1815"/>
      <c r="B165" s="1684"/>
      <c r="C165" s="1437" t="s">
        <v>382</v>
      </c>
      <c r="D165" s="145" t="s">
        <v>251</v>
      </c>
      <c r="E165" s="95"/>
      <c r="F165" s="80">
        <v>5070</v>
      </c>
      <c r="G165" s="80"/>
      <c r="H165" s="80"/>
      <c r="I165" s="80">
        <v>3984</v>
      </c>
      <c r="J165" s="96"/>
      <c r="K165" s="96"/>
      <c r="L165" s="200"/>
    </row>
    <row r="166" spans="1:12" hidden="1" x14ac:dyDescent="0.25">
      <c r="A166" s="1815"/>
      <c r="B166" s="1684"/>
      <c r="C166" s="1437"/>
      <c r="D166" s="96" t="s">
        <v>257</v>
      </c>
      <c r="E166" s="95"/>
      <c r="F166" s="80">
        <v>1730</v>
      </c>
      <c r="G166" s="80"/>
      <c r="H166" s="80"/>
      <c r="I166" s="80">
        <v>1305</v>
      </c>
      <c r="J166" s="96"/>
      <c r="K166" s="96"/>
      <c r="L166" s="200"/>
    </row>
    <row r="167" spans="1:12" hidden="1" x14ac:dyDescent="0.25">
      <c r="A167" s="1815"/>
      <c r="B167" s="1684"/>
      <c r="C167" s="1437"/>
      <c r="D167" s="96" t="s">
        <v>263</v>
      </c>
      <c r="E167" s="95"/>
      <c r="F167" s="80">
        <v>3340</v>
      </c>
      <c r="G167" s="80"/>
      <c r="H167" s="80"/>
      <c r="I167" s="80">
        <v>2682</v>
      </c>
      <c r="J167" s="96"/>
      <c r="K167" s="96"/>
      <c r="L167" s="200"/>
    </row>
    <row r="168" spans="1:12" hidden="1" x14ac:dyDescent="0.25">
      <c r="A168" s="1815"/>
      <c r="B168" s="1684"/>
      <c r="C168" s="1437"/>
      <c r="D168" s="96" t="s">
        <v>357</v>
      </c>
      <c r="E168" s="95"/>
      <c r="F168" s="99">
        <f>(F167/F165)*100</f>
        <v>65.87771203155819</v>
      </c>
      <c r="G168" s="94"/>
      <c r="H168" s="94"/>
      <c r="I168" s="99">
        <f>I167/I165*100</f>
        <v>67.319277108433738</v>
      </c>
      <c r="J168" s="96"/>
      <c r="K168" s="96"/>
      <c r="L168" s="200"/>
    </row>
    <row r="169" spans="1:12" ht="14.85" hidden="1" customHeight="1" x14ac:dyDescent="0.25">
      <c r="A169" s="1815"/>
      <c r="B169" s="1684"/>
      <c r="C169" s="1437" t="s">
        <v>383</v>
      </c>
      <c r="D169" s="145" t="s">
        <v>251</v>
      </c>
      <c r="E169" s="95"/>
      <c r="F169" s="80">
        <v>2820</v>
      </c>
      <c r="G169" s="80"/>
      <c r="H169" s="80"/>
      <c r="I169" s="80">
        <v>2682</v>
      </c>
      <c r="J169" s="96"/>
      <c r="K169" s="96"/>
      <c r="L169" s="200"/>
    </row>
    <row r="170" spans="1:12" hidden="1" x14ac:dyDescent="0.25">
      <c r="A170" s="1815"/>
      <c r="B170" s="1684"/>
      <c r="C170" s="1437"/>
      <c r="D170" s="96" t="s">
        <v>257</v>
      </c>
      <c r="E170" s="95"/>
      <c r="F170" s="80">
        <v>910</v>
      </c>
      <c r="G170" s="80"/>
      <c r="H170" s="80"/>
      <c r="I170" s="80">
        <v>855</v>
      </c>
      <c r="J170" s="96"/>
      <c r="K170" s="96"/>
      <c r="L170" s="200"/>
    </row>
    <row r="171" spans="1:12" hidden="1" x14ac:dyDescent="0.25">
      <c r="A171" s="1815"/>
      <c r="B171" s="1684"/>
      <c r="C171" s="1437"/>
      <c r="D171" s="96" t="s">
        <v>263</v>
      </c>
      <c r="E171" s="95"/>
      <c r="F171" s="80">
        <v>1910</v>
      </c>
      <c r="G171" s="80"/>
      <c r="H171" s="80"/>
      <c r="I171" s="80">
        <v>1827</v>
      </c>
      <c r="J171" s="96"/>
      <c r="K171" s="96"/>
      <c r="L171" s="200"/>
    </row>
    <row r="172" spans="1:12" hidden="1" x14ac:dyDescent="0.25">
      <c r="A172" s="1815"/>
      <c r="B172" s="1684"/>
      <c r="C172" s="1437"/>
      <c r="D172" s="96" t="s">
        <v>357</v>
      </c>
      <c r="E172" s="95"/>
      <c r="F172" s="99">
        <f>(F171/F169)*100</f>
        <v>67.730496453900713</v>
      </c>
      <c r="G172" s="94"/>
      <c r="H172" s="94"/>
      <c r="I172" s="99">
        <f>I171/I169*100</f>
        <v>68.12080536912751</v>
      </c>
      <c r="J172" s="96"/>
      <c r="K172" s="96"/>
      <c r="L172" s="200"/>
    </row>
    <row r="173" spans="1:12" hidden="1" x14ac:dyDescent="0.25">
      <c r="A173" s="1815"/>
      <c r="B173" s="1684"/>
      <c r="C173" s="1437" t="s">
        <v>384</v>
      </c>
      <c r="D173" s="145" t="s">
        <v>251</v>
      </c>
      <c r="E173" s="95"/>
      <c r="F173" s="80">
        <v>4055</v>
      </c>
      <c r="G173" s="80"/>
      <c r="H173" s="80"/>
      <c r="I173" s="80">
        <v>2310</v>
      </c>
      <c r="J173" s="96"/>
      <c r="K173" s="96"/>
      <c r="L173" s="200"/>
    </row>
    <row r="174" spans="1:12" hidden="1" x14ac:dyDescent="0.25">
      <c r="A174" s="1815"/>
      <c r="B174" s="1684"/>
      <c r="C174" s="1437"/>
      <c r="D174" s="96" t="s">
        <v>257</v>
      </c>
      <c r="E174" s="95"/>
      <c r="F174" s="80">
        <v>1230</v>
      </c>
      <c r="G174" s="80"/>
      <c r="H174" s="80"/>
      <c r="I174" s="80">
        <v>690</v>
      </c>
      <c r="J174" s="96"/>
      <c r="K174" s="96"/>
      <c r="L174" s="200"/>
    </row>
    <row r="175" spans="1:12" hidden="1" x14ac:dyDescent="0.25">
      <c r="A175" s="1815"/>
      <c r="B175" s="1684"/>
      <c r="C175" s="1437"/>
      <c r="D175" s="96" t="s">
        <v>263</v>
      </c>
      <c r="E175" s="95"/>
      <c r="F175" s="80">
        <v>2830</v>
      </c>
      <c r="G175" s="80"/>
      <c r="H175" s="80"/>
      <c r="I175" s="80">
        <v>1620</v>
      </c>
      <c r="J175" s="96"/>
      <c r="K175" s="96"/>
      <c r="L175" s="200"/>
    </row>
    <row r="176" spans="1:12" hidden="1" x14ac:dyDescent="0.25">
      <c r="A176" s="1815"/>
      <c r="B176" s="1684"/>
      <c r="C176" s="1437"/>
      <c r="D176" s="96" t="s">
        <v>357</v>
      </c>
      <c r="E176" s="95"/>
      <c r="F176" s="99">
        <f>(F175/F173)*100</f>
        <v>69.790382244143032</v>
      </c>
      <c r="G176" s="94"/>
      <c r="H176" s="94"/>
      <c r="I176" s="99">
        <f>I175/I173*100</f>
        <v>70.129870129870127</v>
      </c>
      <c r="J176" s="96"/>
      <c r="K176" s="96"/>
      <c r="L176" s="200"/>
    </row>
    <row r="177" spans="1:12" hidden="1" x14ac:dyDescent="0.25">
      <c r="A177" s="1815"/>
      <c r="B177" s="1684"/>
      <c r="C177" s="1437" t="s">
        <v>385</v>
      </c>
      <c r="D177" s="145" t="s">
        <v>251</v>
      </c>
      <c r="E177" s="95"/>
      <c r="F177" s="80">
        <v>510</v>
      </c>
      <c r="G177" s="80"/>
      <c r="H177" s="80"/>
      <c r="I177" s="80">
        <v>792</v>
      </c>
      <c r="J177" s="96"/>
      <c r="K177" s="96"/>
      <c r="L177" s="200"/>
    </row>
    <row r="178" spans="1:12" ht="14.85" hidden="1" customHeight="1" x14ac:dyDescent="0.25">
      <c r="A178" s="1815"/>
      <c r="B178" s="1684"/>
      <c r="C178" s="1437"/>
      <c r="D178" s="96" t="s">
        <v>257</v>
      </c>
      <c r="E178" s="95"/>
      <c r="F178" s="80">
        <v>340</v>
      </c>
      <c r="G178" s="80"/>
      <c r="H178" s="80"/>
      <c r="I178" s="80">
        <v>474</v>
      </c>
      <c r="J178" s="96"/>
      <c r="K178" s="96"/>
      <c r="L178" s="200"/>
    </row>
    <row r="179" spans="1:12" hidden="1" x14ac:dyDescent="0.25">
      <c r="A179" s="1815"/>
      <c r="B179" s="1684"/>
      <c r="C179" s="1437"/>
      <c r="D179" s="96" t="s">
        <v>263</v>
      </c>
      <c r="E179" s="95"/>
      <c r="F179" s="80">
        <v>175</v>
      </c>
      <c r="G179" s="80"/>
      <c r="H179" s="80"/>
      <c r="I179" s="80">
        <v>321</v>
      </c>
      <c r="J179" s="96"/>
      <c r="K179" s="96"/>
      <c r="L179" s="200"/>
    </row>
    <row r="180" spans="1:12" hidden="1" x14ac:dyDescent="0.25">
      <c r="A180" s="1815"/>
      <c r="B180" s="1684"/>
      <c r="C180" s="1437"/>
      <c r="D180" s="96" t="s">
        <v>357</v>
      </c>
      <c r="E180" s="95"/>
      <c r="F180" s="97">
        <f>(F179/F177)*100</f>
        <v>34.313725490196077</v>
      </c>
      <c r="G180" s="94"/>
      <c r="H180" s="94"/>
      <c r="I180" s="98">
        <f>I179/I177*100</f>
        <v>40.530303030303031</v>
      </c>
      <c r="J180" s="96"/>
      <c r="K180" s="96"/>
      <c r="L180" s="200"/>
    </row>
    <row r="181" spans="1:12" hidden="1" x14ac:dyDescent="0.25">
      <c r="A181" s="1815"/>
      <c r="B181" s="1684"/>
      <c r="C181" s="1437" t="s">
        <v>386</v>
      </c>
      <c r="D181" s="145" t="s">
        <v>251</v>
      </c>
      <c r="E181" s="95"/>
      <c r="F181" s="80">
        <v>2870</v>
      </c>
      <c r="G181" s="80"/>
      <c r="H181" s="80"/>
      <c r="I181" s="80">
        <v>4056</v>
      </c>
      <c r="J181" s="96"/>
      <c r="K181" s="96"/>
      <c r="L181" s="200"/>
    </row>
    <row r="182" spans="1:12" hidden="1" x14ac:dyDescent="0.25">
      <c r="A182" s="1815"/>
      <c r="B182" s="1684"/>
      <c r="C182" s="1437"/>
      <c r="D182" s="96" t="s">
        <v>257</v>
      </c>
      <c r="E182" s="95"/>
      <c r="F182" s="80">
        <v>1650</v>
      </c>
      <c r="G182" s="80"/>
      <c r="H182" s="80"/>
      <c r="I182" s="80">
        <v>2148</v>
      </c>
      <c r="J182" s="96"/>
      <c r="K182" s="96"/>
      <c r="L182" s="200"/>
    </row>
    <row r="183" spans="1:12" hidden="1" x14ac:dyDescent="0.25">
      <c r="A183" s="1815"/>
      <c r="B183" s="1684"/>
      <c r="C183" s="1437"/>
      <c r="D183" s="96" t="s">
        <v>263</v>
      </c>
      <c r="E183" s="95"/>
      <c r="F183" s="80">
        <v>1220</v>
      </c>
      <c r="G183" s="80"/>
      <c r="H183" s="80"/>
      <c r="I183" s="80">
        <v>1908</v>
      </c>
      <c r="J183" s="96"/>
      <c r="K183" s="96"/>
      <c r="L183" s="200"/>
    </row>
    <row r="184" spans="1:12" hidden="1" x14ac:dyDescent="0.25">
      <c r="A184" s="1815"/>
      <c r="B184" s="1684"/>
      <c r="C184" s="1437"/>
      <c r="D184" s="96" t="s">
        <v>357</v>
      </c>
      <c r="E184" s="95"/>
      <c r="F184" s="98">
        <f>(F183/F181)*100</f>
        <v>42.508710801393725</v>
      </c>
      <c r="G184" s="94"/>
      <c r="H184" s="94"/>
      <c r="I184" s="98">
        <f>I183/I181*100</f>
        <v>47.041420118343197</v>
      </c>
      <c r="J184" s="96"/>
      <c r="K184" s="96"/>
      <c r="L184" s="200"/>
    </row>
    <row r="185" spans="1:12" hidden="1" x14ac:dyDescent="0.25">
      <c r="A185" s="1815"/>
      <c r="B185" s="1684"/>
      <c r="C185" s="1437" t="s">
        <v>387</v>
      </c>
      <c r="D185" s="145" t="s">
        <v>251</v>
      </c>
      <c r="E185" s="95"/>
      <c r="F185" s="80">
        <v>4620</v>
      </c>
      <c r="G185" s="80"/>
      <c r="H185" s="80"/>
      <c r="I185" s="80">
        <v>3849</v>
      </c>
      <c r="J185" s="96"/>
      <c r="K185" s="96"/>
      <c r="L185" s="200"/>
    </row>
    <row r="186" spans="1:12" hidden="1" x14ac:dyDescent="0.25">
      <c r="A186" s="1815"/>
      <c r="B186" s="1684"/>
      <c r="C186" s="1437"/>
      <c r="D186" s="96" t="s">
        <v>257</v>
      </c>
      <c r="E186" s="95"/>
      <c r="F186" s="80">
        <v>2095</v>
      </c>
      <c r="G186" s="80"/>
      <c r="H186" s="80"/>
      <c r="I186" s="80">
        <v>1665</v>
      </c>
      <c r="J186" s="96"/>
      <c r="K186" s="96"/>
      <c r="L186" s="200"/>
    </row>
    <row r="187" spans="1:12" hidden="1" x14ac:dyDescent="0.25">
      <c r="A187" s="1815"/>
      <c r="B187" s="1684"/>
      <c r="C187" s="1437"/>
      <c r="D187" s="96" t="s">
        <v>263</v>
      </c>
      <c r="E187" s="95"/>
      <c r="F187" s="80">
        <v>2525</v>
      </c>
      <c r="G187" s="80"/>
      <c r="H187" s="80"/>
      <c r="I187" s="80">
        <v>2184</v>
      </c>
      <c r="J187" s="96"/>
      <c r="K187" s="96"/>
      <c r="L187" s="200"/>
    </row>
    <row r="188" spans="1:12" hidden="1" x14ac:dyDescent="0.25">
      <c r="A188" s="1815"/>
      <c r="B188" s="1684"/>
      <c r="C188" s="1437"/>
      <c r="D188" s="96" t="s">
        <v>357</v>
      </c>
      <c r="E188" s="95"/>
      <c r="F188" s="98">
        <f>(F187/F185)*100</f>
        <v>54.653679653679653</v>
      </c>
      <c r="G188" s="94"/>
      <c r="H188" s="94"/>
      <c r="I188" s="98">
        <f>I187/I185*100</f>
        <v>56.742010911925178</v>
      </c>
      <c r="J188" s="96"/>
      <c r="K188" s="96"/>
      <c r="L188" s="200"/>
    </row>
    <row r="189" spans="1:12" hidden="1" x14ac:dyDescent="0.25">
      <c r="A189" s="1815"/>
      <c r="B189" s="1684"/>
      <c r="C189" s="1437" t="s">
        <v>388</v>
      </c>
      <c r="D189" s="145" t="s">
        <v>251</v>
      </c>
      <c r="E189" s="95"/>
      <c r="F189" s="80">
        <v>20</v>
      </c>
      <c r="G189" s="80"/>
      <c r="H189" s="80"/>
      <c r="I189" s="80">
        <v>1008</v>
      </c>
      <c r="J189" s="96"/>
      <c r="K189" s="96"/>
      <c r="L189" s="200"/>
    </row>
    <row r="190" spans="1:12" hidden="1" x14ac:dyDescent="0.25">
      <c r="A190" s="1815"/>
      <c r="B190" s="1684"/>
      <c r="C190" s="1437"/>
      <c r="D190" s="96" t="s">
        <v>257</v>
      </c>
      <c r="E190" s="95"/>
      <c r="F190" s="80">
        <v>20</v>
      </c>
      <c r="G190" s="80"/>
      <c r="H190" s="80"/>
      <c r="I190" s="80">
        <v>534</v>
      </c>
      <c r="J190" s="96"/>
      <c r="K190" s="96"/>
      <c r="L190" s="200"/>
    </row>
    <row r="191" spans="1:12" hidden="1" x14ac:dyDescent="0.25">
      <c r="A191" s="1815"/>
      <c r="B191" s="1684"/>
      <c r="C191" s="1437"/>
      <c r="D191" s="96" t="s">
        <v>263</v>
      </c>
      <c r="E191" s="95"/>
      <c r="F191" s="80">
        <v>0</v>
      </c>
      <c r="G191" s="80"/>
      <c r="H191" s="80"/>
      <c r="I191" s="80">
        <v>471</v>
      </c>
      <c r="J191" s="96"/>
      <c r="K191" s="96"/>
      <c r="L191" s="200"/>
    </row>
    <row r="192" spans="1:12" hidden="1" x14ac:dyDescent="0.25">
      <c r="A192" s="1815"/>
      <c r="B192" s="1684"/>
      <c r="C192" s="1437"/>
      <c r="D192" s="96" t="s">
        <v>357</v>
      </c>
      <c r="E192" s="95"/>
      <c r="F192" s="97">
        <f>(F191/F189)*100</f>
        <v>0</v>
      </c>
      <c r="G192" s="94"/>
      <c r="H192" s="94"/>
      <c r="I192" s="98">
        <f>I191/I189*100</f>
        <v>46.726190476190474</v>
      </c>
      <c r="J192" s="96"/>
      <c r="K192" s="96"/>
      <c r="L192" s="200"/>
    </row>
    <row r="193" spans="1:12" hidden="1" x14ac:dyDescent="0.25">
      <c r="A193" s="1815"/>
      <c r="B193" s="1684"/>
      <c r="C193" s="1403" t="s">
        <v>389</v>
      </c>
      <c r="D193" s="144" t="s">
        <v>251</v>
      </c>
      <c r="E193" s="94"/>
      <c r="F193" s="80">
        <v>565</v>
      </c>
      <c r="G193" s="80"/>
      <c r="H193" s="80"/>
      <c r="I193" s="80">
        <v>759</v>
      </c>
      <c r="J193" s="28"/>
      <c r="K193" s="28"/>
      <c r="L193" s="21"/>
    </row>
    <row r="194" spans="1:12" hidden="1" x14ac:dyDescent="0.25">
      <c r="A194" s="1815"/>
      <c r="B194" s="1684"/>
      <c r="C194" s="1403"/>
      <c r="D194" s="28" t="s">
        <v>257</v>
      </c>
      <c r="E194" s="94"/>
      <c r="F194" s="80">
        <v>230</v>
      </c>
      <c r="G194" s="80"/>
      <c r="H194" s="80"/>
      <c r="I194" s="80">
        <v>330</v>
      </c>
      <c r="J194" s="28"/>
      <c r="K194" s="28"/>
      <c r="L194" s="21"/>
    </row>
    <row r="195" spans="1:12" hidden="1" x14ac:dyDescent="0.25">
      <c r="A195" s="1815"/>
      <c r="B195" s="1684"/>
      <c r="C195" s="1403"/>
      <c r="D195" s="28" t="s">
        <v>263</v>
      </c>
      <c r="E195" s="94"/>
      <c r="F195" s="80">
        <v>335</v>
      </c>
      <c r="G195" s="80"/>
      <c r="H195" s="80"/>
      <c r="I195" s="80">
        <v>429</v>
      </c>
      <c r="J195" s="28"/>
      <c r="K195" s="28"/>
      <c r="L195" s="21"/>
    </row>
    <row r="196" spans="1:12" hidden="1" x14ac:dyDescent="0.25">
      <c r="A196" s="1815"/>
      <c r="B196" s="1684"/>
      <c r="C196" s="1403"/>
      <c r="D196" s="28" t="s">
        <v>357</v>
      </c>
      <c r="E196" s="94"/>
      <c r="F196" s="98">
        <f>(F195/F193)*100</f>
        <v>59.292035398230091</v>
      </c>
      <c r="G196" s="94"/>
      <c r="H196" s="94"/>
      <c r="I196" s="98">
        <f>I195/I193*100</f>
        <v>56.521739130434781</v>
      </c>
      <c r="J196" s="28"/>
      <c r="K196" s="28"/>
      <c r="L196" s="21"/>
    </row>
    <row r="197" spans="1:12" hidden="1" x14ac:dyDescent="0.25">
      <c r="A197" s="1815"/>
      <c r="B197" s="1684"/>
      <c r="C197" s="1403" t="s">
        <v>390</v>
      </c>
      <c r="D197" s="144" t="s">
        <v>251</v>
      </c>
      <c r="E197" s="94"/>
      <c r="F197" s="80">
        <v>490</v>
      </c>
      <c r="G197" s="80"/>
      <c r="H197" s="80"/>
      <c r="I197" s="80">
        <v>621</v>
      </c>
      <c r="J197" s="28"/>
      <c r="K197" s="28"/>
      <c r="L197" s="21"/>
    </row>
    <row r="198" spans="1:12" ht="14.85" hidden="1" customHeight="1" x14ac:dyDescent="0.25">
      <c r="A198" s="1815"/>
      <c r="B198" s="1684"/>
      <c r="C198" s="1403"/>
      <c r="D198" s="28" t="s">
        <v>257</v>
      </c>
      <c r="E198" s="94"/>
      <c r="F198" s="80">
        <v>135</v>
      </c>
      <c r="G198" s="80"/>
      <c r="H198" s="80"/>
      <c r="I198" s="80">
        <v>165</v>
      </c>
      <c r="J198" s="28"/>
      <c r="K198" s="28"/>
      <c r="L198" s="21"/>
    </row>
    <row r="199" spans="1:12" hidden="1" x14ac:dyDescent="0.25">
      <c r="A199" s="1815"/>
      <c r="B199" s="1684"/>
      <c r="C199" s="1403"/>
      <c r="D199" s="28" t="s">
        <v>263</v>
      </c>
      <c r="E199" s="94"/>
      <c r="F199" s="80">
        <v>355</v>
      </c>
      <c r="G199" s="80"/>
      <c r="H199" s="80"/>
      <c r="I199" s="80">
        <v>456</v>
      </c>
      <c r="J199" s="28"/>
      <c r="K199" s="28"/>
      <c r="L199" s="21"/>
    </row>
    <row r="200" spans="1:12" hidden="1" x14ac:dyDescent="0.25">
      <c r="A200" s="1815"/>
      <c r="B200" s="1684"/>
      <c r="C200" s="1403"/>
      <c r="D200" s="28" t="s">
        <v>357</v>
      </c>
      <c r="E200" s="94"/>
      <c r="F200" s="99">
        <f>(F199/F197)*100</f>
        <v>72.448979591836732</v>
      </c>
      <c r="G200" s="94"/>
      <c r="H200" s="94"/>
      <c r="I200" s="99">
        <f>I199/I197*100</f>
        <v>73.429951690821255</v>
      </c>
      <c r="J200" s="28"/>
      <c r="K200" s="28"/>
      <c r="L200" s="21"/>
    </row>
    <row r="201" spans="1:12" hidden="1" x14ac:dyDescent="0.25">
      <c r="A201" s="1815"/>
      <c r="B201" s="1684"/>
      <c r="C201" s="1403" t="s">
        <v>391</v>
      </c>
      <c r="D201" s="144" t="s">
        <v>251</v>
      </c>
      <c r="E201" s="94"/>
      <c r="F201" s="80">
        <v>1405</v>
      </c>
      <c r="G201" s="80"/>
      <c r="H201" s="80"/>
      <c r="I201" s="80">
        <v>1275</v>
      </c>
      <c r="J201" s="28"/>
      <c r="K201" s="28"/>
      <c r="L201" s="21"/>
    </row>
    <row r="202" spans="1:12" hidden="1" x14ac:dyDescent="0.25">
      <c r="A202" s="1815"/>
      <c r="B202" s="1684"/>
      <c r="C202" s="1403"/>
      <c r="D202" s="28" t="s">
        <v>257</v>
      </c>
      <c r="E202" s="94"/>
      <c r="F202" s="80">
        <v>250</v>
      </c>
      <c r="G202" s="80"/>
      <c r="H202" s="80"/>
      <c r="I202" s="80">
        <v>207</v>
      </c>
      <c r="J202" s="28"/>
      <c r="K202" s="28"/>
      <c r="L202" s="21"/>
    </row>
    <row r="203" spans="1:12" hidden="1" x14ac:dyDescent="0.25">
      <c r="A203" s="1815"/>
      <c r="B203" s="1684"/>
      <c r="C203" s="1403"/>
      <c r="D203" s="28" t="s">
        <v>263</v>
      </c>
      <c r="E203" s="94"/>
      <c r="F203" s="80">
        <v>1150</v>
      </c>
      <c r="G203" s="80"/>
      <c r="H203" s="80"/>
      <c r="I203" s="80">
        <v>1068</v>
      </c>
      <c r="J203" s="28"/>
      <c r="K203" s="28"/>
      <c r="L203" s="21"/>
    </row>
    <row r="204" spans="1:12" hidden="1" x14ac:dyDescent="0.25">
      <c r="A204" s="1815"/>
      <c r="B204" s="1684"/>
      <c r="C204" s="1403"/>
      <c r="D204" s="28" t="s">
        <v>357</v>
      </c>
      <c r="E204" s="94"/>
      <c r="F204" s="99">
        <f>(F203/F201)*100</f>
        <v>81.85053380782918</v>
      </c>
      <c r="G204" s="94"/>
      <c r="H204" s="94"/>
      <c r="I204" s="99">
        <f>I203/I201*100</f>
        <v>83.764705882352942</v>
      </c>
      <c r="J204" s="28"/>
      <c r="K204" s="28"/>
      <c r="L204" s="21"/>
    </row>
    <row r="205" spans="1:12" hidden="1" x14ac:dyDescent="0.25">
      <c r="A205" s="1815"/>
      <c r="B205" s="1684"/>
      <c r="C205" s="1403" t="s">
        <v>392</v>
      </c>
      <c r="D205" s="144" t="s">
        <v>251</v>
      </c>
      <c r="E205" s="94"/>
      <c r="F205" s="80">
        <v>1360</v>
      </c>
      <c r="G205" s="80"/>
      <c r="H205" s="80"/>
      <c r="I205" s="80">
        <v>804</v>
      </c>
      <c r="J205" s="28"/>
      <c r="K205" s="28"/>
      <c r="L205" s="21"/>
    </row>
    <row r="206" spans="1:12" hidden="1" x14ac:dyDescent="0.25">
      <c r="A206" s="1815"/>
      <c r="B206" s="1684"/>
      <c r="C206" s="1403"/>
      <c r="D206" s="28" t="s">
        <v>257</v>
      </c>
      <c r="E206" s="94"/>
      <c r="F206" s="80">
        <v>135</v>
      </c>
      <c r="G206" s="80"/>
      <c r="H206" s="80"/>
      <c r="I206" s="80">
        <v>87</v>
      </c>
      <c r="J206" s="28"/>
      <c r="K206" s="28"/>
      <c r="L206" s="21"/>
    </row>
    <row r="207" spans="1:12" hidden="1" x14ac:dyDescent="0.25">
      <c r="A207" s="1815"/>
      <c r="B207" s="1684"/>
      <c r="C207" s="1403"/>
      <c r="D207" s="28" t="s">
        <v>263</v>
      </c>
      <c r="E207" s="94"/>
      <c r="F207" s="80">
        <v>1225</v>
      </c>
      <c r="G207" s="80"/>
      <c r="H207" s="80"/>
      <c r="I207" s="80">
        <v>717</v>
      </c>
      <c r="J207" s="28"/>
      <c r="K207" s="28"/>
      <c r="L207" s="21"/>
    </row>
    <row r="208" spans="1:12" hidden="1" x14ac:dyDescent="0.25">
      <c r="A208" s="1815"/>
      <c r="B208" s="1684"/>
      <c r="C208" s="1403"/>
      <c r="D208" s="28" t="s">
        <v>357</v>
      </c>
      <c r="E208" s="94"/>
      <c r="F208" s="99">
        <f>(F207/F205)*100</f>
        <v>90.07352941176471</v>
      </c>
      <c r="G208" s="94"/>
      <c r="H208" s="94"/>
      <c r="I208" s="99">
        <f>I207/I205*100</f>
        <v>89.179104477611943</v>
      </c>
      <c r="J208" s="28"/>
      <c r="K208" s="28"/>
      <c r="L208" s="21"/>
    </row>
    <row r="209" spans="1:12" hidden="1" x14ac:dyDescent="0.25">
      <c r="A209" s="1815"/>
      <c r="B209" s="1684"/>
      <c r="C209" s="1403" t="s">
        <v>393</v>
      </c>
      <c r="D209" s="144" t="s">
        <v>251</v>
      </c>
      <c r="E209" s="94"/>
      <c r="F209" s="80">
        <v>2320</v>
      </c>
      <c r="G209" s="80"/>
      <c r="H209" s="80"/>
      <c r="I209" s="80">
        <v>2436</v>
      </c>
      <c r="J209" s="28"/>
      <c r="K209" s="28"/>
      <c r="L209" s="21"/>
    </row>
    <row r="210" spans="1:12" hidden="1" x14ac:dyDescent="0.25">
      <c r="A210" s="1815"/>
      <c r="B210" s="1684"/>
      <c r="C210" s="1403"/>
      <c r="D210" s="28" t="s">
        <v>257</v>
      </c>
      <c r="E210" s="94"/>
      <c r="F210" s="80">
        <v>1380</v>
      </c>
      <c r="G210" s="80"/>
      <c r="H210" s="80"/>
      <c r="I210" s="80">
        <v>1245</v>
      </c>
      <c r="J210" s="28"/>
      <c r="K210" s="28"/>
      <c r="L210" s="21"/>
    </row>
    <row r="211" spans="1:12" hidden="1" x14ac:dyDescent="0.25">
      <c r="A211" s="1815"/>
      <c r="B211" s="1684"/>
      <c r="C211" s="1403"/>
      <c r="D211" s="28" t="s">
        <v>263</v>
      </c>
      <c r="E211" s="94"/>
      <c r="F211" s="80">
        <v>940</v>
      </c>
      <c r="G211" s="80"/>
      <c r="H211" s="80"/>
      <c r="I211" s="80">
        <v>1191</v>
      </c>
      <c r="J211" s="28"/>
      <c r="K211" s="28"/>
      <c r="L211" s="21"/>
    </row>
    <row r="212" spans="1:12" hidden="1" x14ac:dyDescent="0.25">
      <c r="A212" s="1815"/>
      <c r="B212" s="1684"/>
      <c r="C212" s="1403"/>
      <c r="D212" s="28" t="s">
        <v>357</v>
      </c>
      <c r="E212" s="94"/>
      <c r="F212" s="98">
        <f>(F211/F209)*100</f>
        <v>40.517241379310342</v>
      </c>
      <c r="G212" s="94"/>
      <c r="H212" s="94"/>
      <c r="I212" s="98">
        <f>I211/I209*100</f>
        <v>48.891625615763544</v>
      </c>
      <c r="J212" s="28"/>
      <c r="K212" s="28"/>
      <c r="L212" s="21"/>
    </row>
    <row r="213" spans="1:12" hidden="1" x14ac:dyDescent="0.25">
      <c r="A213" s="1815"/>
      <c r="B213" s="1684"/>
      <c r="C213" s="1403" t="s">
        <v>394</v>
      </c>
      <c r="D213" s="144" t="s">
        <v>251</v>
      </c>
      <c r="E213" s="94"/>
      <c r="F213" s="80">
        <v>1450</v>
      </c>
      <c r="G213" s="80"/>
      <c r="H213" s="80"/>
      <c r="I213" s="80">
        <v>1869</v>
      </c>
      <c r="J213" s="28"/>
      <c r="K213" s="28"/>
      <c r="L213" s="21"/>
    </row>
    <row r="214" spans="1:12" hidden="1" x14ac:dyDescent="0.25">
      <c r="A214" s="1815"/>
      <c r="B214" s="1684"/>
      <c r="C214" s="1403"/>
      <c r="D214" s="28" t="s">
        <v>257</v>
      </c>
      <c r="E214" s="94"/>
      <c r="F214" s="80">
        <v>1175</v>
      </c>
      <c r="G214" s="80"/>
      <c r="H214" s="80"/>
      <c r="I214" s="80">
        <v>1512</v>
      </c>
      <c r="J214" s="28"/>
      <c r="K214" s="28"/>
      <c r="L214" s="21"/>
    </row>
    <row r="215" spans="1:12" hidden="1" x14ac:dyDescent="0.25">
      <c r="A215" s="1815"/>
      <c r="B215" s="1684"/>
      <c r="C215" s="1403"/>
      <c r="D215" s="28" t="s">
        <v>263</v>
      </c>
      <c r="E215" s="94"/>
      <c r="F215" s="80">
        <v>275</v>
      </c>
      <c r="G215" s="80"/>
      <c r="H215" s="80"/>
      <c r="I215" s="80">
        <v>357</v>
      </c>
      <c r="J215" s="28"/>
      <c r="K215" s="28"/>
      <c r="L215" s="21"/>
    </row>
    <row r="216" spans="1:12" hidden="1" x14ac:dyDescent="0.25">
      <c r="A216" s="1815"/>
      <c r="B216" s="1684"/>
      <c r="C216" s="1403"/>
      <c r="D216" s="28" t="s">
        <v>357</v>
      </c>
      <c r="E216" s="94"/>
      <c r="F216" s="97">
        <f>(F215/F213)*100</f>
        <v>18.96551724137931</v>
      </c>
      <c r="G216" s="94"/>
      <c r="H216" s="94"/>
      <c r="I216" s="97">
        <f>I215/I213*100</f>
        <v>19.101123595505616</v>
      </c>
      <c r="J216" s="28"/>
      <c r="K216" s="28"/>
      <c r="L216" s="21"/>
    </row>
    <row r="217" spans="1:12" hidden="1" x14ac:dyDescent="0.25">
      <c r="A217" s="1815"/>
      <c r="B217" s="1684"/>
      <c r="C217" s="1403" t="s">
        <v>395</v>
      </c>
      <c r="D217" s="144" t="s">
        <v>251</v>
      </c>
      <c r="E217" s="94"/>
      <c r="F217" s="80">
        <v>320</v>
      </c>
      <c r="G217" s="80"/>
      <c r="H217" s="80"/>
      <c r="I217" s="80">
        <v>186</v>
      </c>
      <c r="J217" s="94"/>
      <c r="K217" s="28"/>
      <c r="L217" s="21"/>
    </row>
    <row r="218" spans="1:12" ht="14.85" hidden="1" customHeight="1" x14ac:dyDescent="0.25">
      <c r="A218" s="1815"/>
      <c r="B218" s="1684"/>
      <c r="C218" s="1403"/>
      <c r="D218" s="28" t="s">
        <v>257</v>
      </c>
      <c r="E218" s="94"/>
      <c r="F218" s="80">
        <v>275</v>
      </c>
      <c r="G218" s="80"/>
      <c r="H218" s="80"/>
      <c r="I218" s="80">
        <v>138</v>
      </c>
      <c r="J218" s="94"/>
      <c r="K218" s="28"/>
      <c r="L218" s="21"/>
    </row>
    <row r="219" spans="1:12" hidden="1" x14ac:dyDescent="0.25">
      <c r="A219" s="1815"/>
      <c r="B219" s="1684"/>
      <c r="C219" s="1403"/>
      <c r="D219" s="28" t="s">
        <v>263</v>
      </c>
      <c r="E219" s="94"/>
      <c r="F219" s="80">
        <v>50</v>
      </c>
      <c r="G219" s="80"/>
      <c r="H219" s="80"/>
      <c r="I219" s="80">
        <v>51</v>
      </c>
      <c r="J219" s="94"/>
      <c r="K219" s="28"/>
      <c r="L219" s="21"/>
    </row>
    <row r="220" spans="1:12" hidden="1" x14ac:dyDescent="0.25">
      <c r="A220" s="1815"/>
      <c r="B220" s="1684"/>
      <c r="C220" s="1403"/>
      <c r="D220" s="28" t="s">
        <v>357</v>
      </c>
      <c r="E220" s="94"/>
      <c r="F220" s="97">
        <f>(F219/F217)*100</f>
        <v>15.625</v>
      </c>
      <c r="G220" s="94"/>
      <c r="H220" s="94"/>
      <c r="I220" s="97">
        <f>I219/I217*100</f>
        <v>27.419354838709676</v>
      </c>
      <c r="J220" s="94"/>
      <c r="K220" s="28"/>
      <c r="L220" s="21"/>
    </row>
    <row r="221" spans="1:12" hidden="1" x14ac:dyDescent="0.25">
      <c r="A221" s="1815"/>
      <c r="B221" s="1684"/>
      <c r="C221" s="1403" t="s">
        <v>396</v>
      </c>
      <c r="D221" s="144" t="s">
        <v>251</v>
      </c>
      <c r="E221" s="94"/>
      <c r="F221" s="80">
        <v>25</v>
      </c>
      <c r="G221" s="80"/>
      <c r="H221" s="80"/>
      <c r="I221" s="80">
        <v>12</v>
      </c>
      <c r="J221" s="94"/>
      <c r="K221" s="28"/>
      <c r="L221" s="21"/>
    </row>
    <row r="222" spans="1:12" hidden="1" x14ac:dyDescent="0.25">
      <c r="A222" s="1815"/>
      <c r="B222" s="1684"/>
      <c r="C222" s="1403"/>
      <c r="D222" s="28" t="s">
        <v>257</v>
      </c>
      <c r="E222" s="94"/>
      <c r="F222" s="80">
        <v>15</v>
      </c>
      <c r="G222" s="80"/>
      <c r="H222" s="80"/>
      <c r="I222" s="80">
        <v>6</v>
      </c>
      <c r="J222" s="94"/>
      <c r="K222" s="28"/>
      <c r="L222" s="21"/>
    </row>
    <row r="223" spans="1:12" hidden="1" x14ac:dyDescent="0.25">
      <c r="A223" s="1815"/>
      <c r="B223" s="1684"/>
      <c r="C223" s="1403"/>
      <c r="D223" s="28" t="s">
        <v>263</v>
      </c>
      <c r="E223" s="94"/>
      <c r="F223" s="80">
        <v>10</v>
      </c>
      <c r="G223" s="80"/>
      <c r="H223" s="80"/>
      <c r="I223" s="80">
        <v>3</v>
      </c>
      <c r="J223" s="94"/>
      <c r="K223" s="28"/>
      <c r="L223" s="21"/>
    </row>
    <row r="224" spans="1:12" hidden="1" x14ac:dyDescent="0.25">
      <c r="A224" s="1815"/>
      <c r="B224" s="1684"/>
      <c r="C224" s="1403"/>
      <c r="D224" s="28" t="s">
        <v>357</v>
      </c>
      <c r="E224" s="94"/>
      <c r="F224" s="98">
        <f>(F223/F221)*100</f>
        <v>40</v>
      </c>
      <c r="G224" s="94"/>
      <c r="H224" s="94"/>
      <c r="I224" s="97">
        <f>I223/I221*100</f>
        <v>25</v>
      </c>
      <c r="J224" s="94"/>
      <c r="K224" s="28"/>
      <c r="L224" s="21"/>
    </row>
    <row r="225" spans="1:12" hidden="1" x14ac:dyDescent="0.25">
      <c r="A225" s="1815"/>
      <c r="B225" s="1684"/>
      <c r="C225" s="1403" t="s">
        <v>397</v>
      </c>
      <c r="D225" s="144" t="s">
        <v>251</v>
      </c>
      <c r="E225" s="94"/>
      <c r="F225" s="80"/>
      <c r="G225" s="80"/>
      <c r="H225" s="80"/>
      <c r="I225" s="80">
        <v>3</v>
      </c>
      <c r="J225" s="94"/>
      <c r="K225" s="28"/>
      <c r="L225" s="21"/>
    </row>
    <row r="226" spans="1:12" hidden="1" x14ac:dyDescent="0.25">
      <c r="A226" s="1815"/>
      <c r="B226" s="1684"/>
      <c r="C226" s="1403"/>
      <c r="D226" s="28" t="s">
        <v>257</v>
      </c>
      <c r="E226" s="94"/>
      <c r="F226" s="80"/>
      <c r="G226" s="80"/>
      <c r="H226" s="80"/>
      <c r="I226" s="80">
        <v>0</v>
      </c>
      <c r="J226" s="94"/>
      <c r="K226" s="28"/>
      <c r="L226" s="21"/>
    </row>
    <row r="227" spans="1:12" hidden="1" x14ac:dyDescent="0.25">
      <c r="A227" s="1815"/>
      <c r="B227" s="1684"/>
      <c r="C227" s="1403"/>
      <c r="D227" s="28" t="s">
        <v>263</v>
      </c>
      <c r="E227" s="94"/>
      <c r="F227" s="80"/>
      <c r="G227" s="80"/>
      <c r="H227" s="80"/>
      <c r="I227" s="80">
        <v>0</v>
      </c>
      <c r="J227" s="94"/>
      <c r="K227" s="28"/>
      <c r="L227" s="21"/>
    </row>
    <row r="228" spans="1:12" hidden="1" x14ac:dyDescent="0.25">
      <c r="A228" s="1815"/>
      <c r="B228" s="1684"/>
      <c r="C228" s="1403"/>
      <c r="D228" s="28" t="s">
        <v>357</v>
      </c>
      <c r="E228" s="94"/>
      <c r="F228" s="94"/>
      <c r="G228" s="94"/>
      <c r="H228" s="94"/>
      <c r="I228" s="97">
        <f>I227/I225*100</f>
        <v>0</v>
      </c>
      <c r="J228" s="94"/>
      <c r="K228" s="28"/>
      <c r="L228" s="21"/>
    </row>
    <row r="229" spans="1:12" hidden="1" x14ac:dyDescent="0.25">
      <c r="A229" s="1815"/>
      <c r="B229" s="1684"/>
      <c r="C229" s="1403" t="s">
        <v>398</v>
      </c>
      <c r="D229" s="144" t="s">
        <v>251</v>
      </c>
      <c r="E229" s="94"/>
      <c r="F229" s="80">
        <v>35</v>
      </c>
      <c r="G229" s="80"/>
      <c r="H229" s="80"/>
      <c r="I229" s="80">
        <v>3</v>
      </c>
      <c r="J229" s="94"/>
      <c r="K229" s="28"/>
      <c r="L229" s="21"/>
    </row>
    <row r="230" spans="1:12" ht="14.85" hidden="1" customHeight="1" x14ac:dyDescent="0.25">
      <c r="A230" s="1815"/>
      <c r="B230" s="1684"/>
      <c r="C230" s="1403"/>
      <c r="D230" s="28" t="s">
        <v>257</v>
      </c>
      <c r="E230" s="94"/>
      <c r="F230" s="80">
        <v>0</v>
      </c>
      <c r="G230" s="80"/>
      <c r="H230" s="80"/>
      <c r="I230" s="80">
        <v>6</v>
      </c>
      <c r="J230" s="94"/>
      <c r="K230" s="28"/>
      <c r="L230" s="21"/>
    </row>
    <row r="231" spans="1:12" hidden="1" x14ac:dyDescent="0.25">
      <c r="A231" s="1815"/>
      <c r="B231" s="1684"/>
      <c r="C231" s="1403"/>
      <c r="D231" s="28" t="s">
        <v>263</v>
      </c>
      <c r="E231" s="94"/>
      <c r="F231" s="80">
        <v>35</v>
      </c>
      <c r="G231" s="80"/>
      <c r="H231" s="80"/>
      <c r="I231" s="80">
        <v>0</v>
      </c>
      <c r="J231" s="94"/>
      <c r="K231" s="28"/>
      <c r="L231" s="21"/>
    </row>
    <row r="232" spans="1:12" hidden="1" x14ac:dyDescent="0.25">
      <c r="A232" s="1815"/>
      <c r="B232" s="1684"/>
      <c r="C232" s="1403"/>
      <c r="D232" s="28" t="s">
        <v>357</v>
      </c>
      <c r="E232" s="94"/>
      <c r="F232" s="99">
        <f>(F231/F229)*100</f>
        <v>100</v>
      </c>
      <c r="G232" s="94"/>
      <c r="H232" s="94"/>
      <c r="I232" s="97">
        <f>I231/I229*100</f>
        <v>0</v>
      </c>
      <c r="J232" s="94"/>
      <c r="K232" s="28"/>
      <c r="L232" s="21"/>
    </row>
    <row r="233" spans="1:12" hidden="1" x14ac:dyDescent="0.25">
      <c r="A233" s="1815"/>
      <c r="B233" s="1684"/>
      <c r="C233" s="1403" t="s">
        <v>399</v>
      </c>
      <c r="D233" s="144" t="s">
        <v>251</v>
      </c>
      <c r="E233" s="94"/>
      <c r="F233" s="80">
        <v>1045</v>
      </c>
      <c r="G233" s="80"/>
      <c r="H233" s="80"/>
      <c r="I233" s="80">
        <v>1329</v>
      </c>
      <c r="J233" s="94"/>
      <c r="K233" s="28"/>
      <c r="L233" s="21"/>
    </row>
    <row r="234" spans="1:12" ht="14.85" hidden="1" customHeight="1" x14ac:dyDescent="0.25">
      <c r="A234" s="1815"/>
      <c r="B234" s="1684"/>
      <c r="C234" s="1403"/>
      <c r="D234" s="28" t="s">
        <v>257</v>
      </c>
      <c r="E234" s="94"/>
      <c r="F234" s="80">
        <v>915</v>
      </c>
      <c r="G234" s="80"/>
      <c r="H234" s="80"/>
      <c r="I234" s="80">
        <v>1245</v>
      </c>
      <c r="J234" s="94"/>
      <c r="K234" s="28"/>
      <c r="L234" s="21"/>
    </row>
    <row r="235" spans="1:12" hidden="1" x14ac:dyDescent="0.25">
      <c r="A235" s="1815"/>
      <c r="B235" s="1684"/>
      <c r="C235" s="1403"/>
      <c r="D235" s="28" t="s">
        <v>263</v>
      </c>
      <c r="E235" s="94"/>
      <c r="F235" s="80">
        <v>130</v>
      </c>
      <c r="G235" s="80"/>
      <c r="H235" s="80"/>
      <c r="I235" s="80">
        <v>87</v>
      </c>
      <c r="J235" s="94"/>
      <c r="K235" s="28"/>
      <c r="L235" s="21"/>
    </row>
    <row r="236" spans="1:12" hidden="1" x14ac:dyDescent="0.25">
      <c r="A236" s="1815"/>
      <c r="B236" s="1684"/>
      <c r="C236" s="1403"/>
      <c r="D236" s="28" t="s">
        <v>357</v>
      </c>
      <c r="E236" s="94"/>
      <c r="F236" s="97">
        <f>(F235/F233)*100</f>
        <v>12.440191387559809</v>
      </c>
      <c r="G236" s="94"/>
      <c r="H236" s="94"/>
      <c r="I236" s="97">
        <f>I235/I233*100</f>
        <v>6.5462753950338595</v>
      </c>
      <c r="J236" s="94"/>
      <c r="K236" s="28"/>
      <c r="L236" s="21"/>
    </row>
    <row r="237" spans="1:12" hidden="1" x14ac:dyDescent="0.25">
      <c r="A237" s="1815"/>
      <c r="B237" s="1684"/>
      <c r="C237" s="1403" t="s">
        <v>400</v>
      </c>
      <c r="D237" s="144" t="s">
        <v>251</v>
      </c>
      <c r="E237" s="94"/>
      <c r="F237" s="80">
        <v>1030</v>
      </c>
      <c r="G237" s="80"/>
      <c r="H237" s="80"/>
      <c r="I237" s="80">
        <v>588</v>
      </c>
      <c r="J237" s="94"/>
      <c r="K237" s="28"/>
      <c r="L237" s="21"/>
    </row>
    <row r="238" spans="1:12" hidden="1" x14ac:dyDescent="0.25">
      <c r="A238" s="1815"/>
      <c r="B238" s="1684"/>
      <c r="C238" s="1403"/>
      <c r="D238" s="28" t="s">
        <v>257</v>
      </c>
      <c r="E238" s="94"/>
      <c r="F238" s="80">
        <v>860</v>
      </c>
      <c r="G238" s="80"/>
      <c r="H238" s="80"/>
      <c r="I238" s="80">
        <v>552</v>
      </c>
      <c r="J238" s="94"/>
      <c r="K238" s="28"/>
      <c r="L238" s="21"/>
    </row>
    <row r="239" spans="1:12" hidden="1" x14ac:dyDescent="0.25">
      <c r="A239" s="1815"/>
      <c r="B239" s="1684"/>
      <c r="C239" s="1403"/>
      <c r="D239" s="28" t="s">
        <v>263</v>
      </c>
      <c r="E239" s="94"/>
      <c r="F239" s="80">
        <v>170</v>
      </c>
      <c r="G239" s="80"/>
      <c r="H239" s="80"/>
      <c r="I239" s="80">
        <v>39</v>
      </c>
      <c r="J239" s="94"/>
      <c r="K239" s="28"/>
      <c r="L239" s="21"/>
    </row>
    <row r="240" spans="1:12" hidden="1" x14ac:dyDescent="0.25">
      <c r="A240" s="1815"/>
      <c r="B240" s="1684"/>
      <c r="C240" s="1403"/>
      <c r="D240" s="28" t="s">
        <v>357</v>
      </c>
      <c r="E240" s="94"/>
      <c r="F240" s="97">
        <f>(F239/F237)*100</f>
        <v>16.50485436893204</v>
      </c>
      <c r="G240" s="94"/>
      <c r="H240" s="94"/>
      <c r="I240" s="97">
        <f>I239/I237*100</f>
        <v>6.6326530612244898</v>
      </c>
      <c r="J240" s="94"/>
      <c r="K240" s="28"/>
      <c r="L240" s="21"/>
    </row>
    <row r="241" spans="1:12" ht="14.85" hidden="1" customHeight="1" x14ac:dyDescent="0.25">
      <c r="A241" s="1815"/>
      <c r="B241" s="1684"/>
      <c r="C241" s="1403" t="s">
        <v>401</v>
      </c>
      <c r="D241" s="144" t="s">
        <v>251</v>
      </c>
      <c r="E241" s="94"/>
      <c r="F241" s="80">
        <v>645</v>
      </c>
      <c r="G241" s="80"/>
      <c r="H241" s="80"/>
      <c r="I241" s="80">
        <v>267</v>
      </c>
      <c r="J241" s="94"/>
      <c r="K241" s="28"/>
      <c r="L241" s="21"/>
    </row>
    <row r="242" spans="1:12" hidden="1" x14ac:dyDescent="0.25">
      <c r="A242" s="1815"/>
      <c r="B242" s="1684"/>
      <c r="C242" s="1403"/>
      <c r="D242" s="28" t="s">
        <v>257</v>
      </c>
      <c r="E242" s="94"/>
      <c r="F242" s="80">
        <v>535</v>
      </c>
      <c r="G242" s="80"/>
      <c r="H242" s="80"/>
      <c r="I242" s="80">
        <v>249</v>
      </c>
      <c r="J242" s="94"/>
      <c r="K242" s="28"/>
      <c r="L242" s="21"/>
    </row>
    <row r="243" spans="1:12" hidden="1" x14ac:dyDescent="0.25">
      <c r="A243" s="1815"/>
      <c r="B243" s="1684"/>
      <c r="C243" s="1403"/>
      <c r="D243" s="28" t="s">
        <v>263</v>
      </c>
      <c r="E243" s="94"/>
      <c r="F243" s="80">
        <v>105</v>
      </c>
      <c r="G243" s="80"/>
      <c r="H243" s="80"/>
      <c r="I243" s="80">
        <v>18</v>
      </c>
      <c r="J243" s="94"/>
      <c r="K243" s="28"/>
      <c r="L243" s="21"/>
    </row>
    <row r="244" spans="1:12" hidden="1" x14ac:dyDescent="0.25">
      <c r="A244" s="1815"/>
      <c r="B244" s="1684"/>
      <c r="C244" s="1403"/>
      <c r="D244" s="28" t="s">
        <v>357</v>
      </c>
      <c r="E244" s="94"/>
      <c r="F244" s="97">
        <f>(F243/F241)*100</f>
        <v>16.279069767441861</v>
      </c>
      <c r="G244" s="94"/>
      <c r="H244" s="94"/>
      <c r="I244" s="97">
        <f>I243/I241*100</f>
        <v>6.7415730337078648</v>
      </c>
      <c r="J244" s="94"/>
      <c r="K244" s="28"/>
      <c r="L244" s="21"/>
    </row>
    <row r="245" spans="1:12" hidden="1" x14ac:dyDescent="0.25">
      <c r="A245" s="1815"/>
      <c r="B245" s="1684"/>
      <c r="C245" s="1403" t="s">
        <v>402</v>
      </c>
      <c r="D245" s="144" t="s">
        <v>251</v>
      </c>
      <c r="E245" s="94"/>
      <c r="F245" s="80">
        <v>350</v>
      </c>
      <c r="G245" s="80"/>
      <c r="H245" s="80"/>
      <c r="I245" s="80">
        <v>537</v>
      </c>
      <c r="J245" s="94"/>
      <c r="K245" s="28"/>
      <c r="L245" s="21"/>
    </row>
    <row r="246" spans="1:12" hidden="1" x14ac:dyDescent="0.25">
      <c r="A246" s="1815"/>
      <c r="B246" s="1684"/>
      <c r="C246" s="1403"/>
      <c r="D246" s="28" t="s">
        <v>257</v>
      </c>
      <c r="E246" s="94"/>
      <c r="F246" s="80">
        <v>325</v>
      </c>
      <c r="G246" s="80"/>
      <c r="H246" s="80"/>
      <c r="I246" s="80">
        <v>498</v>
      </c>
      <c r="J246" s="94"/>
      <c r="K246" s="28"/>
      <c r="L246" s="21"/>
    </row>
    <row r="247" spans="1:12" hidden="1" x14ac:dyDescent="0.25">
      <c r="A247" s="1815"/>
      <c r="B247" s="1684"/>
      <c r="C247" s="1403"/>
      <c r="D247" s="28" t="s">
        <v>263</v>
      </c>
      <c r="E247" s="94"/>
      <c r="F247" s="80">
        <v>20</v>
      </c>
      <c r="G247" s="80"/>
      <c r="H247" s="80"/>
      <c r="I247" s="80">
        <v>39</v>
      </c>
      <c r="J247" s="94"/>
      <c r="K247" s="28"/>
      <c r="L247" s="21"/>
    </row>
    <row r="248" spans="1:12" hidden="1" x14ac:dyDescent="0.25">
      <c r="A248" s="1815"/>
      <c r="B248" s="1684"/>
      <c r="C248" s="1403"/>
      <c r="D248" s="28" t="s">
        <v>357</v>
      </c>
      <c r="E248" s="94"/>
      <c r="F248" s="97">
        <f>(F247/F245)*100</f>
        <v>5.7142857142857144</v>
      </c>
      <c r="G248" s="94"/>
      <c r="H248" s="94"/>
      <c r="I248" s="97">
        <f>I247/I245*100</f>
        <v>7.2625698324022352</v>
      </c>
      <c r="J248" s="94"/>
      <c r="K248" s="28"/>
      <c r="L248" s="21"/>
    </row>
    <row r="249" spans="1:12" hidden="1" x14ac:dyDescent="0.25">
      <c r="A249" s="1815"/>
      <c r="B249" s="1684"/>
      <c r="C249" s="1403" t="s">
        <v>403</v>
      </c>
      <c r="D249" s="144" t="s">
        <v>251</v>
      </c>
      <c r="E249" s="94"/>
      <c r="F249" s="80">
        <v>940</v>
      </c>
      <c r="G249" s="80"/>
      <c r="H249" s="80"/>
      <c r="I249" s="80">
        <v>831</v>
      </c>
      <c r="J249" s="94"/>
      <c r="K249" s="28"/>
      <c r="L249" s="21"/>
    </row>
    <row r="250" spans="1:12" hidden="1" x14ac:dyDescent="0.25">
      <c r="A250" s="1815"/>
      <c r="B250" s="1684"/>
      <c r="C250" s="1403"/>
      <c r="D250" s="28" t="s">
        <v>257</v>
      </c>
      <c r="E250" s="94"/>
      <c r="F250" s="80">
        <v>760</v>
      </c>
      <c r="G250" s="80"/>
      <c r="H250" s="80"/>
      <c r="I250" s="80">
        <v>747</v>
      </c>
      <c r="J250" s="94"/>
      <c r="K250" s="28"/>
      <c r="L250" s="21"/>
    </row>
    <row r="251" spans="1:12" hidden="1" x14ac:dyDescent="0.25">
      <c r="A251" s="1815"/>
      <c r="B251" s="1684"/>
      <c r="C251" s="1403"/>
      <c r="D251" s="28" t="s">
        <v>263</v>
      </c>
      <c r="E251" s="94"/>
      <c r="F251" s="80">
        <v>180</v>
      </c>
      <c r="G251" s="80"/>
      <c r="H251" s="80"/>
      <c r="I251" s="80">
        <v>84</v>
      </c>
      <c r="J251" s="94"/>
      <c r="K251" s="28"/>
      <c r="L251" s="21"/>
    </row>
    <row r="252" spans="1:12" hidden="1" x14ac:dyDescent="0.25">
      <c r="A252" s="1815"/>
      <c r="B252" s="1684"/>
      <c r="C252" s="1403"/>
      <c r="D252" s="28" t="s">
        <v>357</v>
      </c>
      <c r="E252" s="94"/>
      <c r="F252" s="97">
        <f>(F251/F249)*100</f>
        <v>19.148936170212767</v>
      </c>
      <c r="G252" s="94"/>
      <c r="H252" s="94"/>
      <c r="I252" s="97">
        <f>I251/I249*100</f>
        <v>10.108303249097473</v>
      </c>
      <c r="J252" s="94"/>
      <c r="K252" s="28"/>
      <c r="L252" s="21"/>
    </row>
    <row r="253" spans="1:12" hidden="1" x14ac:dyDescent="0.25">
      <c r="A253" s="1815"/>
      <c r="B253" s="1684"/>
      <c r="C253" s="1403" t="s">
        <v>404</v>
      </c>
      <c r="D253" s="144" t="s">
        <v>251</v>
      </c>
      <c r="E253" s="94"/>
      <c r="F253" s="80">
        <v>620</v>
      </c>
      <c r="G253" s="80"/>
      <c r="H253" s="80"/>
      <c r="I253" s="80">
        <v>213</v>
      </c>
      <c r="J253" s="94"/>
      <c r="K253" s="28"/>
      <c r="L253" s="21"/>
    </row>
    <row r="254" spans="1:12" ht="14.85" hidden="1" customHeight="1" x14ac:dyDescent="0.25">
      <c r="A254" s="1815"/>
      <c r="B254" s="1684"/>
      <c r="C254" s="1403"/>
      <c r="D254" s="28" t="s">
        <v>257</v>
      </c>
      <c r="E254" s="94"/>
      <c r="F254" s="80">
        <v>455</v>
      </c>
      <c r="G254" s="80"/>
      <c r="H254" s="80"/>
      <c r="I254" s="80">
        <v>162</v>
      </c>
      <c r="J254" s="94"/>
      <c r="K254" s="28"/>
      <c r="L254" s="21"/>
    </row>
    <row r="255" spans="1:12" hidden="1" x14ac:dyDescent="0.25">
      <c r="A255" s="1815"/>
      <c r="B255" s="1684"/>
      <c r="C255" s="1403"/>
      <c r="D255" s="28" t="s">
        <v>263</v>
      </c>
      <c r="E255" s="94"/>
      <c r="F255" s="80">
        <v>165</v>
      </c>
      <c r="G255" s="80"/>
      <c r="H255" s="80"/>
      <c r="I255" s="80">
        <v>51</v>
      </c>
      <c r="J255" s="94"/>
      <c r="K255" s="28"/>
      <c r="L255" s="21"/>
    </row>
    <row r="256" spans="1:12" hidden="1" x14ac:dyDescent="0.25">
      <c r="A256" s="1815"/>
      <c r="B256" s="1684"/>
      <c r="C256" s="1403"/>
      <c r="D256" s="28" t="s">
        <v>357</v>
      </c>
      <c r="E256" s="94"/>
      <c r="F256" s="97">
        <f>(F255/F253)*100</f>
        <v>26.612903225806448</v>
      </c>
      <c r="G256" s="94"/>
      <c r="H256" s="94"/>
      <c r="I256" s="97">
        <f>I255/I253*100</f>
        <v>23.943661971830984</v>
      </c>
      <c r="J256" s="94"/>
      <c r="K256" s="28"/>
      <c r="L256" s="21"/>
    </row>
    <row r="257" spans="1:12" hidden="1" x14ac:dyDescent="0.25">
      <c r="A257" s="1815"/>
      <c r="B257" s="1684"/>
      <c r="C257" s="1403" t="s">
        <v>405</v>
      </c>
      <c r="D257" s="144" t="s">
        <v>251</v>
      </c>
      <c r="E257" s="94"/>
      <c r="F257" s="80">
        <v>340</v>
      </c>
      <c r="G257" s="80"/>
      <c r="H257" s="80"/>
      <c r="I257" s="80">
        <v>165</v>
      </c>
      <c r="J257" s="94"/>
      <c r="K257" s="28"/>
      <c r="L257" s="21"/>
    </row>
    <row r="258" spans="1:12" hidden="1" x14ac:dyDescent="0.25">
      <c r="A258" s="1815"/>
      <c r="B258" s="1684"/>
      <c r="C258" s="1403"/>
      <c r="D258" s="28" t="s">
        <v>257</v>
      </c>
      <c r="E258" s="94"/>
      <c r="F258" s="80">
        <v>200</v>
      </c>
      <c r="G258" s="80"/>
      <c r="H258" s="80"/>
      <c r="I258" s="80">
        <v>105</v>
      </c>
      <c r="J258" s="94"/>
      <c r="K258" s="28"/>
      <c r="L258" s="21"/>
    </row>
    <row r="259" spans="1:12" hidden="1" x14ac:dyDescent="0.25">
      <c r="A259" s="1815"/>
      <c r="B259" s="1684"/>
      <c r="C259" s="1403"/>
      <c r="D259" s="28" t="s">
        <v>263</v>
      </c>
      <c r="E259" s="94"/>
      <c r="F259" s="80">
        <v>140</v>
      </c>
      <c r="G259" s="80"/>
      <c r="H259" s="80"/>
      <c r="I259" s="80">
        <v>63</v>
      </c>
      <c r="J259" s="94"/>
      <c r="K259" s="28"/>
      <c r="L259" s="21"/>
    </row>
    <row r="260" spans="1:12" hidden="1" x14ac:dyDescent="0.25">
      <c r="A260" s="1815"/>
      <c r="B260" s="1684"/>
      <c r="C260" s="1403"/>
      <c r="D260" s="28" t="s">
        <v>357</v>
      </c>
      <c r="E260" s="94"/>
      <c r="F260" s="98">
        <f>(F259/F257)*100</f>
        <v>41.17647058823529</v>
      </c>
      <c r="G260" s="94"/>
      <c r="H260" s="94"/>
      <c r="I260" s="97">
        <f>I259/I257*100</f>
        <v>38.181818181818187</v>
      </c>
      <c r="J260" s="94"/>
      <c r="K260" s="28"/>
      <c r="L260" s="21"/>
    </row>
    <row r="261" spans="1:12" hidden="1" x14ac:dyDescent="0.25">
      <c r="A261" s="1815"/>
      <c r="B261" s="1684"/>
      <c r="C261" s="1403" t="s">
        <v>406</v>
      </c>
      <c r="D261" s="144" t="s">
        <v>251</v>
      </c>
      <c r="E261" s="94"/>
      <c r="F261" s="80">
        <v>355</v>
      </c>
      <c r="G261" s="80"/>
      <c r="H261" s="80"/>
      <c r="I261" s="80">
        <v>303</v>
      </c>
      <c r="J261" s="94"/>
      <c r="K261" s="28"/>
      <c r="L261" s="21"/>
    </row>
    <row r="262" spans="1:12" hidden="1" x14ac:dyDescent="0.25">
      <c r="A262" s="1815"/>
      <c r="B262" s="1684"/>
      <c r="C262" s="1403"/>
      <c r="D262" s="28" t="s">
        <v>257</v>
      </c>
      <c r="E262" s="94"/>
      <c r="F262" s="80">
        <v>255</v>
      </c>
      <c r="G262" s="80"/>
      <c r="H262" s="80"/>
      <c r="I262" s="80">
        <v>225</v>
      </c>
      <c r="J262" s="94"/>
      <c r="K262" s="28"/>
      <c r="L262" s="21"/>
    </row>
    <row r="263" spans="1:12" hidden="1" x14ac:dyDescent="0.25">
      <c r="A263" s="1815"/>
      <c r="B263" s="1684"/>
      <c r="C263" s="1403"/>
      <c r="D263" s="28" t="s">
        <v>263</v>
      </c>
      <c r="E263" s="94"/>
      <c r="F263" s="80">
        <v>105</v>
      </c>
      <c r="G263" s="80"/>
      <c r="H263" s="80"/>
      <c r="I263" s="80">
        <v>78</v>
      </c>
      <c r="J263" s="94"/>
      <c r="K263" s="28"/>
      <c r="L263" s="21"/>
    </row>
    <row r="264" spans="1:12" hidden="1" x14ac:dyDescent="0.25">
      <c r="A264" s="1815"/>
      <c r="B264" s="1684"/>
      <c r="C264" s="1403"/>
      <c r="D264" s="28" t="s">
        <v>357</v>
      </c>
      <c r="E264" s="94"/>
      <c r="F264" s="97">
        <f>(F263/F261)*100</f>
        <v>29.577464788732392</v>
      </c>
      <c r="G264" s="94"/>
      <c r="H264" s="94"/>
      <c r="I264" s="97">
        <f>I263/I261*100</f>
        <v>25.742574257425744</v>
      </c>
      <c r="J264" s="94"/>
      <c r="K264" s="28"/>
      <c r="L264" s="21"/>
    </row>
    <row r="265" spans="1:12" hidden="1" x14ac:dyDescent="0.25">
      <c r="A265" s="1815"/>
      <c r="B265" s="1684"/>
      <c r="C265" s="1403" t="s">
        <v>407</v>
      </c>
      <c r="D265" s="144" t="s">
        <v>251</v>
      </c>
      <c r="E265" s="94"/>
      <c r="F265" s="80">
        <v>645</v>
      </c>
      <c r="G265" s="80"/>
      <c r="H265" s="80"/>
      <c r="I265" s="80">
        <v>246</v>
      </c>
      <c r="J265" s="94"/>
      <c r="K265" s="28"/>
      <c r="L265" s="21"/>
    </row>
    <row r="266" spans="1:12" hidden="1" x14ac:dyDescent="0.25">
      <c r="A266" s="1815"/>
      <c r="B266" s="1684"/>
      <c r="C266" s="1403"/>
      <c r="D266" s="28" t="s">
        <v>257</v>
      </c>
      <c r="E266" s="94"/>
      <c r="F266" s="80">
        <v>430</v>
      </c>
      <c r="G266" s="80"/>
      <c r="H266" s="80"/>
      <c r="I266" s="80">
        <v>195</v>
      </c>
      <c r="J266" s="94"/>
      <c r="K266" s="28"/>
      <c r="L266" s="21"/>
    </row>
    <row r="267" spans="1:12" hidden="1" x14ac:dyDescent="0.25">
      <c r="A267" s="1815"/>
      <c r="B267" s="1684"/>
      <c r="C267" s="1403"/>
      <c r="D267" s="28" t="s">
        <v>263</v>
      </c>
      <c r="E267" s="94"/>
      <c r="F267" s="80">
        <v>215</v>
      </c>
      <c r="G267" s="80"/>
      <c r="H267" s="80"/>
      <c r="I267" s="80">
        <v>51</v>
      </c>
      <c r="J267" s="94"/>
      <c r="K267" s="28"/>
      <c r="L267" s="21"/>
    </row>
    <row r="268" spans="1:12" hidden="1" x14ac:dyDescent="0.25">
      <c r="A268" s="1815"/>
      <c r="B268" s="1684"/>
      <c r="C268" s="1403"/>
      <c r="D268" s="28" t="s">
        <v>357</v>
      </c>
      <c r="E268" s="94"/>
      <c r="F268" s="97">
        <f>(F267/F265)*100</f>
        <v>33.333333333333329</v>
      </c>
      <c r="G268" s="94"/>
      <c r="H268" s="94"/>
      <c r="I268" s="97">
        <f>I267/I265*100</f>
        <v>20.73170731707317</v>
      </c>
      <c r="J268" s="94"/>
      <c r="K268" s="28"/>
      <c r="L268" s="21"/>
    </row>
    <row r="269" spans="1:12" hidden="1" x14ac:dyDescent="0.25">
      <c r="A269" s="1815"/>
      <c r="B269" s="1684"/>
      <c r="C269" s="1403" t="s">
        <v>408</v>
      </c>
      <c r="D269" s="144" t="s">
        <v>251</v>
      </c>
      <c r="E269" s="94"/>
      <c r="F269" s="80">
        <v>115</v>
      </c>
      <c r="G269" s="80"/>
      <c r="H269" s="80"/>
      <c r="I269" s="80">
        <v>135</v>
      </c>
      <c r="J269" s="94"/>
      <c r="K269" s="28"/>
      <c r="L269" s="21"/>
    </row>
    <row r="270" spans="1:12" hidden="1" x14ac:dyDescent="0.25">
      <c r="A270" s="1815"/>
      <c r="B270" s="1684"/>
      <c r="C270" s="1403"/>
      <c r="D270" s="28" t="s">
        <v>257</v>
      </c>
      <c r="E270" s="94"/>
      <c r="F270" s="80">
        <v>100</v>
      </c>
      <c r="G270" s="80"/>
      <c r="H270" s="80"/>
      <c r="I270" s="80">
        <v>108</v>
      </c>
      <c r="J270" s="94"/>
      <c r="K270" s="28"/>
      <c r="L270" s="21"/>
    </row>
    <row r="271" spans="1:12" hidden="1" x14ac:dyDescent="0.25">
      <c r="A271" s="1815"/>
      <c r="B271" s="1684"/>
      <c r="C271" s="1403"/>
      <c r="D271" s="28" t="s">
        <v>263</v>
      </c>
      <c r="E271" s="94"/>
      <c r="F271" s="80">
        <v>15</v>
      </c>
      <c r="G271" s="80"/>
      <c r="H271" s="80"/>
      <c r="I271" s="80">
        <v>27</v>
      </c>
      <c r="J271" s="94"/>
      <c r="K271" s="28"/>
      <c r="L271" s="21"/>
    </row>
    <row r="272" spans="1:12" hidden="1" x14ac:dyDescent="0.25">
      <c r="A272" s="1815"/>
      <c r="B272" s="1684"/>
      <c r="C272" s="1403"/>
      <c r="D272" s="28" t="s">
        <v>357</v>
      </c>
      <c r="E272" s="94"/>
      <c r="F272" s="97">
        <f>(F271/F269)*100</f>
        <v>13.043478260869565</v>
      </c>
      <c r="G272" s="94"/>
      <c r="H272" s="94"/>
      <c r="I272" s="97">
        <f>I271/I269*100</f>
        <v>20</v>
      </c>
      <c r="J272" s="94"/>
      <c r="K272" s="28"/>
      <c r="L272" s="21"/>
    </row>
    <row r="273" spans="1:12" ht="14.85" hidden="1" customHeight="1" x14ac:dyDescent="0.25">
      <c r="A273" s="1815"/>
      <c r="B273" s="1684"/>
      <c r="C273" s="1403" t="s">
        <v>409</v>
      </c>
      <c r="D273" s="144" t="s">
        <v>251</v>
      </c>
      <c r="E273" s="94"/>
      <c r="F273" s="80">
        <v>145</v>
      </c>
      <c r="G273" s="80"/>
      <c r="H273" s="80"/>
      <c r="I273" s="80">
        <v>180</v>
      </c>
      <c r="J273" s="94"/>
      <c r="K273" s="28"/>
      <c r="L273" s="21"/>
    </row>
    <row r="274" spans="1:12" ht="14.85" hidden="1" customHeight="1" x14ac:dyDescent="0.25">
      <c r="A274" s="1815"/>
      <c r="B274" s="1684"/>
      <c r="C274" s="1403"/>
      <c r="D274" s="28" t="s">
        <v>257</v>
      </c>
      <c r="E274" s="94"/>
      <c r="F274" s="80">
        <v>120</v>
      </c>
      <c r="G274" s="80"/>
      <c r="H274" s="80"/>
      <c r="I274" s="80">
        <v>168</v>
      </c>
      <c r="J274" s="94"/>
      <c r="K274" s="28"/>
      <c r="L274" s="21"/>
    </row>
    <row r="275" spans="1:12" hidden="1" x14ac:dyDescent="0.25">
      <c r="A275" s="1815"/>
      <c r="B275" s="1684"/>
      <c r="C275" s="1403"/>
      <c r="D275" s="28" t="s">
        <v>263</v>
      </c>
      <c r="E275" s="94"/>
      <c r="F275" s="80">
        <v>25</v>
      </c>
      <c r="G275" s="80"/>
      <c r="H275" s="80"/>
      <c r="I275" s="80">
        <v>12</v>
      </c>
      <c r="J275" s="94"/>
      <c r="K275" s="28"/>
      <c r="L275" s="21"/>
    </row>
    <row r="276" spans="1:12" hidden="1" x14ac:dyDescent="0.25">
      <c r="A276" s="1815"/>
      <c r="B276" s="1684"/>
      <c r="C276" s="1403"/>
      <c r="D276" s="28" t="s">
        <v>357</v>
      </c>
      <c r="E276" s="94"/>
      <c r="F276" s="97">
        <f>(F275/F273)*100</f>
        <v>17.241379310344829</v>
      </c>
      <c r="G276" s="94"/>
      <c r="H276" s="94"/>
      <c r="I276" s="97">
        <f>I275/I273*100</f>
        <v>6.666666666666667</v>
      </c>
      <c r="J276" s="94"/>
      <c r="K276" s="28"/>
      <c r="L276" s="21"/>
    </row>
    <row r="277" spans="1:12" hidden="1" x14ac:dyDescent="0.25">
      <c r="A277" s="1815"/>
      <c r="B277" s="1684"/>
      <c r="C277" s="1403" t="s">
        <v>410</v>
      </c>
      <c r="D277" s="144" t="s">
        <v>251</v>
      </c>
      <c r="E277" s="94"/>
      <c r="F277" s="80">
        <v>2180</v>
      </c>
      <c r="G277" s="80"/>
      <c r="H277" s="80"/>
      <c r="I277" s="80">
        <v>2529</v>
      </c>
      <c r="J277" s="94"/>
      <c r="K277" s="28"/>
      <c r="L277" s="21"/>
    </row>
    <row r="278" spans="1:12" hidden="1" x14ac:dyDescent="0.25">
      <c r="A278" s="1815"/>
      <c r="B278" s="1684"/>
      <c r="C278" s="1403"/>
      <c r="D278" s="28" t="s">
        <v>257</v>
      </c>
      <c r="E278" s="94"/>
      <c r="F278" s="80">
        <v>1990</v>
      </c>
      <c r="G278" s="80"/>
      <c r="H278" s="80"/>
      <c r="I278" s="80">
        <v>2334</v>
      </c>
      <c r="J278" s="94"/>
      <c r="K278" s="28"/>
      <c r="L278" s="21"/>
    </row>
    <row r="279" spans="1:12" hidden="1" x14ac:dyDescent="0.25">
      <c r="A279" s="1815"/>
      <c r="B279" s="1684"/>
      <c r="C279" s="1403"/>
      <c r="D279" s="28" t="s">
        <v>263</v>
      </c>
      <c r="E279" s="94"/>
      <c r="F279" s="80">
        <v>190</v>
      </c>
      <c r="G279" s="80"/>
      <c r="H279" s="80"/>
      <c r="I279" s="80">
        <v>195</v>
      </c>
      <c r="J279" s="94"/>
      <c r="K279" s="28"/>
      <c r="L279" s="21"/>
    </row>
    <row r="280" spans="1:12" hidden="1" x14ac:dyDescent="0.25">
      <c r="A280" s="1815"/>
      <c r="B280" s="1684"/>
      <c r="C280" s="1403"/>
      <c r="D280" s="28" t="s">
        <v>357</v>
      </c>
      <c r="E280" s="94"/>
      <c r="F280" s="97">
        <f>(F279/F277)*100</f>
        <v>8.7155963302752291</v>
      </c>
      <c r="G280" s="94"/>
      <c r="H280" s="94"/>
      <c r="I280" s="97">
        <f>I279/I277*100</f>
        <v>7.71055753262159</v>
      </c>
      <c r="J280" s="94"/>
      <c r="K280" s="28"/>
      <c r="L280" s="21"/>
    </row>
    <row r="281" spans="1:12" hidden="1" x14ac:dyDescent="0.25">
      <c r="A281" s="1815"/>
      <c r="B281" s="1684"/>
      <c r="C281" s="1403" t="s">
        <v>411</v>
      </c>
      <c r="D281" s="144" t="s">
        <v>251</v>
      </c>
      <c r="E281" s="94"/>
      <c r="F281" s="80">
        <v>2960</v>
      </c>
      <c r="G281" s="80"/>
      <c r="H281" s="80"/>
      <c r="I281" s="80">
        <v>4200</v>
      </c>
      <c r="J281" s="94"/>
      <c r="K281" s="28"/>
      <c r="L281" s="21"/>
    </row>
    <row r="282" spans="1:12" hidden="1" x14ac:dyDescent="0.25">
      <c r="A282" s="1815"/>
      <c r="B282" s="1684"/>
      <c r="C282" s="1403"/>
      <c r="D282" s="28" t="s">
        <v>257</v>
      </c>
      <c r="E282" s="94"/>
      <c r="F282" s="80">
        <v>80</v>
      </c>
      <c r="G282" s="80"/>
      <c r="H282" s="80"/>
      <c r="I282" s="80">
        <v>177</v>
      </c>
      <c r="J282" s="94"/>
      <c r="K282" s="28"/>
      <c r="L282" s="21"/>
    </row>
    <row r="283" spans="1:12" hidden="1" x14ac:dyDescent="0.25">
      <c r="A283" s="1815"/>
      <c r="B283" s="1684"/>
      <c r="C283" s="1403"/>
      <c r="D283" s="28" t="s">
        <v>263</v>
      </c>
      <c r="E283" s="94"/>
      <c r="F283" s="80">
        <v>2880</v>
      </c>
      <c r="G283" s="80"/>
      <c r="H283" s="80"/>
      <c r="I283" s="80">
        <v>4023</v>
      </c>
      <c r="J283" s="94"/>
      <c r="K283" s="28"/>
      <c r="L283" s="21"/>
    </row>
    <row r="284" spans="1:12" hidden="1" x14ac:dyDescent="0.25">
      <c r="A284" s="1815"/>
      <c r="B284" s="1684"/>
      <c r="C284" s="1403"/>
      <c r="D284" s="28" t="s">
        <v>357</v>
      </c>
      <c r="E284" s="94"/>
      <c r="F284" s="99">
        <f>(F283/F281)*100</f>
        <v>97.297297297297305</v>
      </c>
      <c r="G284" s="94"/>
      <c r="H284" s="94"/>
      <c r="I284" s="99">
        <f>I283/I281*100</f>
        <v>95.785714285714292</v>
      </c>
      <c r="J284" s="94"/>
      <c r="K284" s="28"/>
      <c r="L284" s="21"/>
    </row>
    <row r="285" spans="1:12" hidden="1" x14ac:dyDescent="0.25">
      <c r="A285" s="1815"/>
      <c r="B285" s="1684"/>
      <c r="C285" s="1403" t="s">
        <v>412</v>
      </c>
      <c r="D285" s="144" t="s">
        <v>251</v>
      </c>
      <c r="E285" s="94"/>
      <c r="F285" s="80">
        <v>3050</v>
      </c>
      <c r="G285" s="80"/>
      <c r="H285" s="80"/>
      <c r="I285" s="80">
        <v>3669</v>
      </c>
      <c r="J285" s="94"/>
      <c r="K285" s="28"/>
      <c r="L285" s="21"/>
    </row>
    <row r="286" spans="1:12" hidden="1" x14ac:dyDescent="0.25">
      <c r="A286" s="1815"/>
      <c r="B286" s="1684"/>
      <c r="C286" s="1403"/>
      <c r="D286" s="28" t="s">
        <v>257</v>
      </c>
      <c r="E286" s="94"/>
      <c r="F286" s="80">
        <v>585</v>
      </c>
      <c r="G286" s="80"/>
      <c r="H286" s="80"/>
      <c r="I286" s="80">
        <v>804</v>
      </c>
      <c r="J286" s="94"/>
      <c r="K286" s="28"/>
      <c r="L286" s="21"/>
    </row>
    <row r="287" spans="1:12" hidden="1" x14ac:dyDescent="0.25">
      <c r="A287" s="1815"/>
      <c r="B287" s="1684"/>
      <c r="C287" s="1403"/>
      <c r="D287" s="28" t="s">
        <v>263</v>
      </c>
      <c r="E287" s="94"/>
      <c r="F287" s="80">
        <v>2465</v>
      </c>
      <c r="G287" s="80"/>
      <c r="H287" s="80"/>
      <c r="I287" s="80">
        <v>2865</v>
      </c>
      <c r="J287" s="94"/>
      <c r="K287" s="28"/>
      <c r="L287" s="21"/>
    </row>
    <row r="288" spans="1:12" hidden="1" x14ac:dyDescent="0.25">
      <c r="A288" s="1815"/>
      <c r="B288" s="1684"/>
      <c r="C288" s="1403"/>
      <c r="D288" s="28" t="s">
        <v>357</v>
      </c>
      <c r="E288" s="94"/>
      <c r="F288" s="99">
        <f>(F287/F285)*100</f>
        <v>80.819672131147541</v>
      </c>
      <c r="G288" s="94"/>
      <c r="H288" s="94"/>
      <c r="I288" s="99">
        <f>I287/I285*100</f>
        <v>78.086672117743248</v>
      </c>
      <c r="J288" s="94"/>
      <c r="K288" s="28"/>
      <c r="L288" s="21"/>
    </row>
    <row r="289" spans="1:12" hidden="1" x14ac:dyDescent="0.25">
      <c r="A289" s="1815"/>
      <c r="B289" s="1684"/>
      <c r="C289" s="1403" t="s">
        <v>413</v>
      </c>
      <c r="D289" s="144" t="s">
        <v>251</v>
      </c>
      <c r="E289" s="94"/>
      <c r="F289" s="80">
        <v>635</v>
      </c>
      <c r="G289" s="80"/>
      <c r="H289" s="80"/>
      <c r="I289" s="80">
        <v>474</v>
      </c>
      <c r="J289" s="94"/>
      <c r="K289" s="28"/>
      <c r="L289" s="21"/>
    </row>
    <row r="290" spans="1:12" ht="14.85" hidden="1" customHeight="1" x14ac:dyDescent="0.25">
      <c r="A290" s="1815"/>
      <c r="B290" s="1684"/>
      <c r="C290" s="1403"/>
      <c r="D290" s="28" t="s">
        <v>257</v>
      </c>
      <c r="E290" s="94"/>
      <c r="F290" s="80">
        <v>165</v>
      </c>
      <c r="G290" s="80"/>
      <c r="H290" s="80"/>
      <c r="I290" s="80">
        <v>249</v>
      </c>
      <c r="J290" s="94"/>
      <c r="K290" s="28"/>
      <c r="L290" s="21"/>
    </row>
    <row r="291" spans="1:12" hidden="1" x14ac:dyDescent="0.25">
      <c r="A291" s="1815"/>
      <c r="B291" s="1684"/>
      <c r="C291" s="1403"/>
      <c r="D291" s="28" t="s">
        <v>263</v>
      </c>
      <c r="E291" s="94"/>
      <c r="F291" s="80">
        <v>470</v>
      </c>
      <c r="G291" s="80"/>
      <c r="H291" s="80"/>
      <c r="I291" s="80">
        <v>228</v>
      </c>
      <c r="J291" s="94"/>
      <c r="K291" s="28"/>
      <c r="L291" s="21"/>
    </row>
    <row r="292" spans="1:12" hidden="1" x14ac:dyDescent="0.25">
      <c r="A292" s="1815"/>
      <c r="B292" s="1684"/>
      <c r="C292" s="1403"/>
      <c r="D292" s="28" t="s">
        <v>357</v>
      </c>
      <c r="E292" s="94"/>
      <c r="F292" s="99">
        <f>(F291/F289)*100</f>
        <v>74.015748031496059</v>
      </c>
      <c r="G292" s="94"/>
      <c r="H292" s="94"/>
      <c r="I292" s="98">
        <f>I291/I289*100</f>
        <v>48.101265822784811</v>
      </c>
      <c r="J292" s="94"/>
      <c r="K292" s="28"/>
      <c r="L292" s="21"/>
    </row>
    <row r="293" spans="1:12" ht="14.85" hidden="1" customHeight="1" x14ac:dyDescent="0.25">
      <c r="A293" s="1815"/>
      <c r="B293" s="1684"/>
      <c r="C293" s="1403" t="s">
        <v>414</v>
      </c>
      <c r="D293" s="144" t="s">
        <v>251</v>
      </c>
      <c r="E293" s="94"/>
      <c r="F293" s="80">
        <v>755</v>
      </c>
      <c r="G293" s="80"/>
      <c r="H293" s="80"/>
      <c r="I293" s="80">
        <v>876</v>
      </c>
      <c r="J293" s="94"/>
      <c r="K293" s="28"/>
      <c r="L293" s="21"/>
    </row>
    <row r="294" spans="1:12" ht="14.85" hidden="1" customHeight="1" x14ac:dyDescent="0.25">
      <c r="A294" s="1815"/>
      <c r="B294" s="1684"/>
      <c r="C294" s="1403"/>
      <c r="D294" s="28" t="s">
        <v>257</v>
      </c>
      <c r="E294" s="94"/>
      <c r="F294" s="80">
        <v>405</v>
      </c>
      <c r="G294" s="80"/>
      <c r="H294" s="80"/>
      <c r="I294" s="80">
        <v>609</v>
      </c>
      <c r="J294" s="94"/>
      <c r="K294" s="28"/>
      <c r="L294" s="21"/>
    </row>
    <row r="295" spans="1:12" hidden="1" x14ac:dyDescent="0.25">
      <c r="A295" s="1815"/>
      <c r="B295" s="1684"/>
      <c r="C295" s="1403"/>
      <c r="D295" s="28" t="s">
        <v>263</v>
      </c>
      <c r="E295" s="94"/>
      <c r="F295" s="80">
        <v>345</v>
      </c>
      <c r="G295" s="80"/>
      <c r="H295" s="80"/>
      <c r="I295" s="80">
        <v>267</v>
      </c>
      <c r="J295" s="94"/>
      <c r="K295" s="28"/>
      <c r="L295" s="21"/>
    </row>
    <row r="296" spans="1:12" hidden="1" x14ac:dyDescent="0.25">
      <c r="A296" s="1815"/>
      <c r="B296" s="1684"/>
      <c r="C296" s="1403"/>
      <c r="D296" s="28" t="s">
        <v>357</v>
      </c>
      <c r="E296" s="94"/>
      <c r="F296" s="98">
        <f>(F295/F293)*100</f>
        <v>45.695364238410598</v>
      </c>
      <c r="G296" s="94"/>
      <c r="H296" s="94"/>
      <c r="I296" s="97">
        <f>I295/I293*100</f>
        <v>30.479452054794521</v>
      </c>
      <c r="J296" s="94"/>
      <c r="K296" s="28"/>
      <c r="L296" s="21"/>
    </row>
    <row r="297" spans="1:12" hidden="1" x14ac:dyDescent="0.25">
      <c r="A297" s="1815"/>
      <c r="B297" s="1684"/>
      <c r="C297" s="1403" t="s">
        <v>415</v>
      </c>
      <c r="D297" s="144" t="s">
        <v>251</v>
      </c>
      <c r="E297" s="94"/>
      <c r="F297" s="80">
        <v>165</v>
      </c>
      <c r="G297" s="80"/>
      <c r="H297" s="80"/>
      <c r="I297" s="80">
        <v>120</v>
      </c>
      <c r="J297" s="94"/>
      <c r="K297" s="28"/>
      <c r="L297" s="21"/>
    </row>
    <row r="298" spans="1:12" hidden="1" x14ac:dyDescent="0.25">
      <c r="A298" s="1815"/>
      <c r="B298" s="1684"/>
      <c r="C298" s="1403"/>
      <c r="D298" s="28" t="s">
        <v>257</v>
      </c>
      <c r="E298" s="94"/>
      <c r="F298" s="80">
        <v>50</v>
      </c>
      <c r="G298" s="80"/>
      <c r="H298" s="80"/>
      <c r="I298" s="80">
        <v>102</v>
      </c>
      <c r="J298" s="94"/>
      <c r="K298" s="28"/>
      <c r="L298" s="21"/>
    </row>
    <row r="299" spans="1:12" hidden="1" x14ac:dyDescent="0.25">
      <c r="A299" s="1815"/>
      <c r="B299" s="1684"/>
      <c r="C299" s="1403"/>
      <c r="D299" s="28" t="s">
        <v>263</v>
      </c>
      <c r="E299" s="94"/>
      <c r="F299" s="80">
        <v>110</v>
      </c>
      <c r="G299" s="80"/>
      <c r="H299" s="80"/>
      <c r="I299" s="80">
        <v>18</v>
      </c>
      <c r="J299" s="94"/>
      <c r="K299" s="28"/>
      <c r="L299" s="21"/>
    </row>
    <row r="300" spans="1:12" hidden="1" x14ac:dyDescent="0.25">
      <c r="A300" s="1815"/>
      <c r="B300" s="1684"/>
      <c r="C300" s="1403"/>
      <c r="D300" s="28" t="s">
        <v>357</v>
      </c>
      <c r="E300" s="94"/>
      <c r="F300" s="99">
        <f>(F299/F297)*100</f>
        <v>66.666666666666657</v>
      </c>
      <c r="G300" s="94"/>
      <c r="H300" s="94"/>
      <c r="I300" s="97">
        <f>I299/I297*100</f>
        <v>15</v>
      </c>
      <c r="J300" s="94"/>
      <c r="K300" s="28"/>
      <c r="L300" s="21"/>
    </row>
    <row r="301" spans="1:12" hidden="1" x14ac:dyDescent="0.25">
      <c r="A301" s="1815"/>
      <c r="B301" s="1684"/>
      <c r="C301" s="1403" t="s">
        <v>416</v>
      </c>
      <c r="D301" s="144" t="s">
        <v>251</v>
      </c>
      <c r="E301" s="94"/>
      <c r="F301" s="80">
        <v>355</v>
      </c>
      <c r="G301" s="80"/>
      <c r="H301" s="80"/>
      <c r="I301" s="80">
        <v>186</v>
      </c>
      <c r="J301" s="94"/>
      <c r="K301" s="28"/>
      <c r="L301" s="21"/>
    </row>
    <row r="302" spans="1:12" hidden="1" x14ac:dyDescent="0.25">
      <c r="A302" s="1815"/>
      <c r="B302" s="1684"/>
      <c r="C302" s="1403"/>
      <c r="D302" s="28" t="s">
        <v>257</v>
      </c>
      <c r="E302" s="94"/>
      <c r="F302" s="80">
        <v>285</v>
      </c>
      <c r="G302" s="80"/>
      <c r="H302" s="80"/>
      <c r="I302" s="80">
        <v>180</v>
      </c>
      <c r="J302" s="94"/>
      <c r="K302" s="28"/>
      <c r="L302" s="21"/>
    </row>
    <row r="303" spans="1:12" hidden="1" x14ac:dyDescent="0.25">
      <c r="A303" s="1815"/>
      <c r="B303" s="1684"/>
      <c r="C303" s="1403"/>
      <c r="D303" s="28" t="s">
        <v>263</v>
      </c>
      <c r="E303" s="94"/>
      <c r="F303" s="80">
        <v>70</v>
      </c>
      <c r="G303" s="80"/>
      <c r="H303" s="80"/>
      <c r="I303" s="80">
        <v>12</v>
      </c>
      <c r="J303" s="94"/>
      <c r="K303" s="28"/>
      <c r="L303" s="21"/>
    </row>
    <row r="304" spans="1:12" hidden="1" x14ac:dyDescent="0.25">
      <c r="A304" s="1815"/>
      <c r="B304" s="1684"/>
      <c r="C304" s="1403"/>
      <c r="D304" s="28" t="s">
        <v>357</v>
      </c>
      <c r="E304" s="94"/>
      <c r="F304" s="97">
        <f>(F303/F301)*100</f>
        <v>19.718309859154928</v>
      </c>
      <c r="G304" s="94"/>
      <c r="H304" s="94"/>
      <c r="I304" s="97">
        <f>I303/I301*100</f>
        <v>6.4516129032258061</v>
      </c>
      <c r="J304" s="94"/>
      <c r="K304" s="28"/>
      <c r="L304" s="21"/>
    </row>
    <row r="305" spans="1:12" hidden="1" x14ac:dyDescent="0.25">
      <c r="A305" s="1815"/>
      <c r="B305" s="1684"/>
      <c r="C305" s="1403" t="s">
        <v>417</v>
      </c>
      <c r="D305" s="144" t="s">
        <v>251</v>
      </c>
      <c r="E305" s="94"/>
      <c r="F305" s="80">
        <v>215</v>
      </c>
      <c r="G305" s="80"/>
      <c r="H305" s="80"/>
      <c r="I305" s="80">
        <v>417</v>
      </c>
      <c r="J305" s="94"/>
      <c r="K305" s="28"/>
      <c r="L305" s="21"/>
    </row>
    <row r="306" spans="1:12" hidden="1" x14ac:dyDescent="0.25">
      <c r="A306" s="1815"/>
      <c r="B306" s="1684"/>
      <c r="C306" s="1403"/>
      <c r="D306" s="28" t="s">
        <v>257</v>
      </c>
      <c r="E306" s="94"/>
      <c r="F306" s="80">
        <v>135</v>
      </c>
      <c r="G306" s="80"/>
      <c r="H306" s="80"/>
      <c r="I306" s="80">
        <v>276</v>
      </c>
      <c r="J306" s="94"/>
      <c r="K306" s="28"/>
      <c r="L306" s="21"/>
    </row>
    <row r="307" spans="1:12" hidden="1" x14ac:dyDescent="0.25">
      <c r="A307" s="1815"/>
      <c r="B307" s="1684"/>
      <c r="C307" s="1403"/>
      <c r="D307" s="28" t="s">
        <v>263</v>
      </c>
      <c r="E307" s="94"/>
      <c r="F307" s="80">
        <v>85</v>
      </c>
      <c r="G307" s="80"/>
      <c r="H307" s="80"/>
      <c r="I307" s="80">
        <v>144</v>
      </c>
      <c r="J307" s="94"/>
      <c r="K307" s="28"/>
      <c r="L307" s="21"/>
    </row>
    <row r="308" spans="1:12" hidden="1" x14ac:dyDescent="0.25">
      <c r="A308" s="1815"/>
      <c r="B308" s="1684"/>
      <c r="C308" s="1403"/>
      <c r="D308" s="28" t="s">
        <v>357</v>
      </c>
      <c r="E308" s="94"/>
      <c r="F308" s="97">
        <f>(F307/F305)*100</f>
        <v>39.534883720930232</v>
      </c>
      <c r="G308" s="94"/>
      <c r="H308" s="94"/>
      <c r="I308" s="97">
        <f>I307/I305*100</f>
        <v>34.532374100719423</v>
      </c>
      <c r="J308" s="94"/>
      <c r="K308" s="28"/>
      <c r="L308" s="21"/>
    </row>
    <row r="309" spans="1:12" hidden="1" x14ac:dyDescent="0.25">
      <c r="A309" s="1815"/>
      <c r="B309" s="1684"/>
      <c r="C309" s="1403" t="s">
        <v>418</v>
      </c>
      <c r="D309" s="144" t="s">
        <v>251</v>
      </c>
      <c r="E309" s="94"/>
      <c r="F309" s="80">
        <v>625</v>
      </c>
      <c r="G309" s="80"/>
      <c r="H309" s="80"/>
      <c r="I309" s="80">
        <v>1149</v>
      </c>
      <c r="J309" s="94"/>
      <c r="K309" s="28"/>
      <c r="L309" s="21"/>
    </row>
    <row r="310" spans="1:12" hidden="1" x14ac:dyDescent="0.25">
      <c r="A310" s="1815"/>
      <c r="B310" s="1684"/>
      <c r="C310" s="1403"/>
      <c r="D310" s="28" t="s">
        <v>263</v>
      </c>
      <c r="E310" s="94"/>
      <c r="F310" s="80">
        <v>470</v>
      </c>
      <c r="G310" s="80"/>
      <c r="H310" s="80"/>
      <c r="I310" s="80">
        <v>921</v>
      </c>
      <c r="J310" s="94"/>
      <c r="K310" s="28"/>
      <c r="L310" s="21"/>
    </row>
    <row r="311" spans="1:12" ht="14.85" hidden="1" customHeight="1" x14ac:dyDescent="0.25">
      <c r="A311" s="1815"/>
      <c r="B311" s="1684"/>
      <c r="C311" s="1403"/>
      <c r="D311" s="28" t="s">
        <v>257</v>
      </c>
      <c r="E311" s="94"/>
      <c r="F311" s="80">
        <v>155</v>
      </c>
      <c r="G311" s="80"/>
      <c r="H311" s="80"/>
      <c r="I311" s="80">
        <v>228</v>
      </c>
      <c r="J311" s="94"/>
      <c r="K311" s="28"/>
      <c r="L311" s="21"/>
    </row>
    <row r="312" spans="1:12" hidden="1" x14ac:dyDescent="0.25">
      <c r="A312" s="1815"/>
      <c r="B312" s="1684"/>
      <c r="C312" s="1403"/>
      <c r="D312" s="28" t="s">
        <v>357</v>
      </c>
      <c r="E312" s="94"/>
      <c r="F312" s="97">
        <f>(F311/F309)*100</f>
        <v>24.8</v>
      </c>
      <c r="G312" s="94"/>
      <c r="H312" s="94"/>
      <c r="I312" s="97">
        <f>I311/I309*100</f>
        <v>19.843342036553523</v>
      </c>
      <c r="J312" s="94"/>
      <c r="K312" s="28"/>
      <c r="L312" s="21"/>
    </row>
    <row r="313" spans="1:12" x14ac:dyDescent="0.25">
      <c r="A313" s="1815"/>
      <c r="B313" s="1684"/>
      <c r="C313" s="1110" t="s">
        <v>419</v>
      </c>
      <c r="D313" s="1110"/>
      <c r="E313" s="92"/>
      <c r="F313" s="100">
        <f>32/61*100</f>
        <v>52.459016393442624</v>
      </c>
      <c r="G313" s="92"/>
      <c r="H313" s="92"/>
      <c r="I313" s="101">
        <f>31/61*100</f>
        <v>50.819672131147541</v>
      </c>
      <c r="J313" s="92"/>
      <c r="K313" s="28"/>
      <c r="L313" s="21"/>
    </row>
    <row r="314" spans="1:12" x14ac:dyDescent="0.25">
      <c r="A314" s="1815"/>
      <c r="B314" s="1684"/>
      <c r="C314" s="1110" t="s">
        <v>420</v>
      </c>
      <c r="D314" s="1110"/>
      <c r="E314" s="92"/>
      <c r="F314" s="102">
        <f>16/61*100</f>
        <v>26.229508196721312</v>
      </c>
      <c r="G314" s="92"/>
      <c r="H314" s="92"/>
      <c r="I314" s="102">
        <f>14/61*100</f>
        <v>22.950819672131146</v>
      </c>
      <c r="J314" s="92"/>
      <c r="K314" s="28"/>
      <c r="L314" s="21"/>
    </row>
    <row r="315" spans="1:12" x14ac:dyDescent="0.25">
      <c r="A315" s="1816"/>
      <c r="B315" s="1685"/>
      <c r="C315" s="1157" t="s">
        <v>421</v>
      </c>
      <c r="D315" s="1157"/>
      <c r="E315" s="128"/>
      <c r="F315" s="127">
        <f>13/61*100</f>
        <v>21.311475409836063</v>
      </c>
      <c r="G315" s="128"/>
      <c r="H315" s="128"/>
      <c r="I315" s="127">
        <f>16/61*100</f>
        <v>26.229508196721312</v>
      </c>
      <c r="J315" s="128"/>
      <c r="K315" s="110"/>
      <c r="L315" s="53"/>
    </row>
    <row r="316" spans="1:12" ht="16.5" thickBot="1" x14ac:dyDescent="0.3">
      <c r="A316" s="338" t="s">
        <v>248</v>
      </c>
      <c r="B316" s="463" t="s">
        <v>249</v>
      </c>
      <c r="C316" s="1422"/>
      <c r="D316" s="1422"/>
      <c r="E316" s="616">
        <v>2005</v>
      </c>
      <c r="F316" s="616">
        <v>2010</v>
      </c>
      <c r="G316" s="616">
        <v>2015</v>
      </c>
      <c r="H316" s="616">
        <v>2020</v>
      </c>
      <c r="I316" s="616">
        <v>2021</v>
      </c>
      <c r="J316" s="616">
        <v>2022</v>
      </c>
      <c r="K316" s="616">
        <v>2023</v>
      </c>
      <c r="L316" s="616">
        <v>2024</v>
      </c>
    </row>
    <row r="317" spans="1:12" ht="14.85" customHeight="1" x14ac:dyDescent="0.25">
      <c r="A317" s="1864" t="s">
        <v>422</v>
      </c>
      <c r="B317" s="1408" t="s">
        <v>164</v>
      </c>
      <c r="C317" s="1520" t="s">
        <v>424</v>
      </c>
      <c r="D317" s="1520"/>
      <c r="E317" s="36"/>
      <c r="F317" s="37">
        <v>956.12</v>
      </c>
      <c r="G317" s="37">
        <v>1082.7</v>
      </c>
      <c r="H317" s="37">
        <v>1221</v>
      </c>
      <c r="I317" s="37">
        <v>1254</v>
      </c>
      <c r="J317" s="37">
        <v>1280</v>
      </c>
      <c r="K317" s="37">
        <v>1446</v>
      </c>
      <c r="L317" s="903">
        <v>1461</v>
      </c>
    </row>
    <row r="318" spans="1:12" x14ac:dyDescent="0.25">
      <c r="A318" s="1865"/>
      <c r="B318" s="1272"/>
      <c r="C318" s="1331" t="s">
        <v>425</v>
      </c>
      <c r="D318" s="1331"/>
      <c r="E318" s="28"/>
      <c r="F318" s="29">
        <v>1262.75</v>
      </c>
      <c r="G318" s="29">
        <v>1398.7</v>
      </c>
      <c r="H318" s="29">
        <v>1524</v>
      </c>
      <c r="I318" s="29">
        <v>1567</v>
      </c>
      <c r="J318" s="29">
        <v>1595</v>
      </c>
      <c r="K318" s="29">
        <v>1788</v>
      </c>
      <c r="L318" s="39">
        <v>1799</v>
      </c>
    </row>
    <row r="319" spans="1:12" x14ac:dyDescent="0.25">
      <c r="A319" s="1865"/>
      <c r="B319" s="1272"/>
      <c r="C319" s="1331" t="s">
        <v>426</v>
      </c>
      <c r="D319" s="1331"/>
      <c r="E319" s="28"/>
      <c r="F319" s="29">
        <v>729.87</v>
      </c>
      <c r="G319" s="29">
        <v>851.54</v>
      </c>
      <c r="H319" s="29">
        <v>1000</v>
      </c>
      <c r="I319" s="29">
        <v>1035</v>
      </c>
      <c r="J319" s="29">
        <v>1063</v>
      </c>
      <c r="K319" s="29">
        <v>1209</v>
      </c>
      <c r="L319" s="39">
        <v>1228</v>
      </c>
    </row>
    <row r="320" spans="1:12" x14ac:dyDescent="0.25">
      <c r="A320" s="1865"/>
      <c r="B320" s="1272"/>
      <c r="C320" s="1333" t="s">
        <v>427</v>
      </c>
      <c r="D320" s="1333"/>
      <c r="E320" s="28"/>
      <c r="F320" s="31">
        <f t="shared" ref="F320:L320" si="17">+F319-F318</f>
        <v>-532.88</v>
      </c>
      <c r="G320" s="31">
        <f t="shared" si="17"/>
        <v>-547.16000000000008</v>
      </c>
      <c r="H320" s="31">
        <f t="shared" si="17"/>
        <v>-524</v>
      </c>
      <c r="I320" s="31">
        <f t="shared" si="17"/>
        <v>-532</v>
      </c>
      <c r="J320" s="31">
        <f t="shared" si="17"/>
        <v>-532</v>
      </c>
      <c r="K320" s="31">
        <f t="shared" si="17"/>
        <v>-579</v>
      </c>
      <c r="L320" s="32">
        <f t="shared" si="17"/>
        <v>-571</v>
      </c>
    </row>
    <row r="321" spans="1:12" ht="16.5" thickBot="1" x14ac:dyDescent="0.3">
      <c r="A321" s="1865"/>
      <c r="B321" s="1409"/>
      <c r="C321" s="1335" t="s">
        <v>428</v>
      </c>
      <c r="D321" s="1335"/>
      <c r="E321" s="33"/>
      <c r="F321" s="34">
        <f t="shared" ref="F321:L321" si="18">(F319-F318)/F318*100</f>
        <v>-42.199960403880418</v>
      </c>
      <c r="G321" s="34">
        <f t="shared" si="18"/>
        <v>-39.119182097662119</v>
      </c>
      <c r="H321" s="34">
        <f t="shared" si="18"/>
        <v>-34.383202099737531</v>
      </c>
      <c r="I321" s="34">
        <f t="shared" si="18"/>
        <v>-33.950223356732614</v>
      </c>
      <c r="J321" s="34">
        <f t="shared" si="18"/>
        <v>-33.354231974921625</v>
      </c>
      <c r="K321" s="34">
        <f t="shared" si="18"/>
        <v>-32.382550335570471</v>
      </c>
      <c r="L321" s="35">
        <f t="shared" si="18"/>
        <v>-31.739855475264033</v>
      </c>
    </row>
    <row r="322" spans="1:12" ht="15" customHeight="1" x14ac:dyDescent="0.25">
      <c r="A322" s="1865"/>
      <c r="B322" s="1408" t="s">
        <v>429</v>
      </c>
      <c r="C322" s="1147" t="s">
        <v>430</v>
      </c>
      <c r="D322" s="1147"/>
      <c r="E322" s="36"/>
      <c r="F322" s="40"/>
      <c r="G322" s="37">
        <v>40.717858193586345</v>
      </c>
      <c r="H322" s="37">
        <v>39.369722557297948</v>
      </c>
      <c r="I322" s="37">
        <v>42.679416952929159</v>
      </c>
      <c r="J322" s="37">
        <v>49.615732368896929</v>
      </c>
      <c r="K322" s="37">
        <v>48.490351872871734</v>
      </c>
      <c r="L322" s="20">
        <v>50.9</v>
      </c>
    </row>
    <row r="323" spans="1:12" x14ac:dyDescent="0.25">
      <c r="A323" s="1865"/>
      <c r="B323" s="1272"/>
      <c r="C323" s="1124" t="s">
        <v>431</v>
      </c>
      <c r="D323" s="1124"/>
      <c r="E323" s="28"/>
      <c r="F323" s="28"/>
      <c r="G323" s="29">
        <v>43.699476937708035</v>
      </c>
      <c r="H323" s="29">
        <v>41.742255690569912</v>
      </c>
      <c r="I323" s="29">
        <v>45.927358693316137</v>
      </c>
      <c r="J323" s="29">
        <v>53.111924686192467</v>
      </c>
      <c r="K323" s="29">
        <v>51.90246516613076</v>
      </c>
      <c r="L323" s="21">
        <v>54</v>
      </c>
    </row>
    <row r="324" spans="1:12" x14ac:dyDescent="0.25">
      <c r="A324" s="1865"/>
      <c r="B324" s="1272"/>
      <c r="C324" s="1124" t="s">
        <v>432</v>
      </c>
      <c r="D324" s="1124"/>
      <c r="E324" s="28"/>
      <c r="F324" s="28"/>
      <c r="G324" s="29">
        <v>38.136407300672431</v>
      </c>
      <c r="H324" s="29">
        <v>37.501684409109288</v>
      </c>
      <c r="I324" s="29">
        <v>40.209218698921219</v>
      </c>
      <c r="J324" s="29">
        <v>46.954617834394909</v>
      </c>
      <c r="K324" s="29">
        <v>45.982670342654586</v>
      </c>
      <c r="L324" s="21">
        <v>48.6</v>
      </c>
    </row>
    <row r="325" spans="1:12" ht="16.5" thickBot="1" x14ac:dyDescent="0.3">
      <c r="A325" s="1865"/>
      <c r="B325" s="1409"/>
      <c r="C325" s="1225" t="s">
        <v>354</v>
      </c>
      <c r="D325" s="1225"/>
      <c r="E325" s="33"/>
      <c r="F325" s="33"/>
      <c r="G325" s="34">
        <f t="shared" ref="G325:L325" si="19">+G324-G323</f>
        <v>-5.5630696370356034</v>
      </c>
      <c r="H325" s="34">
        <f t="shared" si="19"/>
        <v>-4.2405712814606247</v>
      </c>
      <c r="I325" s="34">
        <f t="shared" si="19"/>
        <v>-5.7181399943949174</v>
      </c>
      <c r="J325" s="34">
        <f t="shared" si="19"/>
        <v>-6.1573068517975571</v>
      </c>
      <c r="K325" s="34">
        <f t="shared" si="19"/>
        <v>-5.9197948234761739</v>
      </c>
      <c r="L325" s="35">
        <f t="shared" si="19"/>
        <v>-5.3999999999999986</v>
      </c>
    </row>
    <row r="326" spans="1:12" x14ac:dyDescent="0.25">
      <c r="A326" s="1865"/>
      <c r="B326" s="1408" t="s">
        <v>521</v>
      </c>
      <c r="C326" s="1317" t="s">
        <v>434</v>
      </c>
      <c r="D326" s="146" t="s">
        <v>435</v>
      </c>
      <c r="E326" s="36"/>
      <c r="F326" s="36"/>
      <c r="G326" s="40"/>
      <c r="H326" s="40"/>
      <c r="I326" s="40">
        <v>123</v>
      </c>
      <c r="J326" s="40">
        <v>63</v>
      </c>
      <c r="K326" s="40">
        <v>28</v>
      </c>
      <c r="L326" s="1061">
        <v>25</v>
      </c>
    </row>
    <row r="327" spans="1:12" x14ac:dyDescent="0.25">
      <c r="A327" s="1865"/>
      <c r="B327" s="1272"/>
      <c r="C327" s="1309"/>
      <c r="D327" s="147" t="s">
        <v>436</v>
      </c>
      <c r="E327" s="28"/>
      <c r="F327" s="28"/>
      <c r="G327" s="28"/>
      <c r="H327" s="28"/>
      <c r="I327" s="28">
        <v>52</v>
      </c>
      <c r="J327" s="28">
        <v>29</v>
      </c>
      <c r="K327" s="28">
        <v>10</v>
      </c>
      <c r="L327" s="1061">
        <v>8</v>
      </c>
    </row>
    <row r="328" spans="1:12" x14ac:dyDescent="0.25">
      <c r="A328" s="1865"/>
      <c r="B328" s="1272"/>
      <c r="C328" s="1309"/>
      <c r="D328" s="28" t="s">
        <v>437</v>
      </c>
      <c r="E328" s="28"/>
      <c r="F328" s="28"/>
      <c r="G328" s="28"/>
      <c r="H328" s="28"/>
      <c r="I328" s="28">
        <v>71</v>
      </c>
      <c r="J328" s="28">
        <v>34</v>
      </c>
      <c r="K328" s="28">
        <v>18</v>
      </c>
      <c r="L328" s="1061">
        <v>17</v>
      </c>
    </row>
    <row r="329" spans="1:12" x14ac:dyDescent="0.25">
      <c r="A329" s="1865"/>
      <c r="B329" s="1272"/>
      <c r="C329" s="1309"/>
      <c r="D329" s="148" t="s">
        <v>353</v>
      </c>
      <c r="E329" s="28"/>
      <c r="F329" s="28"/>
      <c r="G329" s="44"/>
      <c r="H329" s="44"/>
      <c r="I329" s="157">
        <f>I328-I327</f>
        <v>19</v>
      </c>
      <c r="J329" s="157">
        <f>J328-J327</f>
        <v>5</v>
      </c>
      <c r="K329" s="157">
        <f>K328-K327</f>
        <v>8</v>
      </c>
      <c r="L329" s="157">
        <f>L328-L327</f>
        <v>9</v>
      </c>
    </row>
    <row r="330" spans="1:12" x14ac:dyDescent="0.25">
      <c r="A330" s="1865"/>
      <c r="B330" s="1272"/>
      <c r="C330" s="1309"/>
      <c r="D330" s="148" t="s">
        <v>270</v>
      </c>
      <c r="E330" s="28"/>
      <c r="F330" s="28"/>
      <c r="G330" s="28"/>
      <c r="H330" s="44"/>
      <c r="I330" s="158">
        <f>I328/I326*100</f>
        <v>57.72357723577236</v>
      </c>
      <c r="J330" s="158">
        <f>J328/J326*100</f>
        <v>53.968253968253968</v>
      </c>
      <c r="K330" s="158">
        <f>K328/K326*100</f>
        <v>64.285714285714292</v>
      </c>
      <c r="L330" s="158">
        <f>L328/L326*100</f>
        <v>68</v>
      </c>
    </row>
    <row r="331" spans="1:12" x14ac:dyDescent="0.25">
      <c r="A331" s="1865"/>
      <c r="B331" s="1272"/>
      <c r="C331" s="1309" t="s">
        <v>438</v>
      </c>
      <c r="D331" s="149" t="s">
        <v>435</v>
      </c>
      <c r="E331" s="28"/>
      <c r="F331" s="28"/>
      <c r="G331" s="28"/>
      <c r="H331" s="28"/>
      <c r="I331" s="44">
        <v>323</v>
      </c>
      <c r="J331" s="44">
        <v>133</v>
      </c>
      <c r="K331" s="44">
        <v>47</v>
      </c>
      <c r="L331" s="1061">
        <v>68</v>
      </c>
    </row>
    <row r="332" spans="1:12" x14ac:dyDescent="0.25">
      <c r="A332" s="1865"/>
      <c r="B332" s="1272"/>
      <c r="C332" s="1309"/>
      <c r="D332" s="147" t="s">
        <v>436</v>
      </c>
      <c r="E332" s="28"/>
      <c r="F332" s="28"/>
      <c r="G332" s="28"/>
      <c r="H332" s="28"/>
      <c r="I332" s="28">
        <v>134</v>
      </c>
      <c r="J332" s="28">
        <v>56</v>
      </c>
      <c r="K332" s="28">
        <v>19</v>
      </c>
      <c r="L332" s="1061">
        <v>36</v>
      </c>
    </row>
    <row r="333" spans="1:12" x14ac:dyDescent="0.25">
      <c r="A333" s="1865"/>
      <c r="B333" s="1272"/>
      <c r="C333" s="1309"/>
      <c r="D333" s="28" t="s">
        <v>437</v>
      </c>
      <c r="E333" s="28"/>
      <c r="F333" s="28"/>
      <c r="G333" s="28"/>
      <c r="H333" s="28"/>
      <c r="I333" s="28">
        <v>189</v>
      </c>
      <c r="J333" s="28">
        <v>77</v>
      </c>
      <c r="K333" s="28">
        <v>28</v>
      </c>
      <c r="L333" s="1061">
        <v>32</v>
      </c>
    </row>
    <row r="334" spans="1:12" x14ac:dyDescent="0.25">
      <c r="A334" s="1865"/>
      <c r="B334" s="1272"/>
      <c r="C334" s="1309"/>
      <c r="D334" s="148" t="s">
        <v>353</v>
      </c>
      <c r="E334" s="28"/>
      <c r="F334" s="28"/>
      <c r="G334" s="28"/>
      <c r="H334" s="28"/>
      <c r="I334" s="157">
        <f>I333-I332</f>
        <v>55</v>
      </c>
      <c r="J334" s="157">
        <f>J333-J332</f>
        <v>21</v>
      </c>
      <c r="K334" s="157">
        <f>K333-K332</f>
        <v>9</v>
      </c>
      <c r="L334" s="157">
        <f>L333-L332</f>
        <v>-4</v>
      </c>
    </row>
    <row r="335" spans="1:12" ht="16.5" thickBot="1" x14ac:dyDescent="0.3">
      <c r="A335" s="1865"/>
      <c r="B335" s="1273"/>
      <c r="C335" s="1310"/>
      <c r="D335" s="150" t="s">
        <v>270</v>
      </c>
      <c r="E335" s="110"/>
      <c r="F335" s="110"/>
      <c r="G335" s="110"/>
      <c r="H335" s="110"/>
      <c r="I335" s="165">
        <f>I333/I331*100</f>
        <v>58.513931888544889</v>
      </c>
      <c r="J335" s="165">
        <f>J333/J331*100</f>
        <v>57.894736842105267</v>
      </c>
      <c r="K335" s="165">
        <f>K333/K331*100</f>
        <v>59.574468085106382</v>
      </c>
      <c r="L335" s="165">
        <f>L333/L331*100</f>
        <v>47.058823529411761</v>
      </c>
    </row>
    <row r="336" spans="1:12" s="64" customFormat="1" ht="15" customHeight="1" x14ac:dyDescent="0.25">
      <c r="A336" s="1865"/>
      <c r="B336" s="1408" t="s">
        <v>180</v>
      </c>
      <c r="C336" s="1147" t="s">
        <v>180</v>
      </c>
      <c r="D336" s="1147"/>
      <c r="E336" s="40"/>
      <c r="F336" s="40"/>
      <c r="G336" s="40"/>
      <c r="H336" s="195">
        <v>31278</v>
      </c>
      <c r="I336" s="195">
        <v>28617</v>
      </c>
      <c r="J336" s="195">
        <v>27509</v>
      </c>
      <c r="K336" s="195">
        <v>28327</v>
      </c>
      <c r="L336" s="325"/>
    </row>
    <row r="337" spans="1:14" x14ac:dyDescent="0.25">
      <c r="A337" s="1865"/>
      <c r="B337" s="1272"/>
      <c r="C337" s="1124" t="s">
        <v>436</v>
      </c>
      <c r="D337" s="1124"/>
      <c r="E337" s="28"/>
      <c r="F337" s="28"/>
      <c r="G337" s="28"/>
      <c r="H337" s="96">
        <v>11447</v>
      </c>
      <c r="I337" s="96">
        <v>10270</v>
      </c>
      <c r="J337" s="96">
        <v>9743</v>
      </c>
      <c r="K337" s="96">
        <v>10050</v>
      </c>
      <c r="L337" s="21"/>
    </row>
    <row r="338" spans="1:14" x14ac:dyDescent="0.25">
      <c r="A338" s="1865"/>
      <c r="B338" s="1272"/>
      <c r="C338" s="1124" t="s">
        <v>437</v>
      </c>
      <c r="D338" s="1124"/>
      <c r="E338" s="28"/>
      <c r="F338" s="28"/>
      <c r="G338" s="28"/>
      <c r="H338" s="96">
        <v>19831</v>
      </c>
      <c r="I338" s="96">
        <v>18347</v>
      </c>
      <c r="J338" s="96">
        <v>17766</v>
      </c>
      <c r="K338" s="96">
        <v>18277</v>
      </c>
      <c r="L338" s="21"/>
    </row>
    <row r="339" spans="1:14" x14ac:dyDescent="0.25">
      <c r="A339" s="1865"/>
      <c r="B339" s="1272"/>
      <c r="C339" s="1112" t="s">
        <v>353</v>
      </c>
      <c r="D339" s="1112"/>
      <c r="E339" s="28"/>
      <c r="F339" s="28"/>
      <c r="G339" s="28"/>
      <c r="H339" s="157">
        <f>H338-H337</f>
        <v>8384</v>
      </c>
      <c r="I339" s="157">
        <f>I338-I337</f>
        <v>8077</v>
      </c>
      <c r="J339" s="157">
        <f>J338-J337</f>
        <v>8023</v>
      </c>
      <c r="K339" s="157">
        <f>K338-K337</f>
        <v>8227</v>
      </c>
      <c r="L339" s="21"/>
    </row>
    <row r="340" spans="1:14" x14ac:dyDescent="0.25">
      <c r="A340" s="1866"/>
      <c r="B340" s="1273"/>
      <c r="C340" s="1178" t="s">
        <v>270</v>
      </c>
      <c r="D340" s="1178"/>
      <c r="E340" s="110"/>
      <c r="F340" s="110"/>
      <c r="G340" s="110"/>
      <c r="H340" s="165">
        <f>H338/H336*100</f>
        <v>63.402391457254303</v>
      </c>
      <c r="I340" s="165">
        <f>I338/I336*100</f>
        <v>64.112240975643857</v>
      </c>
      <c r="J340" s="165">
        <f>J338/J336*100</f>
        <v>64.582500272638043</v>
      </c>
      <c r="K340" s="165">
        <f>K338/K336*100</f>
        <v>64.521481272284404</v>
      </c>
      <c r="L340" s="53"/>
    </row>
    <row r="341" spans="1:14" ht="16.5" thickBot="1" x14ac:dyDescent="0.3">
      <c r="A341" s="338" t="s">
        <v>248</v>
      </c>
      <c r="B341" s="463" t="s">
        <v>249</v>
      </c>
      <c r="C341" s="1422"/>
      <c r="D341" s="1422"/>
      <c r="E341" s="616">
        <v>2005</v>
      </c>
      <c r="F341" s="616">
        <v>2010</v>
      </c>
      <c r="G341" s="616">
        <v>2015</v>
      </c>
      <c r="H341" s="616">
        <v>2020</v>
      </c>
      <c r="I341" s="616">
        <v>2021</v>
      </c>
      <c r="J341" s="616">
        <v>2022</v>
      </c>
      <c r="K341" s="616">
        <v>2023</v>
      </c>
      <c r="L341" s="616">
        <v>2024</v>
      </c>
    </row>
    <row r="342" spans="1:14" x14ac:dyDescent="0.25">
      <c r="A342" s="1732" t="s">
        <v>439</v>
      </c>
      <c r="B342" s="1612" t="s">
        <v>440</v>
      </c>
      <c r="C342" s="1250" t="s">
        <v>251</v>
      </c>
      <c r="D342" s="1250"/>
      <c r="E342" s="585">
        <v>82.5</v>
      </c>
      <c r="F342" s="586">
        <v>84.2</v>
      </c>
      <c r="G342" s="586">
        <v>84.8</v>
      </c>
      <c r="H342" s="586">
        <v>82.9</v>
      </c>
      <c r="I342" s="586">
        <v>85.3</v>
      </c>
      <c r="J342" s="587">
        <v>85.973303363359904</v>
      </c>
      <c r="K342" s="453">
        <v>86.9</v>
      </c>
      <c r="L342" s="108"/>
      <c r="M342" s="326"/>
      <c r="N342" s="326"/>
    </row>
    <row r="343" spans="1:14" x14ac:dyDescent="0.25">
      <c r="A343" s="1733"/>
      <c r="B343" s="1613"/>
      <c r="C343" s="1236" t="s">
        <v>257</v>
      </c>
      <c r="D343" s="1236"/>
      <c r="E343" s="580">
        <v>79</v>
      </c>
      <c r="F343" s="581">
        <v>80.8</v>
      </c>
      <c r="G343" s="581">
        <v>81.5</v>
      </c>
      <c r="H343" s="581">
        <v>79.8</v>
      </c>
      <c r="I343" s="581">
        <v>82.2</v>
      </c>
      <c r="J343" s="582">
        <v>83.223422395028322</v>
      </c>
      <c r="K343" s="403">
        <v>84.7</v>
      </c>
      <c r="L343" s="21"/>
    </row>
    <row r="344" spans="1:14" x14ac:dyDescent="0.25">
      <c r="A344" s="1733"/>
      <c r="B344" s="1613"/>
      <c r="C344" s="1236" t="s">
        <v>263</v>
      </c>
      <c r="D344" s="1236"/>
      <c r="E344" s="580">
        <v>85.3</v>
      </c>
      <c r="F344" s="581">
        <v>86.9</v>
      </c>
      <c r="G344" s="581">
        <v>87.4</v>
      </c>
      <c r="H344" s="581">
        <v>85.5</v>
      </c>
      <c r="I344" s="581">
        <v>87.7</v>
      </c>
      <c r="J344" s="582">
        <v>88.087872350654393</v>
      </c>
      <c r="K344" s="403">
        <v>88.5</v>
      </c>
      <c r="L344" s="21"/>
    </row>
    <row r="345" spans="1:14" ht="16.5" thickBot="1" x14ac:dyDescent="0.3">
      <c r="A345" s="1733"/>
      <c r="B345" s="1614"/>
      <c r="C345" s="1243" t="s">
        <v>441</v>
      </c>
      <c r="D345" s="1243"/>
      <c r="E345" s="588">
        <f t="shared" ref="E345:K345" si="20">+E344-E343</f>
        <v>6.2999999999999972</v>
      </c>
      <c r="F345" s="588">
        <f t="shared" si="20"/>
        <v>6.1000000000000085</v>
      </c>
      <c r="G345" s="588">
        <f t="shared" si="20"/>
        <v>5.9000000000000057</v>
      </c>
      <c r="H345" s="588">
        <f t="shared" si="20"/>
        <v>5.7000000000000028</v>
      </c>
      <c r="I345" s="588">
        <f t="shared" si="20"/>
        <v>5.5</v>
      </c>
      <c r="J345" s="589">
        <f t="shared" si="20"/>
        <v>4.8644499556260712</v>
      </c>
      <c r="K345" s="589">
        <f t="shared" si="20"/>
        <v>3.7999999999999972</v>
      </c>
      <c r="L345" s="22"/>
    </row>
    <row r="346" spans="1:14" x14ac:dyDescent="0.25">
      <c r="A346" s="1733"/>
      <c r="B346" s="1612" t="s">
        <v>192</v>
      </c>
      <c r="C346" s="1250" t="s">
        <v>251</v>
      </c>
      <c r="D346" s="1250"/>
      <c r="E346" s="585"/>
      <c r="F346" s="590"/>
      <c r="G346" s="591">
        <v>10747</v>
      </c>
      <c r="H346" s="591">
        <v>11948</v>
      </c>
      <c r="I346" s="591">
        <v>12067</v>
      </c>
      <c r="J346" s="547">
        <v>12479</v>
      </c>
      <c r="K346" s="195">
        <v>13279</v>
      </c>
      <c r="L346" s="20"/>
    </row>
    <row r="347" spans="1:14" x14ac:dyDescent="0.25">
      <c r="A347" s="1733"/>
      <c r="B347" s="1613"/>
      <c r="C347" s="1236" t="s">
        <v>257</v>
      </c>
      <c r="D347" s="1236"/>
      <c r="E347" s="580"/>
      <c r="F347" s="583"/>
      <c r="G347" s="584">
        <v>5083</v>
      </c>
      <c r="H347" s="584">
        <v>5617</v>
      </c>
      <c r="I347" s="584">
        <v>5620</v>
      </c>
      <c r="J347" s="404">
        <v>5824</v>
      </c>
      <c r="K347" s="96">
        <v>6159</v>
      </c>
      <c r="L347" s="21"/>
    </row>
    <row r="348" spans="1:14" x14ac:dyDescent="0.25">
      <c r="A348" s="1733"/>
      <c r="B348" s="1613"/>
      <c r="C348" s="1236" t="s">
        <v>263</v>
      </c>
      <c r="D348" s="1236"/>
      <c r="E348" s="580"/>
      <c r="F348" s="583"/>
      <c r="G348" s="584">
        <v>5664</v>
      </c>
      <c r="H348" s="584">
        <v>6331</v>
      </c>
      <c r="I348" s="584">
        <v>6447</v>
      </c>
      <c r="J348" s="404">
        <v>6655</v>
      </c>
      <c r="K348" s="96">
        <v>7120</v>
      </c>
      <c r="L348" s="21"/>
    </row>
    <row r="349" spans="1:14" x14ac:dyDescent="0.25">
      <c r="A349" s="1734"/>
      <c r="B349" s="1687"/>
      <c r="C349" s="1142" t="s">
        <v>270</v>
      </c>
      <c r="D349" s="1615"/>
      <c r="E349" s="592"/>
      <c r="F349" s="592"/>
      <c r="G349" s="525">
        <f>G348/G346*100</f>
        <v>52.703079929282595</v>
      </c>
      <c r="H349" s="525">
        <f>H348/H346*100</f>
        <v>52.987947773685974</v>
      </c>
      <c r="I349" s="525">
        <f>I348/I346*100</f>
        <v>53.426700919864089</v>
      </c>
      <c r="J349" s="525">
        <f>J348/J346*100</f>
        <v>53.329593717445313</v>
      </c>
      <c r="K349" s="525">
        <f>K348/K346*100</f>
        <v>53.618495368627151</v>
      </c>
      <c r="L349" s="53"/>
    </row>
    <row r="350" spans="1:14" ht="16.5" thickBot="1" x14ac:dyDescent="0.3">
      <c r="A350" s="338" t="s">
        <v>248</v>
      </c>
      <c r="B350" s="463" t="s">
        <v>249</v>
      </c>
      <c r="C350" s="1422"/>
      <c r="D350" s="1422"/>
      <c r="E350" s="616"/>
      <c r="F350" s="616" t="s">
        <v>443</v>
      </c>
      <c r="G350" s="616" t="s">
        <v>444</v>
      </c>
      <c r="H350" s="616" t="s">
        <v>445</v>
      </c>
      <c r="I350" s="616" t="s">
        <v>446</v>
      </c>
      <c r="J350" s="616" t="s">
        <v>447</v>
      </c>
      <c r="K350" s="616" t="s">
        <v>448</v>
      </c>
      <c r="L350" s="616" t="s">
        <v>449</v>
      </c>
    </row>
    <row r="351" spans="1:14" ht="15" customHeight="1" x14ac:dyDescent="0.25">
      <c r="A351" s="1801" t="s">
        <v>450</v>
      </c>
      <c r="B351" s="1244" t="s">
        <v>199</v>
      </c>
      <c r="C351" s="1347" t="s">
        <v>451</v>
      </c>
      <c r="D351" s="430" t="s">
        <v>435</v>
      </c>
      <c r="E351" s="225"/>
      <c r="F351" s="195">
        <v>13799</v>
      </c>
      <c r="G351" s="195">
        <v>11945</v>
      </c>
      <c r="H351" s="195">
        <v>11034</v>
      </c>
      <c r="I351" s="195">
        <v>10374</v>
      </c>
      <c r="J351" s="195">
        <v>10120</v>
      </c>
      <c r="K351" s="195">
        <v>10307</v>
      </c>
      <c r="L351" s="20"/>
    </row>
    <row r="352" spans="1:14" x14ac:dyDescent="0.25">
      <c r="A352" s="1802"/>
      <c r="B352" s="1245"/>
      <c r="C352" s="1348"/>
      <c r="D352" s="428" t="s">
        <v>436</v>
      </c>
      <c r="E352" s="96"/>
      <c r="F352" s="96">
        <v>7094</v>
      </c>
      <c r="G352" s="96">
        <v>6172</v>
      </c>
      <c r="H352" s="96">
        <v>5654</v>
      </c>
      <c r="I352" s="96">
        <v>5375</v>
      </c>
      <c r="J352" s="96">
        <v>5241</v>
      </c>
      <c r="K352" s="96">
        <v>5359</v>
      </c>
      <c r="L352" s="21"/>
    </row>
    <row r="353" spans="1:12" x14ac:dyDescent="0.25">
      <c r="A353" s="1802"/>
      <c r="B353" s="1245"/>
      <c r="C353" s="1348"/>
      <c r="D353" s="428" t="s">
        <v>437</v>
      </c>
      <c r="E353" s="96"/>
      <c r="F353" s="96">
        <v>6705</v>
      </c>
      <c r="G353" s="96">
        <v>5773</v>
      </c>
      <c r="H353" s="96">
        <v>5380</v>
      </c>
      <c r="I353" s="96">
        <v>4999</v>
      </c>
      <c r="J353" s="96">
        <v>4879</v>
      </c>
      <c r="K353" s="96">
        <v>4948</v>
      </c>
      <c r="L353" s="21"/>
    </row>
    <row r="354" spans="1:12" ht="15" customHeight="1" x14ac:dyDescent="0.25">
      <c r="A354" s="1802"/>
      <c r="B354" s="1245"/>
      <c r="C354" s="1348" t="s">
        <v>452</v>
      </c>
      <c r="D354" s="427" t="s">
        <v>435</v>
      </c>
      <c r="E354" s="157"/>
      <c r="F354" s="157">
        <f>F355+F356</f>
        <v>7658</v>
      </c>
      <c r="G354" s="157">
        <f t="shared" ref="G354:J354" si="21">G355+G356</f>
        <v>6809</v>
      </c>
      <c r="H354" s="157">
        <f t="shared" si="21"/>
        <v>6275</v>
      </c>
      <c r="I354" s="157">
        <f t="shared" si="21"/>
        <v>6111</v>
      </c>
      <c r="J354" s="157">
        <f t="shared" si="21"/>
        <v>6126</v>
      </c>
      <c r="K354" s="157">
        <f>SUM(K355:K356)</f>
        <v>6028</v>
      </c>
      <c r="L354" s="21"/>
    </row>
    <row r="355" spans="1:12" x14ac:dyDescent="0.25">
      <c r="A355" s="1802"/>
      <c r="B355" s="1245"/>
      <c r="C355" s="1348"/>
      <c r="D355" s="428" t="s">
        <v>436</v>
      </c>
      <c r="E355" s="96"/>
      <c r="F355" s="96">
        <v>3901</v>
      </c>
      <c r="G355" s="96">
        <v>3512</v>
      </c>
      <c r="H355" s="96">
        <v>3269</v>
      </c>
      <c r="I355" s="96">
        <v>3130</v>
      </c>
      <c r="J355" s="96">
        <v>3169</v>
      </c>
      <c r="K355" s="96">
        <v>3033</v>
      </c>
      <c r="L355" s="21"/>
    </row>
    <row r="356" spans="1:12" ht="16.5" thickBot="1" x14ac:dyDescent="0.3">
      <c r="A356" s="1802"/>
      <c r="B356" s="1245"/>
      <c r="C356" s="1349"/>
      <c r="D356" s="431" t="s">
        <v>437</v>
      </c>
      <c r="E356" s="190"/>
      <c r="F356" s="190">
        <v>3757</v>
      </c>
      <c r="G356" s="190">
        <v>3297</v>
      </c>
      <c r="H356" s="190">
        <v>3006</v>
      </c>
      <c r="I356" s="190">
        <v>2981</v>
      </c>
      <c r="J356" s="190">
        <v>2957</v>
      </c>
      <c r="K356" s="190">
        <v>2995</v>
      </c>
      <c r="L356" s="22"/>
    </row>
    <row r="357" spans="1:12" x14ac:dyDescent="0.25">
      <c r="A357" s="1802"/>
      <c r="B357" s="1245"/>
      <c r="C357" s="1352" t="s">
        <v>453</v>
      </c>
      <c r="D357" s="1250"/>
      <c r="E357" s="195"/>
      <c r="F357" s="37">
        <f>+(F354/F351)*100</f>
        <v>55.496775128632514</v>
      </c>
      <c r="G357" s="37">
        <f t="shared" ref="G357:J357" si="22">+(G354/G351)*100</f>
        <v>57.002930096274596</v>
      </c>
      <c r="H357" s="37">
        <f t="shared" si="22"/>
        <v>56.869675548305246</v>
      </c>
      <c r="I357" s="37">
        <f t="shared" si="22"/>
        <v>58.906882591093115</v>
      </c>
      <c r="J357" s="37">
        <f t="shared" si="22"/>
        <v>60.533596837944657</v>
      </c>
      <c r="K357" s="37">
        <f>+(K354/K351)*100</f>
        <v>58.484525080042694</v>
      </c>
      <c r="L357" s="20"/>
    </row>
    <row r="358" spans="1:12" x14ac:dyDescent="0.25">
      <c r="A358" s="1802"/>
      <c r="B358" s="1245"/>
      <c r="C358" s="1363" t="s">
        <v>454</v>
      </c>
      <c r="D358" s="1236"/>
      <c r="E358" s="96"/>
      <c r="F358" s="187">
        <f>F355/F352*100</f>
        <v>54.990132506343393</v>
      </c>
      <c r="G358" s="187">
        <f>G355/G352*100</f>
        <v>56.90213869086196</v>
      </c>
      <c r="H358" s="187">
        <f t="shared" ref="H358:I358" si="23">H355/H352*100</f>
        <v>57.817474354439334</v>
      </c>
      <c r="I358" s="187">
        <f t="shared" si="23"/>
        <v>58.232558139534888</v>
      </c>
      <c r="J358" s="187">
        <f>J355/J352*100</f>
        <v>60.465560007632135</v>
      </c>
      <c r="K358" s="187">
        <f>K355/K352*100</f>
        <v>56.596379921627168</v>
      </c>
      <c r="L358" s="21"/>
    </row>
    <row r="359" spans="1:12" x14ac:dyDescent="0.25">
      <c r="A359" s="1802"/>
      <c r="B359" s="1245"/>
      <c r="C359" s="1363" t="s">
        <v>455</v>
      </c>
      <c r="D359" s="1236"/>
      <c r="E359" s="28"/>
      <c r="F359" s="187">
        <f>F356/F353*100</f>
        <v>56.032811334824764</v>
      </c>
      <c r="G359" s="187">
        <f>G356/G353*100</f>
        <v>57.110687684046425</v>
      </c>
      <c r="H359" s="187">
        <f t="shared" ref="H359:I359" si="24">H356/H353*100</f>
        <v>55.873605947955383</v>
      </c>
      <c r="I359" s="187">
        <f t="shared" si="24"/>
        <v>59.631926385277055</v>
      </c>
      <c r="J359" s="187">
        <f>J356/J353*100</f>
        <v>60.606681697069078</v>
      </c>
      <c r="K359" s="187">
        <f>K356/K353*100</f>
        <v>60.529506871463212</v>
      </c>
      <c r="L359" s="21"/>
    </row>
    <row r="360" spans="1:12" ht="16.5" thickBot="1" x14ac:dyDescent="0.3">
      <c r="A360" s="1871"/>
      <c r="B360" s="1428"/>
      <c r="C360" s="1583" t="s">
        <v>354</v>
      </c>
      <c r="D360" s="1248"/>
      <c r="E360" s="203"/>
      <c r="F360" s="432">
        <f>+F359-F358</f>
        <v>1.0426788284813711</v>
      </c>
      <c r="G360" s="510">
        <f t="shared" ref="G360:I360" si="25">+G359-G358</f>
        <v>0.20854899318446485</v>
      </c>
      <c r="H360" s="231">
        <f t="shared" si="25"/>
        <v>-1.9438684064839507</v>
      </c>
      <c r="I360" s="510">
        <f t="shared" si="25"/>
        <v>1.399368245742167</v>
      </c>
      <c r="J360" s="510">
        <f>+J359-J358</f>
        <v>0.14112168943694314</v>
      </c>
      <c r="K360" s="510">
        <f>+K359-K358</f>
        <v>3.9331269498360442</v>
      </c>
      <c r="L360" s="22"/>
    </row>
    <row r="361" spans="1:12" ht="16.5" thickBot="1" x14ac:dyDescent="0.3">
      <c r="A361" s="338" t="s">
        <v>248</v>
      </c>
      <c r="B361" s="463" t="s">
        <v>249</v>
      </c>
      <c r="C361" s="1675"/>
      <c r="D361" s="1675"/>
      <c r="E361" s="112" t="s">
        <v>442</v>
      </c>
      <c r="F361" s="112" t="s">
        <v>443</v>
      </c>
      <c r="G361" s="112" t="s">
        <v>444</v>
      </c>
      <c r="H361" s="112" t="s">
        <v>445</v>
      </c>
      <c r="I361" s="112" t="s">
        <v>446</v>
      </c>
      <c r="J361" s="112" t="s">
        <v>447</v>
      </c>
      <c r="K361" s="112" t="s">
        <v>448</v>
      </c>
      <c r="L361" s="112" t="s">
        <v>449</v>
      </c>
    </row>
    <row r="362" spans="1:12" ht="15" customHeight="1" x14ac:dyDescent="0.25">
      <c r="A362" s="1892" t="s">
        <v>456</v>
      </c>
      <c r="B362" s="1744" t="s">
        <v>457</v>
      </c>
      <c r="C362" s="1347" t="s">
        <v>458</v>
      </c>
      <c r="D362" s="229" t="s">
        <v>459</v>
      </c>
      <c r="E362" s="225" t="s">
        <v>460</v>
      </c>
      <c r="F362" s="195">
        <v>3219</v>
      </c>
      <c r="G362" s="195">
        <v>2930</v>
      </c>
      <c r="H362" s="195">
        <v>3009</v>
      </c>
      <c r="I362" s="195">
        <v>2969</v>
      </c>
      <c r="J362" s="195">
        <v>2964</v>
      </c>
      <c r="K362" s="225">
        <v>3005</v>
      </c>
      <c r="L362" s="20"/>
    </row>
    <row r="363" spans="1:12" ht="14.1" customHeight="1" x14ac:dyDescent="0.25">
      <c r="A363" s="1776"/>
      <c r="B363" s="1678"/>
      <c r="C363" s="1348"/>
      <c r="D363" s="227" t="s">
        <v>436</v>
      </c>
      <c r="E363" s="96"/>
      <c r="F363" s="96">
        <v>1529</v>
      </c>
      <c r="G363" s="96">
        <v>1474</v>
      </c>
      <c r="H363" s="96">
        <v>1486</v>
      </c>
      <c r="I363" s="96">
        <v>1467</v>
      </c>
      <c r="J363" s="96">
        <v>1422</v>
      </c>
      <c r="K363" s="96">
        <v>1415</v>
      </c>
      <c r="L363" s="21"/>
    </row>
    <row r="364" spans="1:12" x14ac:dyDescent="0.25">
      <c r="A364" s="1776"/>
      <c r="B364" s="1678"/>
      <c r="C364" s="1348"/>
      <c r="D364" s="227" t="s">
        <v>437</v>
      </c>
      <c r="E364" s="96"/>
      <c r="F364" s="96">
        <v>1690</v>
      </c>
      <c r="G364" s="96">
        <v>1456</v>
      </c>
      <c r="H364" s="96">
        <v>1523</v>
      </c>
      <c r="I364" s="96">
        <v>1502</v>
      </c>
      <c r="J364" s="96">
        <v>1542</v>
      </c>
      <c r="K364" s="96">
        <v>1590</v>
      </c>
      <c r="L364" s="21"/>
    </row>
    <row r="365" spans="1:12" ht="15" customHeight="1" x14ac:dyDescent="0.25">
      <c r="A365" s="1776"/>
      <c r="B365" s="1678"/>
      <c r="C365" s="1348" t="s">
        <v>461</v>
      </c>
      <c r="D365" s="226" t="s">
        <v>459</v>
      </c>
      <c r="E365" s="157"/>
      <c r="F365" s="157">
        <v>1634</v>
      </c>
      <c r="G365" s="157">
        <f>766+758</f>
        <v>1524</v>
      </c>
      <c r="H365" s="157">
        <v>1650</v>
      </c>
      <c r="I365" s="157">
        <v>1573</v>
      </c>
      <c r="J365" s="157">
        <f>753+816</f>
        <v>1569</v>
      </c>
      <c r="K365" s="96">
        <v>1650</v>
      </c>
      <c r="L365" s="21"/>
    </row>
    <row r="366" spans="1:12" x14ac:dyDescent="0.25">
      <c r="A366" s="1776"/>
      <c r="B366" s="1678"/>
      <c r="C366" s="1348"/>
      <c r="D366" s="227" t="s">
        <v>436</v>
      </c>
      <c r="E366" s="96"/>
      <c r="F366" s="96">
        <v>892</v>
      </c>
      <c r="G366" s="96">
        <f>424+393</f>
        <v>817</v>
      </c>
      <c r="H366" s="96">
        <v>886</v>
      </c>
      <c r="I366" s="96">
        <v>845</v>
      </c>
      <c r="J366" s="96">
        <f>392+419</f>
        <v>811</v>
      </c>
      <c r="K366" s="96">
        <v>836</v>
      </c>
      <c r="L366" s="21"/>
    </row>
    <row r="367" spans="1:12" ht="16.5" thickBot="1" x14ac:dyDescent="0.3">
      <c r="A367" s="1776"/>
      <c r="B367" s="1678"/>
      <c r="C367" s="1349"/>
      <c r="D367" s="239" t="s">
        <v>437</v>
      </c>
      <c r="E367" s="190"/>
      <c r="F367" s="190">
        <v>742</v>
      </c>
      <c r="G367" s="190">
        <f>342+365</f>
        <v>707</v>
      </c>
      <c r="H367" s="190">
        <v>764</v>
      </c>
      <c r="I367" s="190">
        <v>728</v>
      </c>
      <c r="J367" s="190">
        <f>361+397</f>
        <v>758</v>
      </c>
      <c r="K367" s="190">
        <v>814</v>
      </c>
      <c r="L367" s="22"/>
    </row>
    <row r="368" spans="1:12" x14ac:dyDescent="0.25">
      <c r="A368" s="1776"/>
      <c r="B368" s="1893"/>
      <c r="C368" s="1186" t="s">
        <v>462</v>
      </c>
      <c r="D368" s="1186"/>
      <c r="E368" s="220"/>
      <c r="F368" s="240">
        <f>F366/F363*100</f>
        <v>58.338783518639637</v>
      </c>
      <c r="G368" s="240">
        <f>G366/G363*100</f>
        <v>55.42740841248304</v>
      </c>
      <c r="H368" s="240">
        <f t="shared" ref="H368:I369" si="26">H366/H363*100</f>
        <v>59.623149394347244</v>
      </c>
      <c r="I368" s="240">
        <f t="shared" si="26"/>
        <v>57.600545330606678</v>
      </c>
      <c r="J368" s="240">
        <f>J366/J363*100</f>
        <v>57.0323488045007</v>
      </c>
      <c r="K368" s="240">
        <f>K366/K363*100</f>
        <v>59.081272084805661</v>
      </c>
      <c r="L368" s="87"/>
    </row>
    <row r="369" spans="1:12" x14ac:dyDescent="0.25">
      <c r="A369" s="1776"/>
      <c r="B369" s="1893"/>
      <c r="C369" s="1124" t="s">
        <v>463</v>
      </c>
      <c r="D369" s="1124"/>
      <c r="E369" s="96"/>
      <c r="F369" s="29">
        <f>F367/F364*100</f>
        <v>43.905325443786978</v>
      </c>
      <c r="G369" s="29">
        <f>G367/G364*100</f>
        <v>48.557692307692307</v>
      </c>
      <c r="H369" s="29">
        <f t="shared" si="26"/>
        <v>50.164149704530537</v>
      </c>
      <c r="I369" s="29">
        <f t="shared" si="26"/>
        <v>48.46870838881491</v>
      </c>
      <c r="J369" s="29">
        <f>J367/J364*100</f>
        <v>49.156939040207519</v>
      </c>
      <c r="K369" s="29">
        <f>K367/K364*100</f>
        <v>51.19496855345912</v>
      </c>
      <c r="L369" s="21"/>
    </row>
    <row r="370" spans="1:12" ht="16.5" thickBot="1" x14ac:dyDescent="0.3">
      <c r="A370" s="1776"/>
      <c r="B370" s="1894"/>
      <c r="C370" s="1126" t="s">
        <v>354</v>
      </c>
      <c r="D370" s="1126"/>
      <c r="E370" s="33"/>
      <c r="F370" s="161">
        <f>+F369-F368</f>
        <v>-14.433458074852659</v>
      </c>
      <c r="G370" s="161">
        <f t="shared" ref="G370:I370" si="27">+G369-G368</f>
        <v>-6.8697161047907329</v>
      </c>
      <c r="H370" s="161">
        <f t="shared" si="27"/>
        <v>-9.4589996898167072</v>
      </c>
      <c r="I370" s="161">
        <f t="shared" si="27"/>
        <v>-9.131836941791768</v>
      </c>
      <c r="J370" s="161">
        <f>+J369-J368</f>
        <v>-7.8754097642931811</v>
      </c>
      <c r="K370" s="161">
        <f>+K369-K368</f>
        <v>-7.8863035313465417</v>
      </c>
      <c r="L370" s="22"/>
    </row>
    <row r="371" spans="1:12" ht="16.5" thickBot="1" x14ac:dyDescent="0.3">
      <c r="A371" s="1776"/>
      <c r="B371" s="463" t="s">
        <v>249</v>
      </c>
      <c r="C371" s="1422"/>
      <c r="D371" s="1422"/>
      <c r="E371" s="616" t="s">
        <v>442</v>
      </c>
      <c r="F371" s="616" t="s">
        <v>443</v>
      </c>
      <c r="G371" s="616" t="s">
        <v>444</v>
      </c>
      <c r="H371" s="616" t="s">
        <v>445</v>
      </c>
      <c r="I371" s="616" t="s">
        <v>446</v>
      </c>
      <c r="J371" s="616" t="s">
        <v>447</v>
      </c>
      <c r="K371" s="616" t="s">
        <v>448</v>
      </c>
      <c r="L371" s="616" t="s">
        <v>449</v>
      </c>
    </row>
    <row r="372" spans="1:12" ht="15" customHeight="1" x14ac:dyDescent="0.25">
      <c r="A372" s="1776"/>
      <c r="B372" s="1150" t="s">
        <v>464</v>
      </c>
      <c r="C372" s="1205" t="s">
        <v>459</v>
      </c>
      <c r="D372" s="1390"/>
      <c r="E372" s="36"/>
      <c r="F372" s="195">
        <v>723</v>
      </c>
      <c r="G372" s="195">
        <v>808</v>
      </c>
      <c r="H372" s="195">
        <v>987</v>
      </c>
      <c r="I372" s="195">
        <v>1045</v>
      </c>
      <c r="J372" s="195">
        <v>1095</v>
      </c>
      <c r="K372" s="195">
        <v>1228</v>
      </c>
      <c r="L372" s="20"/>
    </row>
    <row r="373" spans="1:12" x14ac:dyDescent="0.25">
      <c r="A373" s="1776"/>
      <c r="B373" s="1151"/>
      <c r="C373" s="1148" t="s">
        <v>436</v>
      </c>
      <c r="D373" s="1124"/>
      <c r="E373" s="96"/>
      <c r="F373" s="96">
        <v>397</v>
      </c>
      <c r="G373" s="96">
        <v>457</v>
      </c>
      <c r="H373" s="96">
        <v>583</v>
      </c>
      <c r="I373" s="96">
        <v>633</v>
      </c>
      <c r="J373" s="96">
        <v>657</v>
      </c>
      <c r="K373" s="96">
        <v>734</v>
      </c>
      <c r="L373" s="21"/>
    </row>
    <row r="374" spans="1:12" x14ac:dyDescent="0.25">
      <c r="A374" s="1776"/>
      <c r="B374" s="1151"/>
      <c r="C374" s="1148" t="s">
        <v>437</v>
      </c>
      <c r="D374" s="1124"/>
      <c r="E374" s="96"/>
      <c r="F374" s="96">
        <v>326</v>
      </c>
      <c r="G374" s="96">
        <v>351</v>
      </c>
      <c r="H374" s="96">
        <v>404</v>
      </c>
      <c r="I374" s="96">
        <v>412</v>
      </c>
      <c r="J374" s="96">
        <v>438</v>
      </c>
      <c r="K374" s="96">
        <v>494</v>
      </c>
      <c r="L374" s="21"/>
    </row>
    <row r="375" spans="1:12" ht="16.5" thickBot="1" x14ac:dyDescent="0.3">
      <c r="A375" s="1776"/>
      <c r="B375" s="1151"/>
      <c r="C375" s="1154" t="s">
        <v>270</v>
      </c>
      <c r="D375" s="1155"/>
      <c r="E375" s="190"/>
      <c r="F375" s="285">
        <f t="shared" ref="F375:J375" si="28">F374/F372*100</f>
        <v>45.089903181189491</v>
      </c>
      <c r="G375" s="285">
        <f t="shared" si="28"/>
        <v>43.440594059405939</v>
      </c>
      <c r="H375" s="285">
        <f t="shared" si="28"/>
        <v>40.932117527862211</v>
      </c>
      <c r="I375" s="285">
        <f t="shared" si="28"/>
        <v>39.425837320574161</v>
      </c>
      <c r="J375" s="285">
        <f t="shared" si="28"/>
        <v>40</v>
      </c>
      <c r="K375" s="285">
        <f>K374/K372*100</f>
        <v>40.22801302931596</v>
      </c>
      <c r="L375" s="22"/>
    </row>
    <row r="376" spans="1:12" x14ac:dyDescent="0.25">
      <c r="A376" s="1776"/>
      <c r="B376" s="1151"/>
      <c r="C376" s="1535" t="s">
        <v>466</v>
      </c>
      <c r="D376" s="241" t="s">
        <v>251</v>
      </c>
      <c r="E376" s="242"/>
      <c r="F376" s="243">
        <v>124</v>
      </c>
      <c r="G376" s="243">
        <v>98</v>
      </c>
      <c r="H376" s="243">
        <v>111</v>
      </c>
      <c r="I376" s="243">
        <v>122</v>
      </c>
      <c r="J376" s="243">
        <v>116</v>
      </c>
      <c r="K376" s="122">
        <v>118</v>
      </c>
      <c r="L376" s="87"/>
    </row>
    <row r="377" spans="1:12" x14ac:dyDescent="0.25">
      <c r="A377" s="1776"/>
      <c r="B377" s="1151"/>
      <c r="C377" s="1117"/>
      <c r="D377" s="28" t="s">
        <v>257</v>
      </c>
      <c r="E377" s="94"/>
      <c r="F377" s="96">
        <v>23</v>
      </c>
      <c r="G377" s="96">
        <v>34</v>
      </c>
      <c r="H377" s="96">
        <v>42</v>
      </c>
      <c r="I377" s="96">
        <v>50</v>
      </c>
      <c r="J377" s="96">
        <v>48</v>
      </c>
      <c r="K377" s="28">
        <v>53</v>
      </c>
      <c r="L377" s="21"/>
    </row>
    <row r="378" spans="1:12" x14ac:dyDescent="0.25">
      <c r="A378" s="1776"/>
      <c r="B378" s="1151"/>
      <c r="C378" s="1117"/>
      <c r="D378" s="28" t="s">
        <v>263</v>
      </c>
      <c r="E378" s="94"/>
      <c r="F378" s="96">
        <v>101</v>
      </c>
      <c r="G378" s="96">
        <v>64</v>
      </c>
      <c r="H378" s="96">
        <v>69</v>
      </c>
      <c r="I378" s="96">
        <v>72</v>
      </c>
      <c r="J378" s="96">
        <v>68</v>
      </c>
      <c r="K378" s="28">
        <v>65</v>
      </c>
      <c r="L378" s="21"/>
    </row>
    <row r="379" spans="1:12" ht="16.5" thickBot="1" x14ac:dyDescent="0.3">
      <c r="A379" s="1776"/>
      <c r="B379" s="1151"/>
      <c r="C379" s="1118"/>
      <c r="D379" s="203" t="s">
        <v>270</v>
      </c>
      <c r="E379" s="106"/>
      <c r="F379" s="251">
        <f>(F378/F376)*100</f>
        <v>81.451612903225808</v>
      </c>
      <c r="G379" s="251">
        <f t="shared" ref="G379:J379" si="29">(G378/G376)*100</f>
        <v>65.306122448979593</v>
      </c>
      <c r="H379" s="251">
        <f t="shared" si="29"/>
        <v>62.162162162162161</v>
      </c>
      <c r="I379" s="252">
        <f t="shared" si="29"/>
        <v>59.016393442622949</v>
      </c>
      <c r="J379" s="252">
        <f t="shared" si="29"/>
        <v>58.620689655172406</v>
      </c>
      <c r="K379" s="252">
        <f>(K378/K376)*100</f>
        <v>55.084745762711862</v>
      </c>
      <c r="L379" s="22"/>
    </row>
    <row r="380" spans="1:12" ht="14.85" customHeight="1" x14ac:dyDescent="0.25">
      <c r="A380" s="1776"/>
      <c r="B380" s="1151"/>
      <c r="C380" s="1116" t="s">
        <v>467</v>
      </c>
      <c r="D380" s="248" t="s">
        <v>251</v>
      </c>
      <c r="E380" s="249"/>
      <c r="F380" s="250">
        <v>142</v>
      </c>
      <c r="G380" s="250">
        <v>148</v>
      </c>
      <c r="H380" s="250">
        <v>201</v>
      </c>
      <c r="I380" s="250">
        <v>250</v>
      </c>
      <c r="J380" s="250">
        <v>262</v>
      </c>
      <c r="K380" s="250">
        <v>298</v>
      </c>
      <c r="L380" s="20"/>
    </row>
    <row r="381" spans="1:12" x14ac:dyDescent="0.25">
      <c r="A381" s="1776"/>
      <c r="B381" s="1151"/>
      <c r="C381" s="1117"/>
      <c r="D381" s="28" t="s">
        <v>257</v>
      </c>
      <c r="E381" s="94"/>
      <c r="F381" s="80">
        <v>128</v>
      </c>
      <c r="G381" s="80">
        <v>136</v>
      </c>
      <c r="H381" s="80">
        <v>183</v>
      </c>
      <c r="I381" s="80">
        <v>223</v>
      </c>
      <c r="J381" s="80">
        <v>237</v>
      </c>
      <c r="K381" s="80">
        <v>273</v>
      </c>
      <c r="L381" s="21"/>
    </row>
    <row r="382" spans="1:12" x14ac:dyDescent="0.25">
      <c r="A382" s="1776"/>
      <c r="B382" s="1151"/>
      <c r="C382" s="1117"/>
      <c r="D382" s="28" t="s">
        <v>263</v>
      </c>
      <c r="E382" s="94"/>
      <c r="F382" s="80">
        <v>14</v>
      </c>
      <c r="G382" s="80">
        <v>12</v>
      </c>
      <c r="H382" s="80">
        <v>18</v>
      </c>
      <c r="I382" s="80">
        <v>27</v>
      </c>
      <c r="J382" s="80">
        <v>25</v>
      </c>
      <c r="K382" s="80">
        <v>25</v>
      </c>
      <c r="L382" s="21"/>
    </row>
    <row r="383" spans="1:12" ht="16.5" thickBot="1" x14ac:dyDescent="0.3">
      <c r="A383" s="1776"/>
      <c r="B383" s="1151"/>
      <c r="C383" s="1274"/>
      <c r="D383" s="336" t="s">
        <v>270</v>
      </c>
      <c r="E383" s="128"/>
      <c r="F383" s="596">
        <f>(F382/F380)*100</f>
        <v>9.8591549295774641</v>
      </c>
      <c r="G383" s="596">
        <f t="shared" ref="G383:J383" si="30">(G382/G380)*100</f>
        <v>8.1081081081081088</v>
      </c>
      <c r="H383" s="596">
        <f t="shared" si="30"/>
        <v>8.9552238805970141</v>
      </c>
      <c r="I383" s="596">
        <f t="shared" si="30"/>
        <v>10.8</v>
      </c>
      <c r="J383" s="596">
        <f t="shared" si="30"/>
        <v>9.5419847328244281</v>
      </c>
      <c r="K383" s="596">
        <f>(K382/K380)*100</f>
        <v>8.3892617449664435</v>
      </c>
      <c r="L383" s="53"/>
    </row>
    <row r="384" spans="1:12" ht="14.85" customHeight="1" x14ac:dyDescent="0.25">
      <c r="A384" s="1776"/>
      <c r="B384" s="1151"/>
      <c r="C384" s="1116" t="s">
        <v>582</v>
      </c>
      <c r="D384" s="248" t="s">
        <v>251</v>
      </c>
      <c r="E384" s="249"/>
      <c r="F384" s="250">
        <v>117</v>
      </c>
      <c r="G384" s="250">
        <v>110</v>
      </c>
      <c r="H384" s="250">
        <v>101</v>
      </c>
      <c r="I384" s="250">
        <v>101</v>
      </c>
      <c r="J384" s="250">
        <v>89</v>
      </c>
      <c r="K384" s="36">
        <v>99</v>
      </c>
      <c r="L384" s="20"/>
    </row>
    <row r="385" spans="1:12" ht="14.85" customHeight="1" x14ac:dyDescent="0.25">
      <c r="A385" s="1776"/>
      <c r="B385" s="1151"/>
      <c r="C385" s="1117"/>
      <c r="D385" s="28" t="s">
        <v>257</v>
      </c>
      <c r="E385" s="94"/>
      <c r="F385" s="80">
        <v>112</v>
      </c>
      <c r="G385" s="80">
        <v>104</v>
      </c>
      <c r="H385" s="80">
        <v>95</v>
      </c>
      <c r="I385" s="80">
        <v>99</v>
      </c>
      <c r="J385" s="80">
        <v>86</v>
      </c>
      <c r="K385" s="28">
        <v>93</v>
      </c>
      <c r="L385" s="21"/>
    </row>
    <row r="386" spans="1:12" x14ac:dyDescent="0.25">
      <c r="A386" s="1776"/>
      <c r="B386" s="1151"/>
      <c r="C386" s="1117"/>
      <c r="D386" s="28" t="s">
        <v>263</v>
      </c>
      <c r="E386" s="94"/>
      <c r="F386" s="80">
        <v>5</v>
      </c>
      <c r="G386" s="80">
        <v>6</v>
      </c>
      <c r="H386" s="80">
        <v>6</v>
      </c>
      <c r="I386" s="80">
        <v>2</v>
      </c>
      <c r="J386" s="80">
        <v>1</v>
      </c>
      <c r="K386" s="28">
        <v>6</v>
      </c>
      <c r="L386" s="21"/>
    </row>
    <row r="387" spans="1:12" ht="16.5" thickBot="1" x14ac:dyDescent="0.3">
      <c r="A387" s="1776"/>
      <c r="B387" s="1151"/>
      <c r="C387" s="1118"/>
      <c r="D387" s="203" t="s">
        <v>270</v>
      </c>
      <c r="E387" s="106"/>
      <c r="F387" s="253">
        <f>(F386/F384)*100</f>
        <v>4.2735042735042734</v>
      </c>
      <c r="G387" s="253">
        <f t="shared" ref="G387:J387" si="31">(G386/G384)*100</f>
        <v>5.4545454545454541</v>
      </c>
      <c r="H387" s="253">
        <f t="shared" si="31"/>
        <v>5.9405940594059405</v>
      </c>
      <c r="I387" s="253">
        <f t="shared" si="31"/>
        <v>1.9801980198019802</v>
      </c>
      <c r="J387" s="253">
        <f t="shared" si="31"/>
        <v>1.1235955056179776</v>
      </c>
      <c r="K387" s="253">
        <f>(K386/K384)*100</f>
        <v>6.0606060606060606</v>
      </c>
      <c r="L387" s="22"/>
    </row>
    <row r="388" spans="1:12" ht="14.85" customHeight="1" x14ac:dyDescent="0.25">
      <c r="A388" s="1776"/>
      <c r="B388" s="1151"/>
      <c r="C388" s="1535" t="s">
        <v>583</v>
      </c>
      <c r="D388" s="241" t="s">
        <v>251</v>
      </c>
      <c r="E388" s="242"/>
      <c r="F388" s="243">
        <v>196</v>
      </c>
      <c r="G388" s="243">
        <v>187</v>
      </c>
      <c r="H388" s="243">
        <v>150</v>
      </c>
      <c r="I388" s="243">
        <v>136</v>
      </c>
      <c r="J388" s="243">
        <v>160</v>
      </c>
      <c r="K388" s="122">
        <v>173</v>
      </c>
      <c r="L388" s="87"/>
    </row>
    <row r="389" spans="1:12" ht="14.85" customHeight="1" x14ac:dyDescent="0.25">
      <c r="A389" s="1776"/>
      <c r="B389" s="1151"/>
      <c r="C389" s="1117"/>
      <c r="D389" s="28" t="s">
        <v>257</v>
      </c>
      <c r="E389" s="94"/>
      <c r="F389" s="80">
        <v>2</v>
      </c>
      <c r="G389" s="80">
        <v>8</v>
      </c>
      <c r="H389" s="80">
        <v>18</v>
      </c>
      <c r="I389" s="80">
        <v>10</v>
      </c>
      <c r="J389" s="80">
        <v>12</v>
      </c>
      <c r="K389" s="28">
        <v>10</v>
      </c>
      <c r="L389" s="21"/>
    </row>
    <row r="390" spans="1:12" x14ac:dyDescent="0.25">
      <c r="A390" s="1776"/>
      <c r="B390" s="1151"/>
      <c r="C390" s="1117"/>
      <c r="D390" s="28" t="s">
        <v>263</v>
      </c>
      <c r="E390" s="94"/>
      <c r="F390" s="80">
        <v>194</v>
      </c>
      <c r="G390" s="80">
        <v>179</v>
      </c>
      <c r="H390" s="80">
        <v>132</v>
      </c>
      <c r="I390" s="80">
        <v>126</v>
      </c>
      <c r="J390" s="80">
        <v>148</v>
      </c>
      <c r="K390" s="28">
        <v>163</v>
      </c>
      <c r="L390" s="21"/>
    </row>
    <row r="391" spans="1:12" ht="16.5" thickBot="1" x14ac:dyDescent="0.3">
      <c r="A391" s="1776"/>
      <c r="B391" s="1151"/>
      <c r="C391" s="1118"/>
      <c r="D391" s="203" t="s">
        <v>270</v>
      </c>
      <c r="E391" s="106"/>
      <c r="F391" s="251">
        <f t="shared" ref="F391:G391" si="32">(F390/F388)*100</f>
        <v>98.979591836734699</v>
      </c>
      <c r="G391" s="251">
        <f t="shared" si="32"/>
        <v>95.721925133689851</v>
      </c>
      <c r="H391" s="251">
        <f>(H390/H388)*100</f>
        <v>88</v>
      </c>
      <c r="I391" s="251">
        <f t="shared" ref="I391:J391" si="33">(I390/I388)*100</f>
        <v>92.64705882352942</v>
      </c>
      <c r="J391" s="251">
        <f t="shared" si="33"/>
        <v>92.5</v>
      </c>
      <c r="K391" s="251">
        <f>(K390/K388)*100</f>
        <v>94.219653179190757</v>
      </c>
      <c r="L391" s="22"/>
    </row>
    <row r="392" spans="1:12" x14ac:dyDescent="0.25">
      <c r="A392" s="1776"/>
      <c r="B392" s="1151"/>
      <c r="C392" s="1116" t="s">
        <v>471</v>
      </c>
      <c r="D392" s="248" t="s">
        <v>251</v>
      </c>
      <c r="E392" s="249"/>
      <c r="F392" s="250">
        <v>25</v>
      </c>
      <c r="G392" s="250">
        <v>52</v>
      </c>
      <c r="H392" s="250">
        <v>71</v>
      </c>
      <c r="I392" s="250">
        <v>67</v>
      </c>
      <c r="J392" s="250">
        <v>80</v>
      </c>
      <c r="K392" s="36">
        <v>105</v>
      </c>
      <c r="L392" s="20"/>
    </row>
    <row r="393" spans="1:12" x14ac:dyDescent="0.25">
      <c r="A393" s="1776"/>
      <c r="B393" s="1151"/>
      <c r="C393" s="1117"/>
      <c r="D393" s="28" t="s">
        <v>257</v>
      </c>
      <c r="E393" s="94"/>
      <c r="F393" s="96">
        <v>17</v>
      </c>
      <c r="G393" s="96">
        <v>26</v>
      </c>
      <c r="H393" s="96">
        <v>37</v>
      </c>
      <c r="I393" s="96">
        <v>36</v>
      </c>
      <c r="J393" s="96">
        <v>40</v>
      </c>
      <c r="K393" s="28">
        <v>57</v>
      </c>
      <c r="L393" s="21"/>
    </row>
    <row r="394" spans="1:12" x14ac:dyDescent="0.25">
      <c r="A394" s="1776"/>
      <c r="B394" s="1151"/>
      <c r="C394" s="1117"/>
      <c r="D394" s="28" t="s">
        <v>263</v>
      </c>
      <c r="E394" s="94"/>
      <c r="F394" s="96">
        <v>8</v>
      </c>
      <c r="G394" s="96">
        <v>26</v>
      </c>
      <c r="H394" s="96">
        <v>34</v>
      </c>
      <c r="I394" s="96">
        <v>31</v>
      </c>
      <c r="J394" s="96">
        <v>40</v>
      </c>
      <c r="K394" s="28">
        <v>48</v>
      </c>
      <c r="L394" s="21"/>
    </row>
    <row r="395" spans="1:12" ht="16.5" thickBot="1" x14ac:dyDescent="0.3">
      <c r="A395" s="1776"/>
      <c r="B395" s="1151"/>
      <c r="C395" s="1118"/>
      <c r="D395" s="203" t="s">
        <v>270</v>
      </c>
      <c r="E395" s="106"/>
      <c r="F395" s="253">
        <f t="shared" ref="F395" si="34">(F394/F392)*100</f>
        <v>32</v>
      </c>
      <c r="G395" s="252">
        <f t="shared" ref="G395" si="35">(G394/G392)*100</f>
        <v>50</v>
      </c>
      <c r="H395" s="252">
        <f>(H394/H392)*100</f>
        <v>47.887323943661968</v>
      </c>
      <c r="I395" s="252">
        <f t="shared" ref="I395:J395" si="36">(I394/I392)*100</f>
        <v>46.268656716417908</v>
      </c>
      <c r="J395" s="252">
        <f t="shared" si="36"/>
        <v>50</v>
      </c>
      <c r="K395" s="252">
        <f>(K394/K392)*100</f>
        <v>45.714285714285715</v>
      </c>
      <c r="L395" s="22"/>
    </row>
    <row r="396" spans="1:12" x14ac:dyDescent="0.25">
      <c r="A396" s="1776"/>
      <c r="B396" s="1151"/>
      <c r="C396" s="1116" t="s">
        <v>589</v>
      </c>
      <c r="D396" s="248" t="s">
        <v>251</v>
      </c>
      <c r="E396" s="249"/>
      <c r="F396" s="250">
        <v>67</v>
      </c>
      <c r="G396" s="250">
        <v>55</v>
      </c>
      <c r="H396" s="250">
        <v>85</v>
      </c>
      <c r="I396" s="250">
        <v>79</v>
      </c>
      <c r="J396" s="250">
        <v>80</v>
      </c>
      <c r="K396" s="36">
        <v>89</v>
      </c>
      <c r="L396" s="20"/>
    </row>
    <row r="397" spans="1:12" x14ac:dyDescent="0.25">
      <c r="A397" s="1776"/>
      <c r="B397" s="1151"/>
      <c r="C397" s="1117"/>
      <c r="D397" s="28" t="s">
        <v>257</v>
      </c>
      <c r="E397" s="94"/>
      <c r="F397" s="80">
        <v>64</v>
      </c>
      <c r="G397" s="80">
        <v>55</v>
      </c>
      <c r="H397" s="80">
        <v>80</v>
      </c>
      <c r="I397" s="80">
        <v>76</v>
      </c>
      <c r="J397" s="80">
        <v>79</v>
      </c>
      <c r="K397" s="28">
        <v>87</v>
      </c>
      <c r="L397" s="21"/>
    </row>
    <row r="398" spans="1:12" x14ac:dyDescent="0.25">
      <c r="A398" s="1776"/>
      <c r="B398" s="1151"/>
      <c r="C398" s="1117"/>
      <c r="D398" s="28" t="s">
        <v>263</v>
      </c>
      <c r="E398" s="94"/>
      <c r="F398" s="80">
        <v>3</v>
      </c>
      <c r="G398" s="80">
        <v>0</v>
      </c>
      <c r="H398" s="80">
        <v>5</v>
      </c>
      <c r="I398" s="80">
        <v>3</v>
      </c>
      <c r="J398" s="80">
        <v>1</v>
      </c>
      <c r="K398" s="28">
        <v>2</v>
      </c>
      <c r="L398" s="21"/>
    </row>
    <row r="399" spans="1:12" ht="16.5" thickBot="1" x14ac:dyDescent="0.3">
      <c r="A399" s="1776"/>
      <c r="B399" s="1151"/>
      <c r="C399" s="1118"/>
      <c r="D399" s="203" t="s">
        <v>270</v>
      </c>
      <c r="E399" s="106"/>
      <c r="F399" s="253">
        <f t="shared" ref="F399" si="37">(F398/F396)*100</f>
        <v>4.4776119402985071</v>
      </c>
      <c r="G399" s="253">
        <f t="shared" ref="G399" si="38">(G398/G396)*100</f>
        <v>0</v>
      </c>
      <c r="H399" s="253">
        <f>(H398/H396)*100</f>
        <v>5.8823529411764701</v>
      </c>
      <c r="I399" s="253">
        <f t="shared" ref="I399:J399" si="39">(I398/I396)*100</f>
        <v>3.79746835443038</v>
      </c>
      <c r="J399" s="253">
        <f t="shared" si="39"/>
        <v>1.25</v>
      </c>
      <c r="K399" s="253">
        <f>(K398/K396)*100</f>
        <v>2.2471910112359552</v>
      </c>
      <c r="L399" s="22"/>
    </row>
    <row r="400" spans="1:12" ht="14.85" customHeight="1" x14ac:dyDescent="0.25">
      <c r="A400" s="1776"/>
      <c r="B400" s="1151"/>
      <c r="C400" s="1116" t="s">
        <v>581</v>
      </c>
      <c r="D400" s="248" t="s">
        <v>251</v>
      </c>
      <c r="E400" s="249"/>
      <c r="F400" s="250">
        <v>52</v>
      </c>
      <c r="G400" s="250">
        <v>54</v>
      </c>
      <c r="H400" s="250">
        <v>50</v>
      </c>
      <c r="I400" s="250">
        <v>40</v>
      </c>
      <c r="J400" s="250">
        <v>47</v>
      </c>
      <c r="K400" s="36">
        <v>52</v>
      </c>
      <c r="L400" s="20"/>
    </row>
    <row r="401" spans="1:12" x14ac:dyDescent="0.25">
      <c r="A401" s="1776"/>
      <c r="B401" s="1151"/>
      <c r="C401" s="1117"/>
      <c r="D401" s="28" t="s">
        <v>257</v>
      </c>
      <c r="E401" s="94"/>
      <c r="F401" s="80">
        <v>51</v>
      </c>
      <c r="G401" s="80">
        <v>54</v>
      </c>
      <c r="H401" s="80">
        <v>49</v>
      </c>
      <c r="I401" s="80">
        <v>39</v>
      </c>
      <c r="J401" s="80">
        <v>45</v>
      </c>
      <c r="K401" s="28">
        <v>49</v>
      </c>
      <c r="L401" s="21"/>
    </row>
    <row r="402" spans="1:12" x14ac:dyDescent="0.25">
      <c r="A402" s="1776"/>
      <c r="B402" s="1151"/>
      <c r="C402" s="1117"/>
      <c r="D402" s="28" t="s">
        <v>263</v>
      </c>
      <c r="E402" s="94"/>
      <c r="F402" s="80">
        <v>1</v>
      </c>
      <c r="G402" s="80">
        <v>0</v>
      </c>
      <c r="H402" s="80">
        <v>1</v>
      </c>
      <c r="I402" s="80">
        <v>1</v>
      </c>
      <c r="J402" s="80">
        <v>2</v>
      </c>
      <c r="K402" s="28">
        <v>3</v>
      </c>
      <c r="L402" s="21"/>
    </row>
    <row r="403" spans="1:12" ht="16.5" thickBot="1" x14ac:dyDescent="0.3">
      <c r="A403" s="1776"/>
      <c r="B403" s="1151"/>
      <c r="C403" s="1118"/>
      <c r="D403" s="203" t="s">
        <v>270</v>
      </c>
      <c r="E403" s="106"/>
      <c r="F403" s="253">
        <f t="shared" ref="F403" si="40">(F402/F400)*100</f>
        <v>1.9230769230769231</v>
      </c>
      <c r="G403" s="253">
        <f t="shared" ref="G403" si="41">(G402/G400)*100</f>
        <v>0</v>
      </c>
      <c r="H403" s="253">
        <f>(H402/H400)*100</f>
        <v>2</v>
      </c>
      <c r="I403" s="253">
        <f t="shared" ref="I403:J403" si="42">(I402/I400)*100</f>
        <v>2.5</v>
      </c>
      <c r="J403" s="253">
        <f t="shared" si="42"/>
        <v>4.2553191489361701</v>
      </c>
      <c r="K403" s="253">
        <f>(K402/K400)*100</f>
        <v>5.7692307692307692</v>
      </c>
      <c r="L403" s="22"/>
    </row>
    <row r="404" spans="1:12" ht="14.85" customHeight="1" x14ac:dyDescent="0.25">
      <c r="A404" s="1776"/>
      <c r="B404" s="1151"/>
      <c r="C404" s="1159" t="s">
        <v>590</v>
      </c>
      <c r="D404" s="248" t="s">
        <v>251</v>
      </c>
      <c r="E404" s="249"/>
      <c r="F404" s="344"/>
      <c r="G404" s="344">
        <v>26</v>
      </c>
      <c r="H404" s="344">
        <v>39</v>
      </c>
      <c r="I404" s="250">
        <v>38</v>
      </c>
      <c r="J404" s="250">
        <v>42</v>
      </c>
      <c r="K404" s="36">
        <v>44</v>
      </c>
      <c r="L404" s="20"/>
    </row>
    <row r="405" spans="1:12" ht="14.85" customHeight="1" x14ac:dyDescent="0.25">
      <c r="A405" s="1776"/>
      <c r="B405" s="1151"/>
      <c r="C405" s="1160"/>
      <c r="D405" s="28" t="s">
        <v>257</v>
      </c>
      <c r="E405" s="94"/>
      <c r="F405" s="181"/>
      <c r="G405" s="181">
        <v>26</v>
      </c>
      <c r="H405" s="181">
        <v>37</v>
      </c>
      <c r="I405" s="80">
        <v>37</v>
      </c>
      <c r="J405" s="80">
        <v>42</v>
      </c>
      <c r="K405" s="28">
        <v>44</v>
      </c>
      <c r="L405" s="21"/>
    </row>
    <row r="406" spans="1:12" x14ac:dyDescent="0.25">
      <c r="A406" s="1776"/>
      <c r="B406" s="1151"/>
      <c r="C406" s="1160"/>
      <c r="D406" s="28" t="s">
        <v>263</v>
      </c>
      <c r="E406" s="94"/>
      <c r="F406" s="181"/>
      <c r="G406" s="181">
        <v>0</v>
      </c>
      <c r="H406" s="181">
        <v>2</v>
      </c>
      <c r="I406" s="80">
        <v>1</v>
      </c>
      <c r="J406" s="80">
        <v>0</v>
      </c>
      <c r="K406" s="28">
        <v>0</v>
      </c>
      <c r="L406" s="21"/>
    </row>
    <row r="407" spans="1:12" ht="16.5" thickBot="1" x14ac:dyDescent="0.3">
      <c r="A407" s="1776"/>
      <c r="B407" s="1151"/>
      <c r="C407" s="1161"/>
      <c r="D407" s="203" t="s">
        <v>270</v>
      </c>
      <c r="E407" s="106"/>
      <c r="F407" s="106"/>
      <c r="G407" s="253">
        <f t="shared" ref="G407:J407" si="43">(G406/G404)*100</f>
        <v>0</v>
      </c>
      <c r="H407" s="253">
        <f t="shared" si="43"/>
        <v>5.1282051282051277</v>
      </c>
      <c r="I407" s="253">
        <f t="shared" si="43"/>
        <v>2.6315789473684208</v>
      </c>
      <c r="J407" s="253">
        <f t="shared" si="43"/>
        <v>0</v>
      </c>
      <c r="K407" s="253">
        <f>(K406/K404)*100</f>
        <v>0</v>
      </c>
      <c r="L407" s="22"/>
    </row>
    <row r="408" spans="1:12" ht="14.85" customHeight="1" x14ac:dyDescent="0.25">
      <c r="A408" s="1776"/>
      <c r="B408" s="1151"/>
      <c r="C408" s="1159" t="s">
        <v>469</v>
      </c>
      <c r="D408" s="825" t="s">
        <v>251</v>
      </c>
      <c r="E408" s="249"/>
      <c r="F408" s="344"/>
      <c r="G408" s="344"/>
      <c r="H408" s="250">
        <v>27</v>
      </c>
      <c r="I408" s="250">
        <v>45</v>
      </c>
      <c r="J408" s="250">
        <v>48</v>
      </c>
      <c r="K408" s="36">
        <v>46</v>
      </c>
      <c r="L408" s="20"/>
    </row>
    <row r="409" spans="1:12" ht="14.85" customHeight="1" x14ac:dyDescent="0.25">
      <c r="A409" s="1776"/>
      <c r="B409" s="1151"/>
      <c r="C409" s="1160"/>
      <c r="D409" s="316" t="s">
        <v>257</v>
      </c>
      <c r="E409" s="94"/>
      <c r="F409" s="181"/>
      <c r="G409" s="181"/>
      <c r="H409" s="80">
        <v>23</v>
      </c>
      <c r="I409" s="80">
        <v>40</v>
      </c>
      <c r="J409" s="80">
        <v>42</v>
      </c>
      <c r="K409" s="28">
        <v>37</v>
      </c>
      <c r="L409" s="21"/>
    </row>
    <row r="410" spans="1:12" x14ac:dyDescent="0.25">
      <c r="A410" s="1776"/>
      <c r="B410" s="1151"/>
      <c r="C410" s="1160"/>
      <c r="D410" s="316" t="s">
        <v>263</v>
      </c>
      <c r="E410" s="94"/>
      <c r="F410" s="181"/>
      <c r="G410" s="181"/>
      <c r="H410" s="80">
        <v>4</v>
      </c>
      <c r="I410" s="80">
        <v>5</v>
      </c>
      <c r="J410" s="80">
        <v>6</v>
      </c>
      <c r="K410" s="28">
        <v>9</v>
      </c>
      <c r="L410" s="21"/>
    </row>
    <row r="411" spans="1:12" ht="16.5" thickBot="1" x14ac:dyDescent="0.3">
      <c r="A411" s="1776"/>
      <c r="B411" s="1151"/>
      <c r="C411" s="1161"/>
      <c r="D411" s="826" t="s">
        <v>270</v>
      </c>
      <c r="E411" s="106"/>
      <c r="F411" s="106"/>
      <c r="G411" s="106"/>
      <c r="H411" s="253">
        <f t="shared" ref="H411:J411" si="44">(H410/H408)*100</f>
        <v>14.814814814814813</v>
      </c>
      <c r="I411" s="253">
        <f t="shared" si="44"/>
        <v>11.111111111111111</v>
      </c>
      <c r="J411" s="253">
        <f t="shared" si="44"/>
        <v>12.5</v>
      </c>
      <c r="K411" s="253">
        <f>(K410/K408)*100</f>
        <v>19.565217391304348</v>
      </c>
      <c r="L411" s="22"/>
    </row>
    <row r="412" spans="1:12" ht="14.85" customHeight="1" x14ac:dyDescent="0.25">
      <c r="A412" s="1776"/>
      <c r="B412" s="1151"/>
      <c r="C412" s="1116" t="s">
        <v>470</v>
      </c>
      <c r="D412" s="248" t="s">
        <v>251</v>
      </c>
      <c r="E412" s="249"/>
      <c r="F412" s="344"/>
      <c r="G412" s="344">
        <v>78</v>
      </c>
      <c r="H412" s="344">
        <v>152</v>
      </c>
      <c r="I412" s="250">
        <v>167</v>
      </c>
      <c r="J412" s="250">
        <v>171</v>
      </c>
      <c r="K412" s="250">
        <v>155</v>
      </c>
      <c r="L412" s="20"/>
    </row>
    <row r="413" spans="1:12" ht="14.85" customHeight="1" x14ac:dyDescent="0.25">
      <c r="A413" s="1776"/>
      <c r="B413" s="1151"/>
      <c r="C413" s="1117"/>
      <c r="D413" s="28" t="s">
        <v>257</v>
      </c>
      <c r="E413" s="94"/>
      <c r="F413" s="181"/>
      <c r="G413" s="181">
        <v>14</v>
      </c>
      <c r="H413" s="181">
        <v>19</v>
      </c>
      <c r="I413" s="80">
        <v>23</v>
      </c>
      <c r="J413" s="80">
        <v>26</v>
      </c>
      <c r="K413" s="80">
        <v>17</v>
      </c>
      <c r="L413" s="21"/>
    </row>
    <row r="414" spans="1:12" x14ac:dyDescent="0.25">
      <c r="A414" s="1776"/>
      <c r="B414" s="1151"/>
      <c r="C414" s="1117"/>
      <c r="D414" s="28" t="s">
        <v>263</v>
      </c>
      <c r="E414" s="94"/>
      <c r="F414" s="181"/>
      <c r="G414" s="181">
        <v>64</v>
      </c>
      <c r="H414" s="181">
        <v>133</v>
      </c>
      <c r="I414" s="80">
        <v>144</v>
      </c>
      <c r="J414" s="80">
        <v>145</v>
      </c>
      <c r="K414" s="80">
        <v>138</v>
      </c>
      <c r="L414" s="21"/>
    </row>
    <row r="415" spans="1:12" ht="16.5" thickBot="1" x14ac:dyDescent="0.3">
      <c r="A415" s="1776"/>
      <c r="B415" s="1151"/>
      <c r="C415" s="1118"/>
      <c r="D415" s="203" t="s">
        <v>270</v>
      </c>
      <c r="E415" s="106"/>
      <c r="F415" s="106"/>
      <c r="G415" s="251">
        <f t="shared" ref="G415:J415" si="45">(G414/G412)*100</f>
        <v>82.051282051282044</v>
      </c>
      <c r="H415" s="251">
        <f t="shared" si="45"/>
        <v>87.5</v>
      </c>
      <c r="I415" s="251">
        <f t="shared" si="45"/>
        <v>86.227544910179645</v>
      </c>
      <c r="J415" s="251">
        <f t="shared" si="45"/>
        <v>84.795321637426895</v>
      </c>
      <c r="K415" s="251">
        <f>(K414/K412)*100</f>
        <v>89.032258064516128</v>
      </c>
      <c r="L415" s="22"/>
    </row>
    <row r="416" spans="1:12" x14ac:dyDescent="0.25">
      <c r="A416" s="1776"/>
      <c r="B416" s="1151"/>
      <c r="C416" s="1159" t="s">
        <v>465</v>
      </c>
      <c r="D416" s="248" t="s">
        <v>251</v>
      </c>
      <c r="E416" s="249"/>
      <c r="F416" s="344"/>
      <c r="G416" s="344"/>
      <c r="H416" s="344"/>
      <c r="I416" s="344"/>
      <c r="J416" s="344"/>
      <c r="K416" s="344">
        <v>49</v>
      </c>
      <c r="L416" s="1051"/>
    </row>
    <row r="417" spans="1:12" x14ac:dyDescent="0.25">
      <c r="A417" s="1776"/>
      <c r="B417" s="1151"/>
      <c r="C417" s="1160"/>
      <c r="D417" s="28" t="s">
        <v>257</v>
      </c>
      <c r="E417" s="94"/>
      <c r="F417" s="181"/>
      <c r="G417" s="181"/>
      <c r="H417" s="181"/>
      <c r="I417" s="181"/>
      <c r="J417" s="181"/>
      <c r="K417" s="181">
        <v>14</v>
      </c>
      <c r="L417" s="199"/>
    </row>
    <row r="418" spans="1:12" x14ac:dyDescent="0.25">
      <c r="A418" s="1776"/>
      <c r="B418" s="1151"/>
      <c r="C418" s="1160"/>
      <c r="D418" s="28" t="s">
        <v>263</v>
      </c>
      <c r="E418" s="94"/>
      <c r="F418" s="181"/>
      <c r="G418" s="181"/>
      <c r="H418" s="181"/>
      <c r="I418" s="181"/>
      <c r="J418" s="181"/>
      <c r="K418" s="181">
        <v>35</v>
      </c>
      <c r="L418" s="199"/>
    </row>
    <row r="419" spans="1:12" ht="16.5" thickBot="1" x14ac:dyDescent="0.3">
      <c r="A419" s="1776"/>
      <c r="B419" s="1151"/>
      <c r="C419" s="1161"/>
      <c r="D419" s="203" t="s">
        <v>270</v>
      </c>
      <c r="E419" s="106"/>
      <c r="F419" s="106"/>
      <c r="G419" s="106"/>
      <c r="H419" s="106"/>
      <c r="I419" s="106"/>
      <c r="J419" s="106"/>
      <c r="K419" s="251">
        <f>(K418/K416)*100</f>
        <v>71.428571428571431</v>
      </c>
      <c r="L419" s="1052"/>
    </row>
    <row r="420" spans="1:12" x14ac:dyDescent="0.25">
      <c r="A420" s="1776"/>
      <c r="B420" s="1151"/>
      <c r="C420" s="1166" t="s">
        <v>472</v>
      </c>
      <c r="D420" s="308" t="s">
        <v>473</v>
      </c>
      <c r="E420" s="612"/>
      <c r="F420" s="261">
        <f>5/7*100</f>
        <v>71.428571428571431</v>
      </c>
      <c r="G420" s="261">
        <f>5/9*100</f>
        <v>55.555555555555557</v>
      </c>
      <c r="H420" s="261">
        <f>6/10*100</f>
        <v>60</v>
      </c>
      <c r="I420" s="261">
        <f>6/10*100</f>
        <v>60</v>
      </c>
      <c r="J420" s="261">
        <f>6/10*100</f>
        <v>60</v>
      </c>
      <c r="K420" s="261">
        <f>6/11*100</f>
        <v>54.54545454545454</v>
      </c>
      <c r="L420" s="20"/>
    </row>
    <row r="421" spans="1:12" x14ac:dyDescent="0.25">
      <c r="A421" s="1776"/>
      <c r="B421" s="1151"/>
      <c r="C421" s="1167"/>
      <c r="D421" s="232" t="s">
        <v>474</v>
      </c>
      <c r="E421" s="92"/>
      <c r="F421" s="234">
        <f>2/7*100</f>
        <v>28.571428571428569</v>
      </c>
      <c r="G421" s="234">
        <f>3/9*100</f>
        <v>33.333333333333329</v>
      </c>
      <c r="H421" s="234">
        <f>3/10*100</f>
        <v>30</v>
      </c>
      <c r="I421" s="234">
        <f>2/10*100</f>
        <v>20</v>
      </c>
      <c r="J421" s="234">
        <f>2/10*100</f>
        <v>20</v>
      </c>
      <c r="K421" s="234">
        <f>3/11*100</f>
        <v>27.27272727272727</v>
      </c>
      <c r="L421" s="21"/>
    </row>
    <row r="422" spans="1:12" ht="16.5" thickBot="1" x14ac:dyDescent="0.3">
      <c r="A422" s="1776"/>
      <c r="B422" s="1152"/>
      <c r="C422" s="1255"/>
      <c r="D422" s="311" t="s">
        <v>475</v>
      </c>
      <c r="E422" s="104"/>
      <c r="F422" s="935">
        <f>0/7*100</f>
        <v>0</v>
      </c>
      <c r="G422" s="935">
        <f>1/9*100</f>
        <v>11.111111111111111</v>
      </c>
      <c r="H422" s="935">
        <f>1/10*100</f>
        <v>10</v>
      </c>
      <c r="I422" s="935">
        <f>2/10*100</f>
        <v>20</v>
      </c>
      <c r="J422" s="935">
        <f>2/10*100</f>
        <v>20</v>
      </c>
      <c r="K422" s="935">
        <f>2/11*100</f>
        <v>18.181818181818183</v>
      </c>
      <c r="L422" s="22"/>
    </row>
    <row r="423" spans="1:12" ht="16.5" thickBot="1" x14ac:dyDescent="0.3">
      <c r="A423" s="1775"/>
      <c r="B423" s="792" t="s">
        <v>249</v>
      </c>
      <c r="C423" s="1536"/>
      <c r="D423" s="1536"/>
      <c r="E423" s="120" t="s">
        <v>442</v>
      </c>
      <c r="F423" s="120" t="s">
        <v>443</v>
      </c>
      <c r="G423" s="120" t="s">
        <v>444</v>
      </c>
      <c r="H423" s="120" t="s">
        <v>445</v>
      </c>
      <c r="I423" s="120" t="s">
        <v>446</v>
      </c>
      <c r="J423" s="120" t="s">
        <v>447</v>
      </c>
      <c r="K423" s="120" t="s">
        <v>448</v>
      </c>
      <c r="L423" s="121" t="s">
        <v>449</v>
      </c>
    </row>
    <row r="424" spans="1:12" ht="15" customHeight="1" x14ac:dyDescent="0.25">
      <c r="A424" s="1776"/>
      <c r="B424" s="1686" t="s">
        <v>476</v>
      </c>
      <c r="C424" s="1153" t="s">
        <v>459</v>
      </c>
      <c r="D424" s="1122"/>
      <c r="E424" s="122"/>
      <c r="F424" s="220">
        <v>1336</v>
      </c>
      <c r="G424" s="220">
        <v>1059</v>
      </c>
      <c r="H424" s="220">
        <v>2137</v>
      </c>
      <c r="I424" s="220">
        <v>2128</v>
      </c>
      <c r="J424" s="220">
        <v>2113</v>
      </c>
      <c r="K424" s="220">
        <v>2317</v>
      </c>
      <c r="L424" s="87"/>
    </row>
    <row r="425" spans="1:12" x14ac:dyDescent="0.25">
      <c r="A425" s="1776"/>
      <c r="B425" s="1151"/>
      <c r="C425" s="1148" t="s">
        <v>436</v>
      </c>
      <c r="D425" s="1124"/>
      <c r="E425" s="96"/>
      <c r="F425" s="96">
        <v>618</v>
      </c>
      <c r="G425" s="96">
        <v>629</v>
      </c>
      <c r="H425" s="96">
        <v>1160</v>
      </c>
      <c r="I425" s="96">
        <v>1142</v>
      </c>
      <c r="J425" s="96">
        <v>1133</v>
      </c>
      <c r="K425" s="96">
        <v>1205</v>
      </c>
      <c r="L425" s="21"/>
    </row>
    <row r="426" spans="1:12" x14ac:dyDescent="0.25">
      <c r="A426" s="1776"/>
      <c r="B426" s="1151"/>
      <c r="C426" s="1148" t="s">
        <v>437</v>
      </c>
      <c r="D426" s="1124"/>
      <c r="E426" s="96"/>
      <c r="F426" s="96">
        <v>718</v>
      </c>
      <c r="G426" s="96">
        <v>430</v>
      </c>
      <c r="H426" s="96">
        <v>977</v>
      </c>
      <c r="I426" s="96">
        <v>986</v>
      </c>
      <c r="J426" s="96">
        <v>980</v>
      </c>
      <c r="K426" s="96">
        <v>1112</v>
      </c>
      <c r="L426" s="21"/>
    </row>
    <row r="427" spans="1:12" ht="16.5" thickBot="1" x14ac:dyDescent="0.3">
      <c r="A427" s="1776"/>
      <c r="B427" s="1151"/>
      <c r="C427" s="1154" t="s">
        <v>270</v>
      </c>
      <c r="D427" s="1155"/>
      <c r="E427" s="190"/>
      <c r="F427" s="285">
        <f t="shared" ref="F427:K427" si="46">F426/F424*100</f>
        <v>53.742514970059887</v>
      </c>
      <c r="G427" s="285">
        <f t="shared" si="46"/>
        <v>40.60434372049103</v>
      </c>
      <c r="H427" s="285">
        <f t="shared" si="46"/>
        <v>45.7182966775854</v>
      </c>
      <c r="I427" s="285">
        <f t="shared" si="46"/>
        <v>46.334586466165412</v>
      </c>
      <c r="J427" s="285">
        <f t="shared" si="46"/>
        <v>46.379555134879318</v>
      </c>
      <c r="K427" s="285">
        <f t="shared" si="46"/>
        <v>47.993094518774278</v>
      </c>
      <c r="L427" s="22"/>
    </row>
    <row r="428" spans="1:12" x14ac:dyDescent="0.25">
      <c r="A428" s="1776"/>
      <c r="B428" s="1151"/>
      <c r="C428" s="1159" t="s">
        <v>466</v>
      </c>
      <c r="D428" s="248" t="s">
        <v>251</v>
      </c>
      <c r="E428" s="249"/>
      <c r="F428" s="250">
        <v>257</v>
      </c>
      <c r="G428" s="250">
        <v>71</v>
      </c>
      <c r="H428" s="250">
        <v>219</v>
      </c>
      <c r="I428" s="250">
        <v>214</v>
      </c>
      <c r="J428" s="250">
        <v>187</v>
      </c>
      <c r="K428" s="36">
        <v>206</v>
      </c>
      <c r="L428" s="20"/>
    </row>
    <row r="429" spans="1:12" x14ac:dyDescent="0.25">
      <c r="A429" s="1776"/>
      <c r="B429" s="1151"/>
      <c r="C429" s="1160"/>
      <c r="D429" s="28" t="s">
        <v>257</v>
      </c>
      <c r="E429" s="94"/>
      <c r="F429" s="96">
        <v>81</v>
      </c>
      <c r="G429" s="96">
        <v>44</v>
      </c>
      <c r="H429" s="96">
        <v>98</v>
      </c>
      <c r="I429" s="96">
        <v>108</v>
      </c>
      <c r="J429" s="96">
        <v>96</v>
      </c>
      <c r="K429" s="28">
        <v>109</v>
      </c>
      <c r="L429" s="21"/>
    </row>
    <row r="430" spans="1:12" x14ac:dyDescent="0.25">
      <c r="A430" s="1776"/>
      <c r="B430" s="1151"/>
      <c r="C430" s="1160"/>
      <c r="D430" s="28" t="s">
        <v>263</v>
      </c>
      <c r="E430" s="94"/>
      <c r="F430" s="96">
        <v>176</v>
      </c>
      <c r="G430" s="96">
        <v>27</v>
      </c>
      <c r="H430" s="96">
        <v>121</v>
      </c>
      <c r="I430" s="96">
        <v>106</v>
      </c>
      <c r="J430" s="96">
        <v>91</v>
      </c>
      <c r="K430" s="28">
        <v>97</v>
      </c>
      <c r="L430" s="21"/>
    </row>
    <row r="431" spans="1:12" ht="16.5" thickBot="1" x14ac:dyDescent="0.3">
      <c r="A431" s="1776"/>
      <c r="B431" s="1151"/>
      <c r="C431" s="1161"/>
      <c r="D431" s="203" t="s">
        <v>270</v>
      </c>
      <c r="E431" s="104"/>
      <c r="F431" s="251">
        <f>(F430/F428)*100</f>
        <v>68.482490272373539</v>
      </c>
      <c r="G431" s="253">
        <f t="shared" ref="G431:K431" si="47">(G430/G428)*100</f>
        <v>38.028169014084504</v>
      </c>
      <c r="H431" s="252">
        <f t="shared" si="47"/>
        <v>55.25114155251142</v>
      </c>
      <c r="I431" s="252">
        <f t="shared" si="47"/>
        <v>49.532710280373834</v>
      </c>
      <c r="J431" s="252">
        <f t="shared" si="47"/>
        <v>48.663101604278076</v>
      </c>
      <c r="K431" s="252">
        <f t="shared" si="47"/>
        <v>47.087378640776699</v>
      </c>
      <c r="L431" s="22"/>
    </row>
    <row r="432" spans="1:12" ht="14.85" customHeight="1" x14ac:dyDescent="0.25">
      <c r="A432" s="1776"/>
      <c r="B432" s="1151"/>
      <c r="C432" s="1159" t="s">
        <v>467</v>
      </c>
      <c r="D432" s="248" t="s">
        <v>251</v>
      </c>
      <c r="E432" s="249"/>
      <c r="F432" s="250">
        <v>253</v>
      </c>
      <c r="G432" s="250">
        <v>279</v>
      </c>
      <c r="H432" s="250">
        <v>574</v>
      </c>
      <c r="I432" s="250">
        <v>567</v>
      </c>
      <c r="J432" s="250">
        <v>594</v>
      </c>
      <c r="K432" s="36">
        <v>653</v>
      </c>
      <c r="L432" s="20"/>
    </row>
    <row r="433" spans="1:12" x14ac:dyDescent="0.25">
      <c r="A433" s="1776"/>
      <c r="B433" s="1151"/>
      <c r="C433" s="1160"/>
      <c r="D433" s="28" t="s">
        <v>257</v>
      </c>
      <c r="E433" s="94"/>
      <c r="F433" s="80">
        <v>207</v>
      </c>
      <c r="G433" s="80">
        <v>253</v>
      </c>
      <c r="H433" s="80">
        <v>502</v>
      </c>
      <c r="I433" s="80">
        <v>497</v>
      </c>
      <c r="J433" s="80">
        <v>516</v>
      </c>
      <c r="K433" s="1018">
        <v>542</v>
      </c>
      <c r="L433" s="21"/>
    </row>
    <row r="434" spans="1:12" x14ac:dyDescent="0.25">
      <c r="A434" s="1776"/>
      <c r="B434" s="1151"/>
      <c r="C434" s="1160"/>
      <c r="D434" s="28" t="s">
        <v>263</v>
      </c>
      <c r="E434" s="94"/>
      <c r="F434" s="80">
        <v>46</v>
      </c>
      <c r="G434" s="80">
        <v>26</v>
      </c>
      <c r="H434" s="80">
        <v>72</v>
      </c>
      <c r="I434" s="80">
        <v>70</v>
      </c>
      <c r="J434" s="80">
        <v>78</v>
      </c>
      <c r="K434" s="1018">
        <v>111</v>
      </c>
      <c r="L434" s="21"/>
    </row>
    <row r="435" spans="1:12" ht="16.5" thickBot="1" x14ac:dyDescent="0.3">
      <c r="A435" s="1776"/>
      <c r="B435" s="1151"/>
      <c r="C435" s="1161"/>
      <c r="D435" s="203" t="s">
        <v>270</v>
      </c>
      <c r="E435" s="104"/>
      <c r="F435" s="253">
        <f>(F434/F432)*100</f>
        <v>18.181818181818183</v>
      </c>
      <c r="G435" s="253">
        <f t="shared" ref="G435:K435" si="48">(G434/G432)*100</f>
        <v>9.3189964157706093</v>
      </c>
      <c r="H435" s="253">
        <f t="shared" si="48"/>
        <v>12.543554006968641</v>
      </c>
      <c r="I435" s="253">
        <f t="shared" si="48"/>
        <v>12.345679012345679</v>
      </c>
      <c r="J435" s="253">
        <f t="shared" si="48"/>
        <v>13.131313131313133</v>
      </c>
      <c r="K435" s="253">
        <f t="shared" si="48"/>
        <v>16.998468606431853</v>
      </c>
      <c r="L435" s="22"/>
    </row>
    <row r="436" spans="1:12" ht="14.85" customHeight="1" x14ac:dyDescent="0.25">
      <c r="A436" s="1776"/>
      <c r="B436" s="1151"/>
      <c r="C436" s="1159" t="s">
        <v>470</v>
      </c>
      <c r="D436" s="248" t="s">
        <v>251</v>
      </c>
      <c r="E436" s="249"/>
      <c r="F436" s="250">
        <v>225</v>
      </c>
      <c r="G436" s="250">
        <v>276</v>
      </c>
      <c r="H436" s="250">
        <v>477</v>
      </c>
      <c r="I436" s="250">
        <v>476</v>
      </c>
      <c r="J436" s="250">
        <v>467</v>
      </c>
      <c r="K436" s="36">
        <v>431</v>
      </c>
      <c r="L436" s="20"/>
    </row>
    <row r="437" spans="1:12" x14ac:dyDescent="0.25">
      <c r="A437" s="1776"/>
      <c r="B437" s="1151"/>
      <c r="C437" s="1160"/>
      <c r="D437" s="28" t="s">
        <v>257</v>
      </c>
      <c r="E437" s="94"/>
      <c r="F437" s="80">
        <v>37</v>
      </c>
      <c r="G437" s="80">
        <v>59</v>
      </c>
      <c r="H437" s="80">
        <v>80</v>
      </c>
      <c r="I437" s="80">
        <v>70</v>
      </c>
      <c r="J437" s="80">
        <v>69</v>
      </c>
      <c r="K437" s="1018">
        <v>67</v>
      </c>
      <c r="L437" s="21"/>
    </row>
    <row r="438" spans="1:12" x14ac:dyDescent="0.25">
      <c r="A438" s="1776"/>
      <c r="B438" s="1151"/>
      <c r="C438" s="1160"/>
      <c r="D438" s="28" t="s">
        <v>263</v>
      </c>
      <c r="E438" s="94"/>
      <c r="F438" s="80">
        <v>188</v>
      </c>
      <c r="G438" s="80">
        <v>217</v>
      </c>
      <c r="H438" s="80">
        <v>397</v>
      </c>
      <c r="I438" s="80">
        <v>406</v>
      </c>
      <c r="J438" s="80">
        <v>398</v>
      </c>
      <c r="K438" s="1018">
        <v>364</v>
      </c>
      <c r="L438" s="21"/>
    </row>
    <row r="439" spans="1:12" ht="16.5" thickBot="1" x14ac:dyDescent="0.3">
      <c r="A439" s="1776"/>
      <c r="B439" s="1151"/>
      <c r="C439" s="1161"/>
      <c r="D439" s="203" t="s">
        <v>270</v>
      </c>
      <c r="E439" s="106"/>
      <c r="F439" s="251">
        <f t="shared" ref="F439" si="49">(F438/F436)*100</f>
        <v>83.555555555555557</v>
      </c>
      <c r="G439" s="251">
        <f>(G438/G436)*100</f>
        <v>78.623188405797109</v>
      </c>
      <c r="H439" s="251">
        <f>(H438/H436)*100</f>
        <v>83.228511530398322</v>
      </c>
      <c r="I439" s="251">
        <f t="shared" ref="I439:K439" si="50">(I438/I436)*100</f>
        <v>85.294117647058826</v>
      </c>
      <c r="J439" s="251">
        <f t="shared" si="50"/>
        <v>85.224839400428266</v>
      </c>
      <c r="K439" s="251">
        <f t="shared" si="50"/>
        <v>84.454756380510446</v>
      </c>
      <c r="L439" s="22"/>
    </row>
    <row r="440" spans="1:12" ht="14.85" customHeight="1" x14ac:dyDescent="0.25">
      <c r="A440" s="1776"/>
      <c r="B440" s="1151"/>
      <c r="C440" s="1159" t="s">
        <v>582</v>
      </c>
      <c r="D440" s="248" t="s">
        <v>251</v>
      </c>
      <c r="E440" s="249"/>
      <c r="F440" s="250">
        <v>40</v>
      </c>
      <c r="G440" s="250">
        <v>26</v>
      </c>
      <c r="H440" s="250">
        <v>52</v>
      </c>
      <c r="I440" s="250">
        <v>42</v>
      </c>
      <c r="J440" s="250">
        <v>33</v>
      </c>
      <c r="K440" s="36">
        <v>24</v>
      </c>
      <c r="L440" s="20"/>
    </row>
    <row r="441" spans="1:12" ht="14.85" customHeight="1" x14ac:dyDescent="0.25">
      <c r="A441" s="1776"/>
      <c r="B441" s="1151"/>
      <c r="C441" s="1160"/>
      <c r="D441" s="28" t="s">
        <v>257</v>
      </c>
      <c r="E441" s="94"/>
      <c r="F441" s="80">
        <v>38</v>
      </c>
      <c r="G441" s="80">
        <v>24</v>
      </c>
      <c r="H441" s="80">
        <v>44</v>
      </c>
      <c r="I441" s="80">
        <v>35</v>
      </c>
      <c r="J441" s="80">
        <v>28</v>
      </c>
      <c r="K441" s="28">
        <v>21</v>
      </c>
      <c r="L441" s="21"/>
    </row>
    <row r="442" spans="1:12" x14ac:dyDescent="0.25">
      <c r="A442" s="1776"/>
      <c r="B442" s="1151"/>
      <c r="C442" s="1160"/>
      <c r="D442" s="28" t="s">
        <v>263</v>
      </c>
      <c r="E442" s="94"/>
      <c r="F442" s="80">
        <v>2</v>
      </c>
      <c r="G442" s="80">
        <v>2</v>
      </c>
      <c r="H442" s="80">
        <v>8</v>
      </c>
      <c r="I442" s="80">
        <v>7</v>
      </c>
      <c r="J442" s="80">
        <v>5</v>
      </c>
      <c r="K442" s="28">
        <v>3</v>
      </c>
      <c r="L442" s="21"/>
    </row>
    <row r="443" spans="1:12" ht="16.5" thickBot="1" x14ac:dyDescent="0.3">
      <c r="A443" s="1776"/>
      <c r="B443" s="1151"/>
      <c r="C443" s="1161"/>
      <c r="D443" s="203" t="s">
        <v>270</v>
      </c>
      <c r="E443" s="106"/>
      <c r="F443" s="253">
        <f>(F442/F440)*100</f>
        <v>5</v>
      </c>
      <c r="G443" s="253">
        <f t="shared" ref="G443:K443" si="51">(G442/G440)*100</f>
        <v>7.6923076923076925</v>
      </c>
      <c r="H443" s="253">
        <f t="shared" si="51"/>
        <v>15.384615384615385</v>
      </c>
      <c r="I443" s="253">
        <f t="shared" si="51"/>
        <v>16.666666666666664</v>
      </c>
      <c r="J443" s="253">
        <f t="shared" si="51"/>
        <v>15.151515151515152</v>
      </c>
      <c r="K443" s="253">
        <f t="shared" si="51"/>
        <v>12.5</v>
      </c>
      <c r="L443" s="22"/>
    </row>
    <row r="444" spans="1:12" ht="14.85" customHeight="1" x14ac:dyDescent="0.25">
      <c r="A444" s="1776"/>
      <c r="B444" s="1151"/>
      <c r="C444" s="1159" t="s">
        <v>583</v>
      </c>
      <c r="D444" s="248" t="s">
        <v>251</v>
      </c>
      <c r="E444" s="249"/>
      <c r="F444" s="250">
        <v>107</v>
      </c>
      <c r="G444" s="250">
        <v>71</v>
      </c>
      <c r="H444" s="250">
        <v>204</v>
      </c>
      <c r="I444" s="250">
        <v>228</v>
      </c>
      <c r="J444" s="250">
        <v>228</v>
      </c>
      <c r="K444" s="36">
        <v>235</v>
      </c>
      <c r="L444" s="20"/>
    </row>
    <row r="445" spans="1:12" ht="14.85" customHeight="1" x14ac:dyDescent="0.25">
      <c r="A445" s="1776"/>
      <c r="B445" s="1151"/>
      <c r="C445" s="1160"/>
      <c r="D445" s="28" t="s">
        <v>257</v>
      </c>
      <c r="E445" s="94"/>
      <c r="F445" s="96">
        <v>3</v>
      </c>
      <c r="G445" s="96">
        <v>2</v>
      </c>
      <c r="H445" s="96">
        <v>18</v>
      </c>
      <c r="I445" s="96">
        <v>20</v>
      </c>
      <c r="J445" s="96">
        <v>16</v>
      </c>
      <c r="K445" s="1018">
        <v>17</v>
      </c>
      <c r="L445" s="21"/>
    </row>
    <row r="446" spans="1:12" x14ac:dyDescent="0.25">
      <c r="A446" s="1776"/>
      <c r="B446" s="1151"/>
      <c r="C446" s="1160"/>
      <c r="D446" s="28" t="s">
        <v>263</v>
      </c>
      <c r="E446" s="94"/>
      <c r="F446" s="96">
        <v>104</v>
      </c>
      <c r="G446" s="96">
        <v>69</v>
      </c>
      <c r="H446" s="96">
        <v>186</v>
      </c>
      <c r="I446" s="96">
        <v>208</v>
      </c>
      <c r="J446" s="96">
        <v>212</v>
      </c>
      <c r="K446" s="1018">
        <v>218</v>
      </c>
      <c r="L446" s="21"/>
    </row>
    <row r="447" spans="1:12" ht="16.5" thickBot="1" x14ac:dyDescent="0.3">
      <c r="A447" s="1776"/>
      <c r="B447" s="1151"/>
      <c r="C447" s="1161"/>
      <c r="D447" s="203" t="s">
        <v>270</v>
      </c>
      <c r="E447" s="106"/>
      <c r="F447" s="251">
        <f t="shared" ref="F447:G447" si="52">(F446/F444)*100</f>
        <v>97.196261682242991</v>
      </c>
      <c r="G447" s="251">
        <f t="shared" si="52"/>
        <v>97.183098591549296</v>
      </c>
      <c r="H447" s="251">
        <f>(H446/H444)*100</f>
        <v>91.17647058823529</v>
      </c>
      <c r="I447" s="251">
        <f t="shared" ref="I447:K447" si="53">(I446/I444)*100</f>
        <v>91.228070175438589</v>
      </c>
      <c r="J447" s="251">
        <f t="shared" si="53"/>
        <v>92.982456140350877</v>
      </c>
      <c r="K447" s="251">
        <f t="shared" si="53"/>
        <v>92.765957446808514</v>
      </c>
      <c r="L447" s="22"/>
    </row>
    <row r="448" spans="1:12" x14ac:dyDescent="0.25">
      <c r="A448" s="1776"/>
      <c r="B448" s="1151"/>
      <c r="C448" s="1159" t="s">
        <v>471</v>
      </c>
      <c r="D448" s="248" t="s">
        <v>251</v>
      </c>
      <c r="E448" s="249"/>
      <c r="F448" s="250">
        <v>212</v>
      </c>
      <c r="G448" s="250">
        <v>159</v>
      </c>
      <c r="H448" s="250">
        <v>383</v>
      </c>
      <c r="I448" s="250">
        <v>363</v>
      </c>
      <c r="J448" s="250">
        <v>373</v>
      </c>
      <c r="K448" s="36">
        <v>408</v>
      </c>
      <c r="L448" s="20"/>
    </row>
    <row r="449" spans="1:12" x14ac:dyDescent="0.25">
      <c r="A449" s="1776"/>
      <c r="B449" s="1151"/>
      <c r="C449" s="1160"/>
      <c r="D449" s="28" t="s">
        <v>257</v>
      </c>
      <c r="E449" s="94"/>
      <c r="F449" s="80">
        <v>127</v>
      </c>
      <c r="G449" s="80">
        <v>97</v>
      </c>
      <c r="H449" s="80">
        <v>226</v>
      </c>
      <c r="I449" s="80">
        <v>209</v>
      </c>
      <c r="J449" s="80">
        <v>210</v>
      </c>
      <c r="K449" s="1018">
        <v>219</v>
      </c>
      <c r="L449" s="21"/>
    </row>
    <row r="450" spans="1:12" x14ac:dyDescent="0.25">
      <c r="A450" s="1776"/>
      <c r="B450" s="1151"/>
      <c r="C450" s="1160"/>
      <c r="D450" s="28" t="s">
        <v>263</v>
      </c>
      <c r="E450" s="94"/>
      <c r="F450" s="80">
        <v>85</v>
      </c>
      <c r="G450" s="80">
        <v>62</v>
      </c>
      <c r="H450" s="80">
        <v>157</v>
      </c>
      <c r="I450" s="80">
        <v>154</v>
      </c>
      <c r="J450" s="80">
        <v>163</v>
      </c>
      <c r="K450" s="1018">
        <v>189</v>
      </c>
      <c r="L450" s="21"/>
    </row>
    <row r="451" spans="1:12" ht="16.5" thickBot="1" x14ac:dyDescent="0.3">
      <c r="A451" s="1776"/>
      <c r="B451" s="1151"/>
      <c r="C451" s="1161"/>
      <c r="D451" s="203" t="s">
        <v>270</v>
      </c>
      <c r="E451" s="106"/>
      <c r="F451" s="252">
        <f t="shared" ref="F451:G451" si="54">(F450/F448)*100</f>
        <v>40.094339622641513</v>
      </c>
      <c r="G451" s="1050">
        <f t="shared" si="54"/>
        <v>38.9937106918239</v>
      </c>
      <c r="H451" s="252">
        <f>(H450/H448)*100</f>
        <v>40.992167101827675</v>
      </c>
      <c r="I451" s="252">
        <f t="shared" ref="I451:K451" si="55">(I450/I448)*100</f>
        <v>42.424242424242422</v>
      </c>
      <c r="J451" s="252">
        <f t="shared" si="55"/>
        <v>43.699731903485258</v>
      </c>
      <c r="K451" s="252">
        <f t="shared" si="55"/>
        <v>46.32352941176471</v>
      </c>
      <c r="L451" s="22"/>
    </row>
    <row r="452" spans="1:12" x14ac:dyDescent="0.25">
      <c r="A452" s="1776"/>
      <c r="B452" s="1151"/>
      <c r="C452" s="1159" t="s">
        <v>589</v>
      </c>
      <c r="D452" s="248" t="s">
        <v>251</v>
      </c>
      <c r="E452" s="249"/>
      <c r="F452" s="250">
        <v>41</v>
      </c>
      <c r="G452" s="250">
        <v>29</v>
      </c>
      <c r="H452" s="250">
        <v>44</v>
      </c>
      <c r="I452" s="250">
        <v>49</v>
      </c>
      <c r="J452" s="250">
        <v>39</v>
      </c>
      <c r="K452" s="36">
        <v>36</v>
      </c>
      <c r="L452" s="20"/>
    </row>
    <row r="453" spans="1:12" x14ac:dyDescent="0.25">
      <c r="A453" s="1776"/>
      <c r="B453" s="1151"/>
      <c r="C453" s="1160"/>
      <c r="D453" s="28" t="s">
        <v>257</v>
      </c>
      <c r="E453" s="94"/>
      <c r="F453" s="80">
        <v>39</v>
      </c>
      <c r="G453" s="80">
        <v>27</v>
      </c>
      <c r="H453" s="80">
        <v>43</v>
      </c>
      <c r="I453" s="80">
        <v>48</v>
      </c>
      <c r="J453" s="80">
        <v>38</v>
      </c>
      <c r="K453" s="28">
        <v>36</v>
      </c>
      <c r="L453" s="21"/>
    </row>
    <row r="454" spans="1:12" x14ac:dyDescent="0.25">
      <c r="A454" s="1776"/>
      <c r="B454" s="1151"/>
      <c r="C454" s="1160"/>
      <c r="D454" s="28" t="s">
        <v>263</v>
      </c>
      <c r="E454" s="94"/>
      <c r="F454" s="80">
        <v>2</v>
      </c>
      <c r="G454" s="80">
        <v>2</v>
      </c>
      <c r="H454" s="80">
        <v>1</v>
      </c>
      <c r="I454" s="80">
        <v>1</v>
      </c>
      <c r="J454" s="80">
        <v>1</v>
      </c>
      <c r="K454" s="28">
        <v>0</v>
      </c>
      <c r="L454" s="21"/>
    </row>
    <row r="455" spans="1:12" ht="16.5" thickBot="1" x14ac:dyDescent="0.3">
      <c r="A455" s="1776"/>
      <c r="B455" s="1151"/>
      <c r="C455" s="1161"/>
      <c r="D455" s="203" t="s">
        <v>270</v>
      </c>
      <c r="E455" s="106"/>
      <c r="F455" s="253">
        <f t="shared" ref="F455:G455" si="56">(F454/F452)*100</f>
        <v>4.8780487804878048</v>
      </c>
      <c r="G455" s="253">
        <f t="shared" si="56"/>
        <v>6.8965517241379306</v>
      </c>
      <c r="H455" s="253">
        <f>(H454/H452)*100</f>
        <v>2.2727272727272729</v>
      </c>
      <c r="I455" s="253">
        <f t="shared" ref="I455:K455" si="57">(I454/I452)*100</f>
        <v>2.0408163265306123</v>
      </c>
      <c r="J455" s="253">
        <f t="shared" si="57"/>
        <v>2.5641025641025639</v>
      </c>
      <c r="K455" s="253">
        <f t="shared" si="57"/>
        <v>0</v>
      </c>
      <c r="L455" s="22"/>
    </row>
    <row r="456" spans="1:12" x14ac:dyDescent="0.25">
      <c r="A456" s="1776"/>
      <c r="B456" s="1151"/>
      <c r="C456" s="1584" t="s">
        <v>585</v>
      </c>
      <c r="D456" s="248" t="s">
        <v>251</v>
      </c>
      <c r="E456" s="249"/>
      <c r="F456" s="344">
        <v>76</v>
      </c>
      <c r="G456" s="344">
        <v>21</v>
      </c>
      <c r="H456" s="344"/>
      <c r="I456" s="250"/>
      <c r="J456" s="250"/>
      <c r="K456" s="36"/>
      <c r="L456" s="20"/>
    </row>
    <row r="457" spans="1:12" x14ac:dyDescent="0.25">
      <c r="A457" s="1776"/>
      <c r="B457" s="1151"/>
      <c r="C457" s="1585"/>
      <c r="D457" s="28" t="s">
        <v>257</v>
      </c>
      <c r="E457" s="94"/>
      <c r="F457" s="181">
        <v>24</v>
      </c>
      <c r="G457" s="181">
        <v>10</v>
      </c>
      <c r="H457" s="181"/>
      <c r="I457" s="80"/>
      <c r="J457" s="80"/>
      <c r="K457" s="28"/>
      <c r="L457" s="21"/>
    </row>
    <row r="458" spans="1:12" x14ac:dyDescent="0.25">
      <c r="A458" s="1776"/>
      <c r="B458" s="1151"/>
      <c r="C458" s="1585"/>
      <c r="D458" s="28" t="s">
        <v>263</v>
      </c>
      <c r="E458" s="94"/>
      <c r="F458" s="181">
        <v>52</v>
      </c>
      <c r="G458" s="181">
        <v>11</v>
      </c>
      <c r="H458" s="181"/>
      <c r="I458" s="80"/>
      <c r="J458" s="80"/>
      <c r="K458" s="28"/>
      <c r="L458" s="21"/>
    </row>
    <row r="459" spans="1:12" ht="16.5" thickBot="1" x14ac:dyDescent="0.3">
      <c r="A459" s="1776"/>
      <c r="B459" s="1151"/>
      <c r="C459" s="1586"/>
      <c r="D459" s="203" t="s">
        <v>270</v>
      </c>
      <c r="E459" s="106"/>
      <c r="F459" s="251">
        <f t="shared" ref="F459:G459" si="58">(F458/F456)*100</f>
        <v>68.421052631578945</v>
      </c>
      <c r="G459" s="252">
        <f t="shared" si="58"/>
        <v>52.380952380952387</v>
      </c>
      <c r="H459" s="106"/>
      <c r="I459" s="106"/>
      <c r="J459" s="106"/>
      <c r="K459" s="33"/>
      <c r="L459" s="22"/>
    </row>
    <row r="460" spans="1:12" ht="14.85" customHeight="1" x14ac:dyDescent="0.25">
      <c r="A460" s="1776"/>
      <c r="B460" s="1151"/>
      <c r="C460" s="1584" t="s">
        <v>590</v>
      </c>
      <c r="D460" s="248" t="s">
        <v>251</v>
      </c>
      <c r="E460" s="249"/>
      <c r="F460" s="344">
        <v>37</v>
      </c>
      <c r="G460" s="344">
        <v>29</v>
      </c>
      <c r="H460" s="344">
        <v>38</v>
      </c>
      <c r="I460" s="250">
        <v>50</v>
      </c>
      <c r="J460" s="250">
        <v>51</v>
      </c>
      <c r="K460" s="36">
        <v>54</v>
      </c>
      <c r="L460" s="20"/>
    </row>
    <row r="461" spans="1:12" ht="14.85" customHeight="1" x14ac:dyDescent="0.25">
      <c r="A461" s="1776"/>
      <c r="B461" s="1151"/>
      <c r="C461" s="1585"/>
      <c r="D461" s="28" t="s">
        <v>257</v>
      </c>
      <c r="E461" s="94"/>
      <c r="F461" s="181">
        <v>37</v>
      </c>
      <c r="G461" s="181">
        <v>29</v>
      </c>
      <c r="H461" s="181">
        <v>38</v>
      </c>
      <c r="I461" s="80">
        <v>49</v>
      </c>
      <c r="J461" s="80">
        <v>49</v>
      </c>
      <c r="K461" s="28">
        <v>53</v>
      </c>
      <c r="L461" s="21"/>
    </row>
    <row r="462" spans="1:12" x14ac:dyDescent="0.25">
      <c r="A462" s="1776"/>
      <c r="B462" s="1151"/>
      <c r="C462" s="1585"/>
      <c r="D462" s="28" t="s">
        <v>263</v>
      </c>
      <c r="E462" s="94"/>
      <c r="F462" s="181">
        <v>0</v>
      </c>
      <c r="G462" s="181">
        <v>0</v>
      </c>
      <c r="H462" s="181">
        <v>0</v>
      </c>
      <c r="I462" s="80">
        <v>1</v>
      </c>
      <c r="J462" s="80">
        <v>2</v>
      </c>
      <c r="K462" s="28">
        <v>1</v>
      </c>
      <c r="L462" s="21"/>
    </row>
    <row r="463" spans="1:12" ht="16.5" thickBot="1" x14ac:dyDescent="0.3">
      <c r="A463" s="1776"/>
      <c r="B463" s="1151"/>
      <c r="C463" s="1586"/>
      <c r="D463" s="203" t="s">
        <v>270</v>
      </c>
      <c r="E463" s="106"/>
      <c r="F463" s="253">
        <f t="shared" ref="F463:K463" si="59">(F462/F460)*100</f>
        <v>0</v>
      </c>
      <c r="G463" s="253">
        <f t="shared" si="59"/>
        <v>0</v>
      </c>
      <c r="H463" s="253">
        <f t="shared" si="59"/>
        <v>0</v>
      </c>
      <c r="I463" s="253">
        <f t="shared" si="59"/>
        <v>2</v>
      </c>
      <c r="J463" s="253">
        <f t="shared" si="59"/>
        <v>3.9215686274509802</v>
      </c>
      <c r="K463" s="253">
        <f t="shared" si="59"/>
        <v>1.8518518518518516</v>
      </c>
      <c r="L463" s="22"/>
    </row>
    <row r="464" spans="1:12" ht="14.85" customHeight="1" x14ac:dyDescent="0.25">
      <c r="A464" s="1776"/>
      <c r="B464" s="1151"/>
      <c r="C464" s="1584" t="s">
        <v>465</v>
      </c>
      <c r="D464" s="248" t="s">
        <v>251</v>
      </c>
      <c r="E464" s="249"/>
      <c r="F464" s="344">
        <v>49</v>
      </c>
      <c r="G464" s="344"/>
      <c r="H464" s="250">
        <v>17</v>
      </c>
      <c r="I464" s="250">
        <v>21</v>
      </c>
      <c r="J464" s="250">
        <v>14</v>
      </c>
      <c r="K464" s="36">
        <v>136</v>
      </c>
      <c r="L464" s="20"/>
    </row>
    <row r="465" spans="1:12" ht="14.85" customHeight="1" x14ac:dyDescent="0.25">
      <c r="A465" s="1776"/>
      <c r="B465" s="1151"/>
      <c r="C465" s="1585"/>
      <c r="D465" s="28" t="s">
        <v>257</v>
      </c>
      <c r="E465" s="94"/>
      <c r="F465" s="181">
        <v>0</v>
      </c>
      <c r="G465" s="181"/>
      <c r="H465" s="80">
        <v>5</v>
      </c>
      <c r="I465" s="80">
        <v>10</v>
      </c>
      <c r="J465" s="80">
        <v>6</v>
      </c>
      <c r="K465" s="28">
        <v>31</v>
      </c>
      <c r="L465" s="21"/>
    </row>
    <row r="466" spans="1:12" x14ac:dyDescent="0.25">
      <c r="A466" s="1776"/>
      <c r="B466" s="1151"/>
      <c r="C466" s="1585"/>
      <c r="D466" s="28" t="s">
        <v>263</v>
      </c>
      <c r="E466" s="94"/>
      <c r="F466" s="181">
        <v>49</v>
      </c>
      <c r="G466" s="181"/>
      <c r="H466" s="80">
        <v>12</v>
      </c>
      <c r="I466" s="80">
        <v>11</v>
      </c>
      <c r="J466" s="80">
        <v>8</v>
      </c>
      <c r="K466" s="28">
        <v>105</v>
      </c>
      <c r="L466" s="21"/>
    </row>
    <row r="467" spans="1:12" ht="16.5" thickBot="1" x14ac:dyDescent="0.3">
      <c r="A467" s="1776"/>
      <c r="B467" s="1151"/>
      <c r="C467" s="1586"/>
      <c r="D467" s="203" t="s">
        <v>270</v>
      </c>
      <c r="E467" s="106"/>
      <c r="F467" s="251">
        <f t="shared" ref="F467" si="60">(F466/F464)*100</f>
        <v>100</v>
      </c>
      <c r="G467" s="106"/>
      <c r="H467" s="251">
        <f t="shared" ref="H467:K467" si="61">(H466/H464)*100</f>
        <v>70.588235294117652</v>
      </c>
      <c r="I467" s="252">
        <f t="shared" si="61"/>
        <v>52.380952380952387</v>
      </c>
      <c r="J467" s="252">
        <f t="shared" si="61"/>
        <v>57.142857142857139</v>
      </c>
      <c r="K467" s="252">
        <f t="shared" si="61"/>
        <v>77.205882352941174</v>
      </c>
      <c r="L467" s="22"/>
    </row>
    <row r="468" spans="1:12" x14ac:dyDescent="0.25">
      <c r="A468" s="1776"/>
      <c r="B468" s="1151"/>
      <c r="C468" s="1584" t="s">
        <v>586</v>
      </c>
      <c r="D468" s="248" t="s">
        <v>251</v>
      </c>
      <c r="E468" s="249"/>
      <c r="F468" s="344">
        <v>39</v>
      </c>
      <c r="G468" s="344"/>
      <c r="H468" s="344"/>
      <c r="I468" s="250"/>
      <c r="J468" s="250"/>
      <c r="K468" s="36"/>
      <c r="L468" s="20"/>
    </row>
    <row r="469" spans="1:12" x14ac:dyDescent="0.25">
      <c r="A469" s="1776"/>
      <c r="B469" s="1151"/>
      <c r="C469" s="1585"/>
      <c r="D469" s="28" t="s">
        <v>257</v>
      </c>
      <c r="E469" s="94"/>
      <c r="F469" s="181">
        <v>25</v>
      </c>
      <c r="G469" s="181"/>
      <c r="H469" s="181"/>
      <c r="I469" s="80"/>
      <c r="J469" s="80"/>
      <c r="K469" s="28"/>
      <c r="L469" s="21"/>
    </row>
    <row r="470" spans="1:12" x14ac:dyDescent="0.25">
      <c r="A470" s="1776"/>
      <c r="B470" s="1151"/>
      <c r="C470" s="1585"/>
      <c r="D470" s="28" t="s">
        <v>263</v>
      </c>
      <c r="E470" s="94"/>
      <c r="F470" s="181">
        <v>14</v>
      </c>
      <c r="G470" s="181"/>
      <c r="H470" s="181"/>
      <c r="I470" s="80"/>
      <c r="J470" s="80"/>
      <c r="K470" s="28"/>
      <c r="L470" s="21"/>
    </row>
    <row r="471" spans="1:12" ht="16.5" thickBot="1" x14ac:dyDescent="0.3">
      <c r="A471" s="1776"/>
      <c r="B471" s="1151"/>
      <c r="C471" s="1586"/>
      <c r="D471" s="203" t="s">
        <v>270</v>
      </c>
      <c r="E471" s="106"/>
      <c r="F471" s="253">
        <f t="shared" ref="F471" si="62">(F470/F468)*100</f>
        <v>35.897435897435898</v>
      </c>
      <c r="G471" s="106"/>
      <c r="H471" s="104"/>
      <c r="I471" s="104"/>
      <c r="J471" s="104"/>
      <c r="K471" s="33"/>
      <c r="L471" s="22"/>
    </row>
    <row r="472" spans="1:12" ht="15.6" customHeight="1" x14ac:dyDescent="0.25">
      <c r="A472" s="1776"/>
      <c r="B472" s="1151"/>
      <c r="C472" s="1584" t="s">
        <v>478</v>
      </c>
      <c r="D472" s="248" t="s">
        <v>251</v>
      </c>
      <c r="E472" s="249"/>
      <c r="F472" s="344"/>
      <c r="G472" s="344">
        <v>98</v>
      </c>
      <c r="H472" s="344">
        <v>74</v>
      </c>
      <c r="I472" s="250">
        <v>70</v>
      </c>
      <c r="J472" s="250">
        <v>74</v>
      </c>
      <c r="K472" s="36">
        <v>81</v>
      </c>
      <c r="L472" s="20"/>
    </row>
    <row r="473" spans="1:12" x14ac:dyDescent="0.25">
      <c r="A473" s="1776"/>
      <c r="B473" s="1151"/>
      <c r="C473" s="1585"/>
      <c r="D473" s="28" t="s">
        <v>257</v>
      </c>
      <c r="E473" s="94"/>
      <c r="F473" s="181"/>
      <c r="G473" s="181">
        <v>84</v>
      </c>
      <c r="H473" s="181">
        <v>66</v>
      </c>
      <c r="I473" s="80">
        <v>61</v>
      </c>
      <c r="J473" s="80">
        <v>67</v>
      </c>
      <c r="K473" s="28">
        <v>73</v>
      </c>
      <c r="L473" s="21"/>
    </row>
    <row r="474" spans="1:12" x14ac:dyDescent="0.25">
      <c r="A474" s="1776"/>
      <c r="B474" s="1151"/>
      <c r="C474" s="1585"/>
      <c r="D474" s="28" t="s">
        <v>263</v>
      </c>
      <c r="E474" s="94"/>
      <c r="F474" s="181"/>
      <c r="G474" s="181">
        <v>14</v>
      </c>
      <c r="H474" s="181">
        <v>8</v>
      </c>
      <c r="I474" s="80">
        <v>9</v>
      </c>
      <c r="J474" s="80">
        <v>7</v>
      </c>
      <c r="K474" s="28">
        <v>8</v>
      </c>
      <c r="L474" s="21"/>
    </row>
    <row r="475" spans="1:12" ht="16.5" thickBot="1" x14ac:dyDescent="0.3">
      <c r="A475" s="1776"/>
      <c r="B475" s="1151"/>
      <c r="C475" s="1586"/>
      <c r="D475" s="203" t="s">
        <v>270</v>
      </c>
      <c r="E475" s="106"/>
      <c r="F475" s="106"/>
      <c r="G475" s="253">
        <f t="shared" ref="G475:K475" si="63">(G474/G472)*100</f>
        <v>14.285714285714285</v>
      </c>
      <c r="H475" s="253">
        <f t="shared" si="63"/>
        <v>10.810810810810811</v>
      </c>
      <c r="I475" s="253">
        <f t="shared" si="63"/>
        <v>12.857142857142856</v>
      </c>
      <c r="J475" s="253">
        <f t="shared" si="63"/>
        <v>9.4594594594594597</v>
      </c>
      <c r="K475" s="253">
        <f t="shared" si="63"/>
        <v>9.8765432098765427</v>
      </c>
      <c r="L475" s="22"/>
    </row>
    <row r="476" spans="1:12" ht="14.85" customHeight="1" x14ac:dyDescent="0.25">
      <c r="A476" s="1776"/>
      <c r="B476" s="1151"/>
      <c r="C476" s="1159" t="s">
        <v>541</v>
      </c>
      <c r="D476" s="248" t="s">
        <v>251</v>
      </c>
      <c r="E476" s="249"/>
      <c r="F476" s="344"/>
      <c r="G476" s="344"/>
      <c r="H476" s="344">
        <v>55</v>
      </c>
      <c r="I476" s="250">
        <v>48</v>
      </c>
      <c r="J476" s="250">
        <v>53</v>
      </c>
      <c r="K476" s="36">
        <v>53</v>
      </c>
      <c r="L476" s="20"/>
    </row>
    <row r="477" spans="1:12" ht="14.85" customHeight="1" x14ac:dyDescent="0.25">
      <c r="A477" s="1776"/>
      <c r="B477" s="1151"/>
      <c r="C477" s="1160"/>
      <c r="D477" s="28" t="s">
        <v>257</v>
      </c>
      <c r="E477" s="94"/>
      <c r="F477" s="181"/>
      <c r="G477" s="181"/>
      <c r="H477" s="181">
        <v>40</v>
      </c>
      <c r="I477" s="80">
        <v>35</v>
      </c>
      <c r="J477" s="80">
        <v>38</v>
      </c>
      <c r="K477" s="28">
        <v>37</v>
      </c>
      <c r="L477" s="21"/>
    </row>
    <row r="478" spans="1:12" x14ac:dyDescent="0.25">
      <c r="A478" s="1776"/>
      <c r="B478" s="1151"/>
      <c r="C478" s="1160"/>
      <c r="D478" s="28" t="s">
        <v>263</v>
      </c>
      <c r="E478" s="94"/>
      <c r="F478" s="181"/>
      <c r="G478" s="181"/>
      <c r="H478" s="181">
        <v>15</v>
      </c>
      <c r="I478" s="80">
        <v>13</v>
      </c>
      <c r="J478" s="80">
        <v>15</v>
      </c>
      <c r="K478" s="28">
        <v>16</v>
      </c>
      <c r="L478" s="21"/>
    </row>
    <row r="479" spans="1:12" ht="16.5" thickBot="1" x14ac:dyDescent="0.3">
      <c r="A479" s="1776"/>
      <c r="B479" s="1151"/>
      <c r="C479" s="1161"/>
      <c r="D479" s="203" t="s">
        <v>270</v>
      </c>
      <c r="E479" s="106"/>
      <c r="F479" s="106"/>
      <c r="G479" s="106"/>
      <c r="H479" s="253">
        <f t="shared" ref="H479:K479" si="64">(H478/H476)*100</f>
        <v>27.27272727272727</v>
      </c>
      <c r="I479" s="253">
        <f t="shared" si="64"/>
        <v>27.083333333333332</v>
      </c>
      <c r="J479" s="253">
        <f t="shared" si="64"/>
        <v>28.30188679245283</v>
      </c>
      <c r="K479" s="253">
        <f t="shared" si="64"/>
        <v>30.188679245283019</v>
      </c>
      <c r="L479" s="22"/>
    </row>
    <row r="480" spans="1:12" x14ac:dyDescent="0.25">
      <c r="A480" s="1776"/>
      <c r="B480" s="1151"/>
      <c r="C480" s="1885" t="s">
        <v>472</v>
      </c>
      <c r="D480" s="308" t="s">
        <v>473</v>
      </c>
      <c r="E480" s="612"/>
      <c r="F480" s="261">
        <f>5/11*100</f>
        <v>45.454545454545453</v>
      </c>
      <c r="G480" s="261">
        <v>70</v>
      </c>
      <c r="H480" s="261">
        <f>6/11*100</f>
        <v>54.54545454545454</v>
      </c>
      <c r="I480" s="261">
        <f>6/11*100</f>
        <v>54.54545454545454</v>
      </c>
      <c r="J480" s="261">
        <f>6/11*100</f>
        <v>54.54545454545454</v>
      </c>
      <c r="K480" s="261">
        <f>6/11*100</f>
        <v>54.54545454545454</v>
      </c>
      <c r="L480" s="20"/>
    </row>
    <row r="481" spans="1:12" x14ac:dyDescent="0.25">
      <c r="A481" s="1776"/>
      <c r="B481" s="1151"/>
      <c r="C481" s="1886"/>
      <c r="D481" s="232" t="s">
        <v>474</v>
      </c>
      <c r="E481" s="92"/>
      <c r="F481" s="234">
        <f>5/11*100</f>
        <v>45.454545454545453</v>
      </c>
      <c r="G481" s="234">
        <v>20</v>
      </c>
      <c r="H481" s="234">
        <f>3/11*100</f>
        <v>27.27272727272727</v>
      </c>
      <c r="I481" s="234">
        <f>2/11*100</f>
        <v>18.181818181818183</v>
      </c>
      <c r="J481" s="234">
        <f>2/11*100</f>
        <v>18.181818181818183</v>
      </c>
      <c r="K481" s="234">
        <f>2/11*100</f>
        <v>18.181818181818183</v>
      </c>
      <c r="L481" s="21"/>
    </row>
    <row r="482" spans="1:12" ht="16.5" thickBot="1" x14ac:dyDescent="0.3">
      <c r="A482" s="1776"/>
      <c r="B482" s="1152"/>
      <c r="C482" s="1887"/>
      <c r="D482" s="311" t="s">
        <v>475</v>
      </c>
      <c r="E482" s="106"/>
      <c r="F482" s="312">
        <f>1/11*100</f>
        <v>9.0909090909090917</v>
      </c>
      <c r="G482" s="312">
        <v>10</v>
      </c>
      <c r="H482" s="312">
        <f>2/11*100</f>
        <v>18.181818181818183</v>
      </c>
      <c r="I482" s="312">
        <f>3/11*100</f>
        <v>27.27272727272727</v>
      </c>
      <c r="J482" s="312">
        <f>3/11*100</f>
        <v>27.27272727272727</v>
      </c>
      <c r="K482" s="312">
        <f>3/11*100</f>
        <v>27.27272727272727</v>
      </c>
      <c r="L482" s="22"/>
    </row>
    <row r="483" spans="1:12" ht="16.5" thickBot="1" x14ac:dyDescent="0.3">
      <c r="A483" s="1775"/>
      <c r="B483" s="823" t="s">
        <v>249</v>
      </c>
      <c r="C483" s="1675"/>
      <c r="D483" s="1675"/>
      <c r="E483" s="112" t="s">
        <v>442</v>
      </c>
      <c r="F483" s="112" t="s">
        <v>443</v>
      </c>
      <c r="G483" s="112" t="s">
        <v>444</v>
      </c>
      <c r="H483" s="112" t="s">
        <v>445</v>
      </c>
      <c r="I483" s="112" t="s">
        <v>446</v>
      </c>
      <c r="J483" s="112" t="s">
        <v>447</v>
      </c>
      <c r="K483" s="112" t="s">
        <v>448</v>
      </c>
      <c r="L483" s="112" t="s">
        <v>449</v>
      </c>
    </row>
    <row r="484" spans="1:12" x14ac:dyDescent="0.25">
      <c r="A484" s="1776"/>
      <c r="B484" s="1744" t="s">
        <v>219</v>
      </c>
      <c r="C484" s="1251" t="s">
        <v>459</v>
      </c>
      <c r="D484" s="1206"/>
      <c r="E484" s="36"/>
      <c r="F484" s="260"/>
      <c r="G484" s="260"/>
      <c r="H484" s="359">
        <v>108</v>
      </c>
      <c r="I484" s="359">
        <v>391</v>
      </c>
      <c r="J484" s="359">
        <v>477</v>
      </c>
      <c r="K484" s="359">
        <v>432</v>
      </c>
      <c r="L484" s="325"/>
    </row>
    <row r="485" spans="1:12" x14ac:dyDescent="0.25">
      <c r="A485" s="1776"/>
      <c r="B485" s="1678"/>
      <c r="C485" s="1123" t="s">
        <v>436</v>
      </c>
      <c r="D485" s="1124"/>
      <c r="E485" s="28"/>
      <c r="F485" s="158"/>
      <c r="G485" s="158"/>
      <c r="H485" s="817">
        <v>70</v>
      </c>
      <c r="I485" s="817">
        <v>235</v>
      </c>
      <c r="J485" s="817">
        <v>295</v>
      </c>
      <c r="K485" s="817">
        <v>243</v>
      </c>
      <c r="L485" s="317"/>
    </row>
    <row r="486" spans="1:12" x14ac:dyDescent="0.25">
      <c r="A486" s="1776"/>
      <c r="B486" s="1678"/>
      <c r="C486" s="1123" t="s">
        <v>437</v>
      </c>
      <c r="D486" s="1124"/>
      <c r="E486" s="96"/>
      <c r="F486" s="96"/>
      <c r="G486" s="96"/>
      <c r="H486" s="358">
        <v>38</v>
      </c>
      <c r="I486" s="358">
        <v>156</v>
      </c>
      <c r="J486" s="358">
        <v>182</v>
      </c>
      <c r="K486" s="358">
        <v>189</v>
      </c>
      <c r="L486" s="21"/>
    </row>
    <row r="487" spans="1:12" x14ac:dyDescent="0.25">
      <c r="A487" s="1776"/>
      <c r="B487" s="1678"/>
      <c r="C487" s="1111" t="s">
        <v>353</v>
      </c>
      <c r="D487" s="1112"/>
      <c r="E487" s="157"/>
      <c r="F487" s="157"/>
      <c r="G487" s="157"/>
      <c r="H487" s="157">
        <f>H486-H485</f>
        <v>-32</v>
      </c>
      <c r="I487" s="157">
        <f>I486-I485</f>
        <v>-79</v>
      </c>
      <c r="J487" s="157">
        <f>J486-J485</f>
        <v>-113</v>
      </c>
      <c r="K487" s="157">
        <f>K486-K485</f>
        <v>-54</v>
      </c>
      <c r="L487" s="21"/>
    </row>
    <row r="488" spans="1:12" ht="16.5" thickBot="1" x14ac:dyDescent="0.3">
      <c r="A488" s="1776"/>
      <c r="B488" s="1678"/>
      <c r="C488" s="1125" t="s">
        <v>270</v>
      </c>
      <c r="D488" s="1126"/>
      <c r="E488" s="190"/>
      <c r="F488" s="190"/>
      <c r="G488" s="190"/>
      <c r="H488" s="34">
        <f>H486/H484*100</f>
        <v>35.185185185185183</v>
      </c>
      <c r="I488" s="34">
        <f>I486/I484*100</f>
        <v>39.897698209718669</v>
      </c>
      <c r="J488" s="34">
        <f>J486/J484*100</f>
        <v>38.155136268343817</v>
      </c>
      <c r="K488" s="34">
        <f>K486/K484*100</f>
        <v>43.75</v>
      </c>
      <c r="L488" s="22"/>
    </row>
    <row r="489" spans="1:12" x14ac:dyDescent="0.25">
      <c r="A489" s="1776"/>
      <c r="B489" s="1678"/>
      <c r="C489" s="1406" t="s">
        <v>484</v>
      </c>
      <c r="D489" s="1405"/>
      <c r="E489" s="225"/>
      <c r="F489" s="225"/>
      <c r="G489" s="225"/>
      <c r="H489" s="261">
        <f>3/4*100</f>
        <v>75</v>
      </c>
      <c r="I489" s="261">
        <f>7/11*100</f>
        <v>63.636363636363633</v>
      </c>
      <c r="J489" s="261">
        <f>8/11*100</f>
        <v>72.727272727272734</v>
      </c>
      <c r="K489" s="315">
        <v>33.333333333333329</v>
      </c>
      <c r="L489" s="20"/>
    </row>
    <row r="490" spans="1:12" x14ac:dyDescent="0.25">
      <c r="A490" s="1776"/>
      <c r="B490" s="1678"/>
      <c r="C490" s="1111" t="s">
        <v>485</v>
      </c>
      <c r="D490" s="1112"/>
      <c r="E490" s="96"/>
      <c r="F490" s="96"/>
      <c r="G490" s="96"/>
      <c r="H490" s="235">
        <v>0</v>
      </c>
      <c r="I490" s="235">
        <v>0</v>
      </c>
      <c r="J490" s="235">
        <f>1/11*100</f>
        <v>9.0909090909090917</v>
      </c>
      <c r="K490" s="237">
        <v>33.333333333333329</v>
      </c>
      <c r="L490" s="21"/>
    </row>
    <row r="491" spans="1:12" ht="16.5" thickBot="1" x14ac:dyDescent="0.3">
      <c r="A491" s="1777"/>
      <c r="B491" s="1745"/>
      <c r="C491" s="1359" t="s">
        <v>486</v>
      </c>
      <c r="D491" s="1225"/>
      <c r="E491" s="190"/>
      <c r="F491" s="190"/>
      <c r="G491" s="190"/>
      <c r="H491" s="904">
        <f>1/4*100</f>
        <v>25</v>
      </c>
      <c r="I491" s="904">
        <f>4/11*100</f>
        <v>36.363636363636367</v>
      </c>
      <c r="J491" s="904">
        <f>2/11*100</f>
        <v>18.181818181818183</v>
      </c>
      <c r="K491" s="256">
        <v>33.333333333333329</v>
      </c>
      <c r="L491" s="22"/>
    </row>
    <row r="492" spans="1:12" ht="16.5" thickBot="1" x14ac:dyDescent="0.3">
      <c r="A492" s="338" t="s">
        <v>248</v>
      </c>
      <c r="B492" s="822" t="s">
        <v>249</v>
      </c>
      <c r="C492" s="1675"/>
      <c r="D492" s="1675"/>
      <c r="E492" s="112">
        <v>2005</v>
      </c>
      <c r="F492" s="112">
        <v>2010</v>
      </c>
      <c r="G492" s="112">
        <v>2015</v>
      </c>
      <c r="H492" s="112">
        <v>2020</v>
      </c>
      <c r="I492" s="112">
        <v>2021</v>
      </c>
      <c r="J492" s="112">
        <v>2022</v>
      </c>
      <c r="K492" s="112">
        <v>2023</v>
      </c>
      <c r="L492" s="112">
        <v>2024</v>
      </c>
    </row>
    <row r="493" spans="1:12" ht="15" customHeight="1" x14ac:dyDescent="0.25">
      <c r="A493" s="1735" t="s">
        <v>487</v>
      </c>
      <c r="B493" s="1572" t="s">
        <v>227</v>
      </c>
      <c r="C493" s="1205" t="s">
        <v>435</v>
      </c>
      <c r="D493" s="1206"/>
      <c r="E493" s="36"/>
      <c r="F493" s="36"/>
      <c r="G493" s="36"/>
      <c r="H493" s="36"/>
      <c r="I493" s="36"/>
      <c r="J493" s="36"/>
      <c r="K493" s="195">
        <v>1442</v>
      </c>
      <c r="L493" s="325">
        <v>1515</v>
      </c>
    </row>
    <row r="494" spans="1:12" x14ac:dyDescent="0.25">
      <c r="A494" s="1736"/>
      <c r="B494" s="1573"/>
      <c r="C494" s="1148" t="s">
        <v>533</v>
      </c>
      <c r="D494" s="1124"/>
      <c r="E494" s="28"/>
      <c r="F494" s="28"/>
      <c r="G494" s="28"/>
      <c r="H494" s="28"/>
      <c r="I494" s="28"/>
      <c r="J494" s="28"/>
      <c r="K494" s="28">
        <v>470</v>
      </c>
      <c r="L494" s="21">
        <v>490</v>
      </c>
    </row>
    <row r="495" spans="1:12" x14ac:dyDescent="0.25">
      <c r="A495" s="1736"/>
      <c r="B495" s="1573"/>
      <c r="C495" s="1148" t="s">
        <v>534</v>
      </c>
      <c r="D495" s="1124"/>
      <c r="E495" s="28"/>
      <c r="F495" s="28"/>
      <c r="G495" s="28"/>
      <c r="H495" s="28"/>
      <c r="I495" s="28"/>
      <c r="J495" s="28"/>
      <c r="K495" s="28">
        <v>972</v>
      </c>
      <c r="L495" s="21">
        <v>1025</v>
      </c>
    </row>
    <row r="496" spans="1:12" x14ac:dyDescent="0.25">
      <c r="A496" s="1736"/>
      <c r="B496" s="1573"/>
      <c r="C496" s="1561" t="s">
        <v>353</v>
      </c>
      <c r="D496" s="1128"/>
      <c r="E496" s="28"/>
      <c r="F496" s="28"/>
      <c r="G496" s="28"/>
      <c r="H496" s="28"/>
      <c r="I496" s="28"/>
      <c r="J496" s="28"/>
      <c r="K496" s="262">
        <f t="shared" ref="K496" si="65">K495-K494</f>
        <v>502</v>
      </c>
      <c r="L496" s="317">
        <v>535</v>
      </c>
    </row>
    <row r="497" spans="1:12" ht="16.5" thickBot="1" x14ac:dyDescent="0.3">
      <c r="A497" s="1736"/>
      <c r="B497" s="1574"/>
      <c r="C497" s="1169" t="s">
        <v>270</v>
      </c>
      <c r="D497" s="1126"/>
      <c r="E497" s="197"/>
      <c r="F497" s="197"/>
      <c r="G497" s="197"/>
      <c r="H497" s="197"/>
      <c r="I497" s="197"/>
      <c r="J497" s="197"/>
      <c r="K497" s="161">
        <f t="shared" ref="K497" si="66">K495/K493*100</f>
        <v>67.40638002773926</v>
      </c>
      <c r="L497" s="162">
        <v>67.656765676567659</v>
      </c>
    </row>
    <row r="498" spans="1:12" x14ac:dyDescent="0.25">
      <c r="A498" s="1736"/>
      <c r="B498" s="1692" t="s">
        <v>488</v>
      </c>
      <c r="C498" s="1405" t="s">
        <v>489</v>
      </c>
      <c r="D498" s="1405"/>
      <c r="E498" s="40"/>
      <c r="F498" s="40">
        <v>102</v>
      </c>
      <c r="G498" s="40">
        <v>107</v>
      </c>
      <c r="H498" s="40">
        <v>140</v>
      </c>
      <c r="I498" s="40"/>
      <c r="J498" s="40"/>
      <c r="K498" s="40">
        <v>152</v>
      </c>
      <c r="L498" s="1072">
        <v>48</v>
      </c>
    </row>
    <row r="499" spans="1:12" x14ac:dyDescent="0.25">
      <c r="A499" s="1736"/>
      <c r="B499" s="1693"/>
      <c r="C499" s="1112" t="s">
        <v>490</v>
      </c>
      <c r="D499" s="1112"/>
      <c r="E499" s="157"/>
      <c r="F499" s="44">
        <v>2</v>
      </c>
      <c r="G499" s="44">
        <v>2</v>
      </c>
      <c r="H499" s="44">
        <v>4</v>
      </c>
      <c r="I499" s="44"/>
      <c r="J499" s="44"/>
      <c r="K499" s="44">
        <v>6</v>
      </c>
      <c r="L499" s="1072">
        <v>2</v>
      </c>
    </row>
    <row r="500" spans="1:12" ht="16.5" thickBot="1" x14ac:dyDescent="0.3">
      <c r="A500" s="1737"/>
      <c r="B500" s="1694"/>
      <c r="C500" s="1890" t="s">
        <v>491</v>
      </c>
      <c r="D500" s="1890"/>
      <c r="E500" s="203"/>
      <c r="F500" s="161">
        <f>F499/F498*100</f>
        <v>1.9607843137254901</v>
      </c>
      <c r="G500" s="161">
        <f t="shared" ref="G500:H500" si="67">G499/G498*100</f>
        <v>1.8691588785046727</v>
      </c>
      <c r="H500" s="161">
        <f t="shared" si="67"/>
        <v>2.8571428571428572</v>
      </c>
      <c r="I500" s="203"/>
      <c r="J500" s="203"/>
      <c r="K500" s="161">
        <f>K499/K498*100</f>
        <v>3.9473684210526314</v>
      </c>
      <c r="L500" s="859">
        <v>4.1666666666666661</v>
      </c>
    </row>
    <row r="501" spans="1:12" ht="16.5" thickBot="1" x14ac:dyDescent="0.3">
      <c r="A501" s="767" t="s">
        <v>248</v>
      </c>
      <c r="B501" s="852" t="s">
        <v>249</v>
      </c>
      <c r="C501" s="1681"/>
      <c r="D501" s="1681"/>
      <c r="E501" s="774">
        <v>2005</v>
      </c>
      <c r="F501" s="774">
        <v>2010</v>
      </c>
      <c r="G501" s="774">
        <v>2015</v>
      </c>
      <c r="H501" s="774">
        <v>2020</v>
      </c>
      <c r="I501" s="774">
        <v>2021</v>
      </c>
      <c r="J501" s="774">
        <v>2022</v>
      </c>
      <c r="K501" s="774">
        <v>2023</v>
      </c>
      <c r="L501" s="616">
        <v>2024</v>
      </c>
    </row>
    <row r="502" spans="1:12" ht="15" customHeight="1" x14ac:dyDescent="0.25">
      <c r="A502" s="1621" t="s">
        <v>492</v>
      </c>
      <c r="B502" s="1258" t="s">
        <v>493</v>
      </c>
      <c r="C502" s="1205" t="s">
        <v>459</v>
      </c>
      <c r="D502" s="1206"/>
      <c r="E502" s="36"/>
      <c r="F502" s="225">
        <v>1859</v>
      </c>
      <c r="G502" s="225">
        <v>1828</v>
      </c>
      <c r="H502" s="225">
        <v>2127</v>
      </c>
      <c r="I502" s="225">
        <v>2838</v>
      </c>
      <c r="J502" s="225">
        <v>3200</v>
      </c>
      <c r="K502" s="195">
        <v>3140</v>
      </c>
      <c r="L502" s="20">
        <v>3041</v>
      </c>
    </row>
    <row r="503" spans="1:12" x14ac:dyDescent="0.25">
      <c r="A503" s="1622"/>
      <c r="B503" s="1259"/>
      <c r="C503" s="1117" t="s">
        <v>436</v>
      </c>
      <c r="D503" s="28" t="s">
        <v>494</v>
      </c>
      <c r="E503" s="28"/>
      <c r="F503" s="96">
        <v>865</v>
      </c>
      <c r="G503" s="96">
        <v>763</v>
      </c>
      <c r="H503" s="96">
        <v>1053</v>
      </c>
      <c r="I503" s="96">
        <v>1393</v>
      </c>
      <c r="J503" s="96">
        <v>1581</v>
      </c>
      <c r="K503" s="96">
        <v>1500</v>
      </c>
      <c r="L503" s="21">
        <v>1545</v>
      </c>
    </row>
    <row r="504" spans="1:12" x14ac:dyDescent="0.25">
      <c r="A504" s="1622"/>
      <c r="B504" s="1259"/>
      <c r="C504" s="1117"/>
      <c r="D504" s="28" t="s">
        <v>495</v>
      </c>
      <c r="E504" s="28"/>
      <c r="F504" s="96">
        <v>128</v>
      </c>
      <c r="G504" s="96">
        <v>134</v>
      </c>
      <c r="H504" s="96">
        <v>147</v>
      </c>
      <c r="I504" s="96">
        <v>198</v>
      </c>
      <c r="J504" s="96">
        <v>242</v>
      </c>
      <c r="K504" s="96">
        <v>223</v>
      </c>
      <c r="L504" s="21">
        <v>215</v>
      </c>
    </row>
    <row r="505" spans="1:12" x14ac:dyDescent="0.25">
      <c r="A505" s="1622"/>
      <c r="B505" s="1259"/>
      <c r="C505" s="1117" t="s">
        <v>437</v>
      </c>
      <c r="D505" s="28" t="s">
        <v>496</v>
      </c>
      <c r="E505" s="28"/>
      <c r="F505" s="96">
        <v>255</v>
      </c>
      <c r="G505" s="96">
        <v>287</v>
      </c>
      <c r="H505" s="96">
        <v>381</v>
      </c>
      <c r="I505" s="96">
        <v>523</v>
      </c>
      <c r="J505" s="96">
        <v>612</v>
      </c>
      <c r="K505" s="96">
        <v>553</v>
      </c>
      <c r="L505" s="21">
        <v>564</v>
      </c>
    </row>
    <row r="506" spans="1:12" ht="16.5" thickBot="1" x14ac:dyDescent="0.3">
      <c r="A506" s="1622"/>
      <c r="B506" s="1259"/>
      <c r="C506" s="1118"/>
      <c r="D506" s="33" t="s">
        <v>497</v>
      </c>
      <c r="E506" s="33"/>
      <c r="F506" s="190">
        <v>206</v>
      </c>
      <c r="G506" s="190">
        <v>185</v>
      </c>
      <c r="H506" s="190">
        <v>204</v>
      </c>
      <c r="I506" s="190">
        <v>265</v>
      </c>
      <c r="J506" s="190">
        <v>313</v>
      </c>
      <c r="K506" s="190">
        <v>330</v>
      </c>
      <c r="L506" s="22">
        <v>286</v>
      </c>
    </row>
    <row r="507" spans="1:12" x14ac:dyDescent="0.25">
      <c r="A507" s="1622"/>
      <c r="B507" s="1259"/>
      <c r="C507" s="1888" t="s">
        <v>353</v>
      </c>
      <c r="D507" s="202" t="s">
        <v>498</v>
      </c>
      <c r="E507" s="202"/>
      <c r="F507" s="130">
        <f t="shared" ref="F507:L507" si="68">+F505-F503</f>
        <v>-610</v>
      </c>
      <c r="G507" s="130">
        <f t="shared" si="68"/>
        <v>-476</v>
      </c>
      <c r="H507" s="130">
        <f t="shared" si="68"/>
        <v>-672</v>
      </c>
      <c r="I507" s="130">
        <f t="shared" si="68"/>
        <v>-870</v>
      </c>
      <c r="J507" s="130">
        <f t="shared" si="68"/>
        <v>-969</v>
      </c>
      <c r="K507" s="130">
        <f t="shared" si="68"/>
        <v>-947</v>
      </c>
      <c r="L507" s="130">
        <f t="shared" si="68"/>
        <v>-981</v>
      </c>
    </row>
    <row r="508" spans="1:12" x14ac:dyDescent="0.25">
      <c r="A508" s="1622"/>
      <c r="B508" s="1259"/>
      <c r="C508" s="1889"/>
      <c r="D508" s="44" t="s">
        <v>499</v>
      </c>
      <c r="E508" s="44"/>
      <c r="F508" s="79">
        <f t="shared" ref="F508:L508" si="69">F506-F504</f>
        <v>78</v>
      </c>
      <c r="G508" s="79">
        <f t="shared" si="69"/>
        <v>51</v>
      </c>
      <c r="H508" s="79">
        <f t="shared" si="69"/>
        <v>57</v>
      </c>
      <c r="I508" s="79">
        <f t="shared" si="69"/>
        <v>67</v>
      </c>
      <c r="J508" s="79">
        <f t="shared" si="69"/>
        <v>71</v>
      </c>
      <c r="K508" s="79">
        <f t="shared" si="69"/>
        <v>107</v>
      </c>
      <c r="L508" s="79">
        <f t="shared" si="69"/>
        <v>71</v>
      </c>
    </row>
    <row r="509" spans="1:12" ht="16.5" customHeight="1" x14ac:dyDescent="0.25">
      <c r="A509" s="1622"/>
      <c r="B509" s="1259"/>
      <c r="C509" s="1889" t="s">
        <v>270</v>
      </c>
      <c r="D509" s="44" t="s">
        <v>500</v>
      </c>
      <c r="E509" s="44"/>
      <c r="F509" s="263">
        <f>+F505/(F505+F503)*100</f>
        <v>22.767857142857142</v>
      </c>
      <c r="G509" s="263">
        <f t="shared" ref="G509:L510" si="70">+G505/(G505+G503)*100</f>
        <v>27.333333333333332</v>
      </c>
      <c r="H509" s="263">
        <f t="shared" si="70"/>
        <v>26.569037656903767</v>
      </c>
      <c r="I509" s="263">
        <f t="shared" si="70"/>
        <v>27.296450939457202</v>
      </c>
      <c r="J509" s="263">
        <f t="shared" si="70"/>
        <v>27.906976744186046</v>
      </c>
      <c r="K509" s="263">
        <f t="shared" si="70"/>
        <v>26.936190940087677</v>
      </c>
      <c r="L509" s="263">
        <f t="shared" si="70"/>
        <v>26.742532005689903</v>
      </c>
    </row>
    <row r="510" spans="1:12" ht="16.5" thickBot="1" x14ac:dyDescent="0.3">
      <c r="A510" s="1623"/>
      <c r="B510" s="1260"/>
      <c r="C510" s="1891"/>
      <c r="D510" s="203" t="s">
        <v>591</v>
      </c>
      <c r="E510" s="203"/>
      <c r="F510" s="230">
        <f>+F506/(F506+F504)*100</f>
        <v>61.676646706586823</v>
      </c>
      <c r="G510" s="230">
        <f t="shared" si="70"/>
        <v>57.993730407523515</v>
      </c>
      <c r="H510" s="230">
        <f t="shared" si="70"/>
        <v>58.119658119658126</v>
      </c>
      <c r="I510" s="230">
        <f t="shared" si="70"/>
        <v>57.235421166306701</v>
      </c>
      <c r="J510" s="230">
        <f t="shared" si="70"/>
        <v>56.396396396396398</v>
      </c>
      <c r="K510" s="230">
        <f t="shared" si="70"/>
        <v>59.674502712477398</v>
      </c>
      <c r="L510" s="230">
        <f t="shared" si="70"/>
        <v>57.085828343313374</v>
      </c>
    </row>
  </sheetData>
  <mergeCells count="238">
    <mergeCell ref="C509:C510"/>
    <mergeCell ref="B502:B510"/>
    <mergeCell ref="A502:A510"/>
    <mergeCell ref="A362:A491"/>
    <mergeCell ref="B362:B370"/>
    <mergeCell ref="C362:C364"/>
    <mergeCell ref="C365:C367"/>
    <mergeCell ref="C368:D368"/>
    <mergeCell ref="C369:D369"/>
    <mergeCell ref="C370:D370"/>
    <mergeCell ref="C372:D372"/>
    <mergeCell ref="C373:D373"/>
    <mergeCell ref="C374:D374"/>
    <mergeCell ref="C375:D375"/>
    <mergeCell ref="C424:D424"/>
    <mergeCell ref="C425:D425"/>
    <mergeCell ref="C426:D426"/>
    <mergeCell ref="C427:D427"/>
    <mergeCell ref="B484:B491"/>
    <mergeCell ref="C484:D484"/>
    <mergeCell ref="C485:D485"/>
    <mergeCell ref="C486:D486"/>
    <mergeCell ref="C488:D488"/>
    <mergeCell ref="C491:D491"/>
    <mergeCell ref="C423:D423"/>
    <mergeCell ref="C350:D350"/>
    <mergeCell ref="C358:D358"/>
    <mergeCell ref="C359:D359"/>
    <mergeCell ref="C360:D360"/>
    <mergeCell ref="C351:C353"/>
    <mergeCell ref="C388:C391"/>
    <mergeCell ref="C408:C411"/>
    <mergeCell ref="C412:C415"/>
    <mergeCell ref="C392:C395"/>
    <mergeCell ref="C396:C399"/>
    <mergeCell ref="C400:C403"/>
    <mergeCell ref="C404:C407"/>
    <mergeCell ref="C380:C383"/>
    <mergeCell ref="C384:C387"/>
    <mergeCell ref="C357:D357"/>
    <mergeCell ref="C371:D371"/>
    <mergeCell ref="C416:C419"/>
    <mergeCell ref="C483:D483"/>
    <mergeCell ref="C428:C431"/>
    <mergeCell ref="C452:C455"/>
    <mergeCell ref="C456:C459"/>
    <mergeCell ref="C460:C463"/>
    <mergeCell ref="C464:C467"/>
    <mergeCell ref="A493:A500"/>
    <mergeCell ref="B493:B497"/>
    <mergeCell ref="C493:D493"/>
    <mergeCell ref="C494:D494"/>
    <mergeCell ref="C495:D495"/>
    <mergeCell ref="C497:D497"/>
    <mergeCell ref="B498:B500"/>
    <mergeCell ref="C498:D498"/>
    <mergeCell ref="C500:D500"/>
    <mergeCell ref="C496:D496"/>
    <mergeCell ref="C476:C479"/>
    <mergeCell ref="C468:C471"/>
    <mergeCell ref="C472:C475"/>
    <mergeCell ref="C436:C439"/>
    <mergeCell ref="C487:D487"/>
    <mergeCell ref="C499:D499"/>
    <mergeCell ref="C507:C508"/>
    <mergeCell ref="C376:C379"/>
    <mergeCell ref="C316:D316"/>
    <mergeCell ref="C341:D341"/>
    <mergeCell ref="A342:A349"/>
    <mergeCell ref="B342:B345"/>
    <mergeCell ref="C342:D342"/>
    <mergeCell ref="C343:D343"/>
    <mergeCell ref="C344:D344"/>
    <mergeCell ref="C345:D345"/>
    <mergeCell ref="B346:B349"/>
    <mergeCell ref="C346:D346"/>
    <mergeCell ref="C347:D347"/>
    <mergeCell ref="C348:D348"/>
    <mergeCell ref="C349:D349"/>
    <mergeCell ref="B326:B335"/>
    <mergeCell ref="C326:C330"/>
    <mergeCell ref="A317:A340"/>
    <mergeCell ref="B317:B321"/>
    <mergeCell ref="C317:D317"/>
    <mergeCell ref="C318:D318"/>
    <mergeCell ref="C319:D319"/>
    <mergeCell ref="A351:A360"/>
    <mergeCell ref="B351:B360"/>
    <mergeCell ref="B336:B340"/>
    <mergeCell ref="C336:D336"/>
    <mergeCell ref="C337:D337"/>
    <mergeCell ref="C338:D338"/>
    <mergeCell ref="C339:D339"/>
    <mergeCell ref="C340:D340"/>
    <mergeCell ref="B322:B325"/>
    <mergeCell ref="C503:C504"/>
    <mergeCell ref="C505:C506"/>
    <mergeCell ref="C354:C356"/>
    <mergeCell ref="C361:D361"/>
    <mergeCell ref="C501:D501"/>
    <mergeCell ref="C502:D502"/>
    <mergeCell ref="C492:D492"/>
    <mergeCell ref="C420:C422"/>
    <mergeCell ref="C480:C482"/>
    <mergeCell ref="B424:B482"/>
    <mergeCell ref="B372:B422"/>
    <mergeCell ref="C432:C435"/>
    <mergeCell ref="C440:C443"/>
    <mergeCell ref="C444:C447"/>
    <mergeCell ref="C448:C451"/>
    <mergeCell ref="C489:D489"/>
    <mergeCell ref="C490:D490"/>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 ref="C321:D321"/>
    <mergeCell ref="C322:D322"/>
    <mergeCell ref="C323:D323"/>
    <mergeCell ref="C324:D324"/>
    <mergeCell ref="C325:D325"/>
    <mergeCell ref="C331:C335"/>
    <mergeCell ref="C293:C296"/>
    <mergeCell ref="C297:C300"/>
    <mergeCell ref="C301:C304"/>
    <mergeCell ref="C305:C308"/>
    <mergeCell ref="C309:C312"/>
    <mergeCell ref="C313:D313"/>
    <mergeCell ref="C314:D314"/>
    <mergeCell ref="C315:D315"/>
    <mergeCell ref="C320:D320"/>
  </mergeCells>
  <conditionalFormatting sqref="E50 G50:L50">
    <cfRule type="cellIs" dxfId="449" priority="134" operator="greaterThan">
      <formula>1</formula>
    </cfRule>
    <cfRule type="cellIs" dxfId="448" priority="132" operator="greaterThan">
      <formula>1</formula>
    </cfRule>
    <cfRule type="cellIs" dxfId="447" priority="131" operator="greaterThan">
      <formula>1</formula>
    </cfRule>
    <cfRule type="cellIs" dxfId="446" priority="130" operator="lessThan">
      <formula>1</formula>
    </cfRule>
    <cfRule type="cellIs" dxfId="445" priority="133" operator="lessThan">
      <formula>1</formula>
    </cfRule>
  </conditionalFormatting>
  <conditionalFormatting sqref="E51 G51:L51">
    <cfRule type="cellIs" dxfId="444" priority="141" operator="greaterThan">
      <formula>50</formula>
    </cfRule>
    <cfRule type="cellIs" dxfId="443" priority="142" operator="lessThan">
      <formula>50</formula>
    </cfRule>
  </conditionalFormatting>
  <conditionalFormatting sqref="E349:F349">
    <cfRule type="cellIs" dxfId="442" priority="98" operator="greaterThan">
      <formula>0</formula>
    </cfRule>
    <cfRule type="cellIs" dxfId="441" priority="97" operator="lessThan">
      <formula>0</formula>
    </cfRule>
  </conditionalFormatting>
  <conditionalFormatting sqref="E39:L39">
    <cfRule type="cellIs" dxfId="440" priority="716" operator="greaterThan">
      <formula>1</formula>
    </cfRule>
    <cfRule type="cellIs" dxfId="439" priority="715" operator="lessThan">
      <formula>1</formula>
    </cfRule>
    <cfRule type="cellIs" dxfId="438" priority="714" operator="greaterThan">
      <formula>1</formula>
    </cfRule>
    <cfRule type="cellIs" dxfId="437" priority="713" operator="greaterThan">
      <formula>1</formula>
    </cfRule>
  </conditionalFormatting>
  <conditionalFormatting sqref="E40:L40">
    <cfRule type="cellIs" dxfId="436" priority="718" operator="greaterThan">
      <formula>50</formula>
    </cfRule>
    <cfRule type="cellIs" dxfId="435" priority="717" operator="lessThan">
      <formula>50</formula>
    </cfRule>
    <cfRule type="cellIs" dxfId="434" priority="712" operator="greaterThan">
      <formula>50</formula>
    </cfRule>
  </conditionalFormatting>
  <conditionalFormatting sqref="E44:L44">
    <cfRule type="cellIs" dxfId="433" priority="711" operator="greaterThan">
      <formula>1</formula>
    </cfRule>
    <cfRule type="cellIs" dxfId="432" priority="710" operator="lessThan">
      <formula>1</formula>
    </cfRule>
    <cfRule type="cellIs" dxfId="431" priority="709" operator="greaterThan">
      <formula>1</formula>
    </cfRule>
    <cfRule type="cellIs" dxfId="430" priority="708" operator="greaterThan">
      <formula>1</formula>
    </cfRule>
  </conditionalFormatting>
  <conditionalFormatting sqref="E45:L45">
    <cfRule type="cellIs" dxfId="429" priority="707" operator="greaterThan">
      <formula>50</formula>
    </cfRule>
    <cfRule type="cellIs" dxfId="428" priority="706" operator="lessThan">
      <formula>50</formula>
    </cfRule>
    <cfRule type="cellIs" dxfId="427" priority="705" operator="greaterThan">
      <formula>50</formula>
    </cfRule>
  </conditionalFormatting>
  <conditionalFormatting sqref="F370:K370">
    <cfRule type="cellIs" dxfId="426" priority="93" operator="lessThan">
      <formula>0</formula>
    </cfRule>
  </conditionalFormatting>
  <conditionalFormatting sqref="F320:L321">
    <cfRule type="cellIs" dxfId="425" priority="114" operator="lessThan">
      <formula>1</formula>
    </cfRule>
  </conditionalFormatting>
  <conditionalFormatting sqref="F507:L507">
    <cfRule type="cellIs" dxfId="424" priority="12" operator="lessThan">
      <formula>0</formula>
    </cfRule>
  </conditionalFormatting>
  <conditionalFormatting sqref="F508:L510">
    <cfRule type="cellIs" dxfId="423" priority="10" operator="greaterThan">
      <formula>0</formula>
    </cfRule>
  </conditionalFormatting>
  <conditionalFormatting sqref="F510:L510">
    <cfRule type="cellIs" dxfId="422" priority="14" operator="greaterThan">
      <formula>0</formula>
    </cfRule>
    <cfRule type="cellIs" dxfId="421" priority="15" operator="lessThan">
      <formula>0</formula>
    </cfRule>
  </conditionalFormatting>
  <conditionalFormatting sqref="G325:L325">
    <cfRule type="cellIs" dxfId="420" priority="120" operator="greaterThan">
      <formula>0</formula>
    </cfRule>
    <cfRule type="cellIs" dxfId="419" priority="121" operator="lessThan">
      <formula>1</formula>
    </cfRule>
  </conditionalFormatting>
  <conditionalFormatting sqref="H360">
    <cfRule type="cellIs" dxfId="418" priority="20" operator="lessThan">
      <formula>0</formula>
    </cfRule>
    <cfRule type="cellIs" dxfId="417" priority="21" operator="greaterThan">
      <formula>0</formula>
    </cfRule>
  </conditionalFormatting>
  <conditionalFormatting sqref="H487:J487">
    <cfRule type="cellIs" dxfId="416" priority="2" operator="greaterThan">
      <formula>0</formula>
    </cfRule>
  </conditionalFormatting>
  <conditionalFormatting sqref="H59:K59">
    <cfRule type="cellIs" dxfId="415" priority="137" operator="greaterThan">
      <formula>0</formula>
    </cfRule>
  </conditionalFormatting>
  <conditionalFormatting sqref="H60:K60">
    <cfRule type="cellIs" dxfId="414" priority="138" operator="lessThan">
      <formula>50</formula>
    </cfRule>
    <cfRule type="cellIs" dxfId="413" priority="136" operator="greaterThan">
      <formula>50</formula>
    </cfRule>
    <cfRule type="cellIs" dxfId="412" priority="135" operator="lessThan">
      <formula>50</formula>
    </cfRule>
    <cfRule type="cellIs" dxfId="411" priority="139" operator="greaterThan">
      <formula>50</formula>
    </cfRule>
  </conditionalFormatting>
  <conditionalFormatting sqref="H339:K339">
    <cfRule type="cellIs" dxfId="410" priority="127" operator="greaterThan">
      <formula>0</formula>
    </cfRule>
    <cfRule type="cellIs" dxfId="409" priority="128" operator="lessThan">
      <formula>0</formula>
    </cfRule>
    <cfRule type="cellIs" dxfId="408" priority="129" operator="greaterThan">
      <formula>0</formula>
    </cfRule>
    <cfRule type="cellIs" dxfId="407" priority="123" operator="lessThan">
      <formula>0</formula>
    </cfRule>
  </conditionalFormatting>
  <conditionalFormatting sqref="H340:K340">
    <cfRule type="cellIs" dxfId="406" priority="126" operator="greaterThan">
      <formula>50</formula>
    </cfRule>
    <cfRule type="cellIs" dxfId="405" priority="102" operator="greaterThan">
      <formula>50</formula>
    </cfRule>
    <cfRule type="cellIs" dxfId="404" priority="122" operator="lessThan">
      <formula>50</formula>
    </cfRule>
  </conditionalFormatting>
  <conditionalFormatting sqref="H487:K487">
    <cfRule type="cellIs" dxfId="403" priority="1" operator="lessThan">
      <formula>0</formula>
    </cfRule>
  </conditionalFormatting>
  <conditionalFormatting sqref="H488:K488">
    <cfRule type="cellIs" dxfId="402" priority="3" operator="lessThan">
      <formula>50</formula>
    </cfRule>
  </conditionalFormatting>
  <conditionalFormatting sqref="H55:L55">
    <cfRule type="cellIs" dxfId="401" priority="140" operator="greaterThan">
      <formula>0</formula>
    </cfRule>
  </conditionalFormatting>
  <conditionalFormatting sqref="I329:L329">
    <cfRule type="cellIs" dxfId="400" priority="116" operator="lessThan">
      <formula>0</formula>
    </cfRule>
    <cfRule type="cellIs" dxfId="399" priority="108" operator="greaterThan">
      <formula>0</formula>
    </cfRule>
  </conditionalFormatting>
  <conditionalFormatting sqref="I330:L330">
    <cfRule type="cellIs" dxfId="398" priority="115" operator="greaterThan">
      <formula>50</formula>
    </cfRule>
    <cfRule type="cellIs" dxfId="397" priority="107" operator="greaterThan">
      <formula>50</formula>
    </cfRule>
    <cfRule type="cellIs" dxfId="396" priority="118" operator="lessThan">
      <formula>50</formula>
    </cfRule>
  </conditionalFormatting>
  <conditionalFormatting sqref="I334:L334">
    <cfRule type="cellIs" dxfId="395" priority="125" operator="lessThan">
      <formula>1</formula>
    </cfRule>
    <cfRule type="cellIs" dxfId="394" priority="124" operator="greaterThan">
      <formula>0</formula>
    </cfRule>
    <cfRule type="cellIs" dxfId="393" priority="105" operator="greaterThan">
      <formula>0</formula>
    </cfRule>
  </conditionalFormatting>
  <conditionalFormatting sqref="I335:L335">
    <cfRule type="cellIs" dxfId="392" priority="103" operator="greaterThan">
      <formula>50</formula>
    </cfRule>
  </conditionalFormatting>
  <conditionalFormatting sqref="K497">
    <cfRule type="cellIs" dxfId="391" priority="7" operator="lessThan">
      <formula>50</formula>
    </cfRule>
    <cfRule type="cellIs" dxfId="390" priority="8" operator="lessThan">
      <formula>50</formula>
    </cfRule>
    <cfRule type="cellIs" dxfId="389" priority="9" operator="greaterThan">
      <formula>50</formula>
    </cfRule>
  </conditionalFormatting>
  <hyperlinks>
    <hyperlink ref="M1" location="INDICADORES!A1" display="INDICADORES" xr:uid="{69FE7E02-4A93-47DB-8F2F-56CC8EED2A3A}"/>
    <hyperlink ref="O1" location="DISTRITOS!A1" display="DISTRITOS" xr:uid="{56593C64-273B-4F2D-8253-98985D95C15B}"/>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954EA-2D4F-4CB0-AE8F-97CDB0B864F0}">
  <sheetPr codeName="Hoja19">
    <tabColor theme="8" tint="-0.249977111117893"/>
  </sheetPr>
  <dimension ref="A1:O486"/>
  <sheetViews>
    <sheetView showGridLines="0" topLeftCell="C1" zoomScale="80" zoomScaleNormal="80" workbookViewId="0">
      <pane ySplit="2" topLeftCell="A464" activePane="bottomLeft" state="frozen"/>
      <selection activeCell="C3" activeCellId="1" sqref="K60 C3:K3"/>
      <selection pane="bottomLeft" activeCell="L473" sqref="L473"/>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4.5703125" style="11" customWidth="1"/>
    <col min="14" max="14" width="5.85546875" style="11" customWidth="1"/>
    <col min="15" max="15" width="14.5703125" style="11" customWidth="1"/>
    <col min="16" max="16384" width="11.42578125" style="11"/>
  </cols>
  <sheetData>
    <row r="1" spans="1:15" ht="30" customHeight="1" thickTop="1" thickBot="1" x14ac:dyDescent="0.3">
      <c r="A1" s="1020" t="s">
        <v>592</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row>
    <row r="3" spans="1:15" s="64" customFormat="1" x14ac:dyDescent="0.25">
      <c r="A3" s="1782" t="s">
        <v>26</v>
      </c>
      <c r="B3" s="1759" t="s">
        <v>568</v>
      </c>
      <c r="C3" s="1537" t="s">
        <v>251</v>
      </c>
      <c r="D3" s="1211"/>
      <c r="E3" s="81">
        <v>153789</v>
      </c>
      <c r="F3" s="81">
        <v>174686</v>
      </c>
      <c r="G3" s="81">
        <v>174343</v>
      </c>
      <c r="H3" s="81">
        <v>193264</v>
      </c>
      <c r="I3" s="81">
        <v>193228</v>
      </c>
      <c r="J3" s="81">
        <v>195017</v>
      </c>
      <c r="K3" s="81">
        <v>198391</v>
      </c>
      <c r="L3" s="82">
        <v>205182</v>
      </c>
    </row>
    <row r="4" spans="1:15" x14ac:dyDescent="0.25">
      <c r="A4" s="1783"/>
      <c r="B4" s="1760"/>
      <c r="C4" s="1304" t="s">
        <v>257</v>
      </c>
      <c r="D4" s="1213"/>
      <c r="E4" s="80">
        <v>73771</v>
      </c>
      <c r="F4" s="80">
        <v>83191</v>
      </c>
      <c r="G4" s="80">
        <v>82747</v>
      </c>
      <c r="H4" s="80">
        <v>91659</v>
      </c>
      <c r="I4" s="80">
        <v>91585</v>
      </c>
      <c r="J4" s="80">
        <v>92532</v>
      </c>
      <c r="K4" s="80">
        <v>94100</v>
      </c>
      <c r="L4" s="83">
        <v>97439</v>
      </c>
    </row>
    <row r="5" spans="1:15" x14ac:dyDescent="0.25">
      <c r="A5" s="1783"/>
      <c r="B5" s="1760"/>
      <c r="C5" s="1304" t="s">
        <v>263</v>
      </c>
      <c r="D5" s="1213"/>
      <c r="E5" s="80">
        <v>80018</v>
      </c>
      <c r="F5" s="80">
        <v>91495</v>
      </c>
      <c r="G5" s="80">
        <v>91596</v>
      </c>
      <c r="H5" s="80">
        <v>101605</v>
      </c>
      <c r="I5" s="80">
        <v>101643</v>
      </c>
      <c r="J5" s="80">
        <v>102485</v>
      </c>
      <c r="K5" s="80">
        <v>104291</v>
      </c>
      <c r="L5" s="83">
        <v>107743</v>
      </c>
    </row>
    <row r="6" spans="1:15" x14ac:dyDescent="0.25">
      <c r="A6" s="1783"/>
      <c r="B6" s="1761"/>
      <c r="C6" s="1425" t="s">
        <v>269</v>
      </c>
      <c r="D6" s="1215"/>
      <c r="E6" s="363">
        <f>+E5-E4</f>
        <v>6247</v>
      </c>
      <c r="F6" s="363">
        <f t="shared" ref="F6:L6" si="0">+F5-F4</f>
        <v>8304</v>
      </c>
      <c r="G6" s="363">
        <f t="shared" si="0"/>
        <v>8849</v>
      </c>
      <c r="H6" s="363">
        <f t="shared" si="0"/>
        <v>9946</v>
      </c>
      <c r="I6" s="363">
        <f t="shared" si="0"/>
        <v>10058</v>
      </c>
      <c r="J6" s="363">
        <f t="shared" si="0"/>
        <v>9953</v>
      </c>
      <c r="K6" s="363">
        <f t="shared" si="0"/>
        <v>10191</v>
      </c>
      <c r="L6" s="365">
        <f t="shared" si="0"/>
        <v>10304</v>
      </c>
    </row>
    <row r="7" spans="1:15" ht="16.5" thickBot="1" x14ac:dyDescent="0.3">
      <c r="A7" s="1783"/>
      <c r="B7" s="1762"/>
      <c r="C7" s="1125" t="s">
        <v>270</v>
      </c>
      <c r="D7" s="1126"/>
      <c r="E7" s="366">
        <f>E5/E3*100</f>
        <v>52.03102952746945</v>
      </c>
      <c r="F7" s="366">
        <f t="shared" ref="F7:L7" si="1">F5/F3*100</f>
        <v>52.376836151723658</v>
      </c>
      <c r="G7" s="366">
        <f t="shared" si="1"/>
        <v>52.537813390844491</v>
      </c>
      <c r="H7" s="366">
        <f t="shared" si="1"/>
        <v>52.573164169219311</v>
      </c>
      <c r="I7" s="366">
        <f t="shared" si="1"/>
        <v>52.602624878382024</v>
      </c>
      <c r="J7" s="366">
        <f t="shared" si="1"/>
        <v>52.55182881492383</v>
      </c>
      <c r="K7" s="366">
        <f t="shared" si="1"/>
        <v>52.568412881632732</v>
      </c>
      <c r="L7" s="367">
        <f t="shared" si="1"/>
        <v>52.510941505590161</v>
      </c>
    </row>
    <row r="8" spans="1:15" x14ac:dyDescent="0.25">
      <c r="A8" s="1783"/>
      <c r="B8" s="1896" t="s">
        <v>569</v>
      </c>
      <c r="C8" s="1300" t="s">
        <v>257</v>
      </c>
      <c r="D8" s="168" t="s">
        <v>272</v>
      </c>
      <c r="E8" s="81">
        <v>73771</v>
      </c>
      <c r="F8" s="81">
        <v>83191</v>
      </c>
      <c r="G8" s="81">
        <v>82747</v>
      </c>
      <c r="H8" s="81">
        <v>91659</v>
      </c>
      <c r="I8" s="81">
        <v>91585</v>
      </c>
      <c r="J8" s="81">
        <v>92532</v>
      </c>
      <c r="K8" s="81">
        <v>94100</v>
      </c>
      <c r="L8" s="82">
        <v>97439</v>
      </c>
    </row>
    <row r="9" spans="1:15" x14ac:dyDescent="0.25">
      <c r="A9" s="1783"/>
      <c r="B9" s="1760"/>
      <c r="C9" s="1301"/>
      <c r="D9" s="164" t="s">
        <v>275</v>
      </c>
      <c r="E9" s="80">
        <v>11987</v>
      </c>
      <c r="F9" s="80">
        <v>14955</v>
      </c>
      <c r="G9" s="80">
        <v>15623</v>
      </c>
      <c r="H9" s="80">
        <v>17508</v>
      </c>
      <c r="I9" s="80">
        <v>17445</v>
      </c>
      <c r="J9" s="80">
        <v>17530</v>
      </c>
      <c r="K9" s="80">
        <v>17600</v>
      </c>
      <c r="L9" s="83">
        <v>16637</v>
      </c>
    </row>
    <row r="10" spans="1:15" x14ac:dyDescent="0.25">
      <c r="A10" s="1783"/>
      <c r="B10" s="1760"/>
      <c r="C10" s="1301"/>
      <c r="D10" s="164" t="s">
        <v>282</v>
      </c>
      <c r="E10" s="80">
        <v>52139</v>
      </c>
      <c r="F10" s="80">
        <v>56355</v>
      </c>
      <c r="G10" s="80">
        <v>53598</v>
      </c>
      <c r="H10" s="80">
        <v>59403</v>
      </c>
      <c r="I10" s="80">
        <v>59385</v>
      </c>
      <c r="J10" s="80">
        <v>59993</v>
      </c>
      <c r="K10" s="80">
        <v>61207</v>
      </c>
      <c r="L10" s="83">
        <v>64966</v>
      </c>
    </row>
    <row r="11" spans="1:15" x14ac:dyDescent="0.25">
      <c r="A11" s="1783"/>
      <c r="B11" s="1760"/>
      <c r="C11" s="1301"/>
      <c r="D11" s="164" t="s">
        <v>288</v>
      </c>
      <c r="E11" s="80">
        <v>9643</v>
      </c>
      <c r="F11" s="80">
        <v>11881</v>
      </c>
      <c r="G11" s="80">
        <v>13526</v>
      </c>
      <c r="H11" s="80">
        <v>14748</v>
      </c>
      <c r="I11" s="80">
        <v>14755</v>
      </c>
      <c r="J11" s="80">
        <v>15009</v>
      </c>
      <c r="K11" s="80">
        <v>15293</v>
      </c>
      <c r="L11" s="83">
        <v>15836</v>
      </c>
    </row>
    <row r="12" spans="1:15" x14ac:dyDescent="0.25">
      <c r="A12" s="1783"/>
      <c r="B12" s="1760"/>
      <c r="C12" s="1301"/>
      <c r="D12" s="164" t="s">
        <v>295</v>
      </c>
      <c r="E12" s="80">
        <v>1580</v>
      </c>
      <c r="F12" s="80">
        <v>2337</v>
      </c>
      <c r="G12" s="80">
        <v>3371</v>
      </c>
      <c r="H12" s="80">
        <v>4010</v>
      </c>
      <c r="I12" s="80">
        <v>4130</v>
      </c>
      <c r="J12" s="80">
        <v>4272</v>
      </c>
      <c r="K12" s="80">
        <v>4439</v>
      </c>
      <c r="L12" s="83">
        <v>4784</v>
      </c>
    </row>
    <row r="13" spans="1:15" ht="16.5" thickBot="1" x14ac:dyDescent="0.3">
      <c r="A13" s="1783"/>
      <c r="B13" s="1760"/>
      <c r="C13" s="1302"/>
      <c r="D13" s="169" t="s">
        <v>296</v>
      </c>
      <c r="E13" s="267">
        <v>2</v>
      </c>
      <c r="F13" s="267">
        <v>0</v>
      </c>
      <c r="G13" s="267">
        <v>0</v>
      </c>
      <c r="H13" s="267">
        <v>0</v>
      </c>
      <c r="I13" s="267">
        <v>0</v>
      </c>
      <c r="J13" s="267">
        <v>0</v>
      </c>
      <c r="K13" s="267">
        <v>0</v>
      </c>
      <c r="L13" s="268">
        <v>0</v>
      </c>
    </row>
    <row r="14" spans="1:15" x14ac:dyDescent="0.25">
      <c r="A14" s="1783"/>
      <c r="B14" s="1760"/>
      <c r="C14" s="1300" t="s">
        <v>263</v>
      </c>
      <c r="D14" s="168" t="s">
        <v>272</v>
      </c>
      <c r="E14" s="81">
        <v>80018</v>
      </c>
      <c r="F14" s="81">
        <v>91495</v>
      </c>
      <c r="G14" s="81">
        <v>91596</v>
      </c>
      <c r="H14" s="81">
        <v>101605</v>
      </c>
      <c r="I14" s="81">
        <v>101643</v>
      </c>
      <c r="J14" s="81">
        <v>102485</v>
      </c>
      <c r="K14" s="81">
        <v>104291</v>
      </c>
      <c r="L14" s="82">
        <v>107743</v>
      </c>
    </row>
    <row r="15" spans="1:15" x14ac:dyDescent="0.25">
      <c r="A15" s="1783"/>
      <c r="B15" s="1760"/>
      <c r="C15" s="1301"/>
      <c r="D15" s="164" t="s">
        <v>275</v>
      </c>
      <c r="E15" s="80">
        <v>11486</v>
      </c>
      <c r="F15" s="80">
        <v>14210</v>
      </c>
      <c r="G15" s="80">
        <v>14896</v>
      </c>
      <c r="H15" s="80">
        <v>16624</v>
      </c>
      <c r="I15" s="80">
        <v>16517</v>
      </c>
      <c r="J15" s="80">
        <v>16581</v>
      </c>
      <c r="K15" s="80">
        <v>16726</v>
      </c>
      <c r="L15" s="83">
        <v>15884</v>
      </c>
    </row>
    <row r="16" spans="1:15" x14ac:dyDescent="0.25">
      <c r="A16" s="1783"/>
      <c r="B16" s="1760"/>
      <c r="C16" s="1301"/>
      <c r="D16" s="164" t="s">
        <v>282</v>
      </c>
      <c r="E16" s="80">
        <v>55101</v>
      </c>
      <c r="F16" s="80">
        <v>61088</v>
      </c>
      <c r="G16" s="80">
        <v>57873</v>
      </c>
      <c r="H16" s="80">
        <v>63941</v>
      </c>
      <c r="I16" s="80">
        <v>64005</v>
      </c>
      <c r="J16" s="80">
        <v>64422</v>
      </c>
      <c r="K16" s="80">
        <v>65707</v>
      </c>
      <c r="L16" s="83">
        <v>69310</v>
      </c>
    </row>
    <row r="17" spans="1:12" x14ac:dyDescent="0.25">
      <c r="A17" s="1783"/>
      <c r="B17" s="1760"/>
      <c r="C17" s="1301"/>
      <c r="D17" s="164" t="s">
        <v>288</v>
      </c>
      <c r="E17" s="80">
        <v>13428</v>
      </c>
      <c r="F17" s="80">
        <v>16197</v>
      </c>
      <c r="G17" s="80">
        <v>18827</v>
      </c>
      <c r="H17" s="80">
        <v>21040</v>
      </c>
      <c r="I17" s="80">
        <v>21121</v>
      </c>
      <c r="J17" s="80">
        <v>21482</v>
      </c>
      <c r="K17" s="80">
        <v>21858</v>
      </c>
      <c r="L17" s="83">
        <v>22549</v>
      </c>
    </row>
    <row r="18" spans="1:12" x14ac:dyDescent="0.25">
      <c r="A18" s="1783"/>
      <c r="B18" s="1760"/>
      <c r="C18" s="1301"/>
      <c r="D18" s="164" t="s">
        <v>295</v>
      </c>
      <c r="E18" s="80">
        <v>3438</v>
      </c>
      <c r="F18" s="80">
        <v>4604</v>
      </c>
      <c r="G18" s="80">
        <v>5886</v>
      </c>
      <c r="H18" s="80">
        <v>6916</v>
      </c>
      <c r="I18" s="80">
        <v>7036</v>
      </c>
      <c r="J18" s="80">
        <v>7216</v>
      </c>
      <c r="K18" s="80">
        <v>7396</v>
      </c>
      <c r="L18" s="83">
        <v>7866</v>
      </c>
    </row>
    <row r="19" spans="1:12" ht="16.5" thickBot="1" x14ac:dyDescent="0.3">
      <c r="A19" s="1783"/>
      <c r="B19" s="1760"/>
      <c r="C19" s="1302"/>
      <c r="D19" s="169" t="s">
        <v>296</v>
      </c>
      <c r="E19" s="267">
        <v>3</v>
      </c>
      <c r="F19" s="267">
        <v>0</v>
      </c>
      <c r="G19" s="267">
        <v>0</v>
      </c>
      <c r="H19" s="267">
        <v>0</v>
      </c>
      <c r="I19" s="267">
        <v>0</v>
      </c>
      <c r="J19" s="267">
        <v>0</v>
      </c>
      <c r="K19" s="267">
        <v>0</v>
      </c>
      <c r="L19" s="268">
        <v>0</v>
      </c>
    </row>
    <row r="20" spans="1:12" x14ac:dyDescent="0.25">
      <c r="A20" s="1783"/>
      <c r="B20" s="1760"/>
      <c r="C20" s="1306" t="s">
        <v>269</v>
      </c>
      <c r="D20" s="535" t="s">
        <v>272</v>
      </c>
      <c r="E20" s="375">
        <f>E14-E8</f>
        <v>6247</v>
      </c>
      <c r="F20" s="375">
        <f t="shared" ref="F20:L20" si="2">F14-F8</f>
        <v>8304</v>
      </c>
      <c r="G20" s="375">
        <f t="shared" si="2"/>
        <v>8849</v>
      </c>
      <c r="H20" s="375">
        <f t="shared" si="2"/>
        <v>9946</v>
      </c>
      <c r="I20" s="375">
        <f t="shared" si="2"/>
        <v>10058</v>
      </c>
      <c r="J20" s="375">
        <f t="shared" si="2"/>
        <v>9953</v>
      </c>
      <c r="K20" s="375">
        <f t="shared" si="2"/>
        <v>10191</v>
      </c>
      <c r="L20" s="376">
        <f t="shared" si="2"/>
        <v>10304</v>
      </c>
    </row>
    <row r="21" spans="1:12" x14ac:dyDescent="0.25">
      <c r="A21" s="1783"/>
      <c r="B21" s="1760"/>
      <c r="C21" s="1307"/>
      <c r="D21" s="527" t="s">
        <v>275</v>
      </c>
      <c r="E21" s="157">
        <f t="shared" ref="E21:L24" si="3">E15-E9</f>
        <v>-501</v>
      </c>
      <c r="F21" s="157">
        <f t="shared" si="3"/>
        <v>-745</v>
      </c>
      <c r="G21" s="157">
        <f t="shared" si="3"/>
        <v>-727</v>
      </c>
      <c r="H21" s="157">
        <f t="shared" si="3"/>
        <v>-884</v>
      </c>
      <c r="I21" s="157">
        <f t="shared" si="3"/>
        <v>-928</v>
      </c>
      <c r="J21" s="157">
        <f t="shared" si="3"/>
        <v>-949</v>
      </c>
      <c r="K21" s="157">
        <f t="shared" si="3"/>
        <v>-874</v>
      </c>
      <c r="L21" s="160">
        <f t="shared" si="3"/>
        <v>-753</v>
      </c>
    </row>
    <row r="22" spans="1:12" x14ac:dyDescent="0.25">
      <c r="A22" s="1783"/>
      <c r="B22" s="1760"/>
      <c r="C22" s="1307"/>
      <c r="D22" s="527" t="s">
        <v>282</v>
      </c>
      <c r="E22" s="363">
        <f t="shared" si="3"/>
        <v>2962</v>
      </c>
      <c r="F22" s="363">
        <f t="shared" si="3"/>
        <v>4733</v>
      </c>
      <c r="G22" s="363">
        <f t="shared" si="3"/>
        <v>4275</v>
      </c>
      <c r="H22" s="363">
        <f t="shared" si="3"/>
        <v>4538</v>
      </c>
      <c r="I22" s="363">
        <f t="shared" si="3"/>
        <v>4620</v>
      </c>
      <c r="J22" s="363">
        <f t="shared" si="3"/>
        <v>4429</v>
      </c>
      <c r="K22" s="363">
        <f t="shared" si="3"/>
        <v>4500</v>
      </c>
      <c r="L22" s="365">
        <f t="shared" si="3"/>
        <v>4344</v>
      </c>
    </row>
    <row r="23" spans="1:12" x14ac:dyDescent="0.25">
      <c r="A23" s="1783"/>
      <c r="B23" s="1760"/>
      <c r="C23" s="1307"/>
      <c r="D23" s="527" t="s">
        <v>288</v>
      </c>
      <c r="E23" s="363">
        <f t="shared" si="3"/>
        <v>3785</v>
      </c>
      <c r="F23" s="363">
        <f t="shared" si="3"/>
        <v>4316</v>
      </c>
      <c r="G23" s="363">
        <f t="shared" si="3"/>
        <v>5301</v>
      </c>
      <c r="H23" s="363">
        <f t="shared" si="3"/>
        <v>6292</v>
      </c>
      <c r="I23" s="363">
        <f t="shared" si="3"/>
        <v>6366</v>
      </c>
      <c r="J23" s="363">
        <f t="shared" si="3"/>
        <v>6473</v>
      </c>
      <c r="K23" s="363">
        <f t="shared" si="3"/>
        <v>6565</v>
      </c>
      <c r="L23" s="365">
        <f t="shared" si="3"/>
        <v>6713</v>
      </c>
    </row>
    <row r="24" spans="1:12" ht="16.5" thickBot="1" x14ac:dyDescent="0.3">
      <c r="A24" s="1783"/>
      <c r="B24" s="1760"/>
      <c r="C24" s="1308"/>
      <c r="D24" s="538" t="s">
        <v>295</v>
      </c>
      <c r="E24" s="382">
        <f t="shared" si="3"/>
        <v>1858</v>
      </c>
      <c r="F24" s="382">
        <f t="shared" si="3"/>
        <v>2267</v>
      </c>
      <c r="G24" s="382">
        <f t="shared" si="3"/>
        <v>2515</v>
      </c>
      <c r="H24" s="382">
        <f t="shared" si="3"/>
        <v>2906</v>
      </c>
      <c r="I24" s="382">
        <f t="shared" si="3"/>
        <v>2906</v>
      </c>
      <c r="J24" s="382">
        <f t="shared" si="3"/>
        <v>2944</v>
      </c>
      <c r="K24" s="382">
        <f t="shared" si="3"/>
        <v>2957</v>
      </c>
      <c r="L24" s="383">
        <f t="shared" si="3"/>
        <v>3082</v>
      </c>
    </row>
    <row r="25" spans="1:12" x14ac:dyDescent="0.25">
      <c r="A25" s="1783"/>
      <c r="B25" s="1717"/>
      <c r="C25" s="1228" t="s">
        <v>270</v>
      </c>
      <c r="D25" s="757" t="s">
        <v>272</v>
      </c>
      <c r="E25" s="758">
        <f>E14/E3*100</f>
        <v>52.03102952746945</v>
      </c>
      <c r="F25" s="758">
        <f t="shared" ref="F25:L25" si="4">F14/F3*100</f>
        <v>52.376836151723658</v>
      </c>
      <c r="G25" s="758">
        <f t="shared" si="4"/>
        <v>52.537813390844491</v>
      </c>
      <c r="H25" s="758">
        <f t="shared" si="4"/>
        <v>52.573164169219311</v>
      </c>
      <c r="I25" s="758">
        <f t="shared" si="4"/>
        <v>52.602624878382024</v>
      </c>
      <c r="J25" s="758">
        <f t="shared" si="4"/>
        <v>52.55182881492383</v>
      </c>
      <c r="K25" s="758">
        <f t="shared" si="4"/>
        <v>52.568412881632732</v>
      </c>
      <c r="L25" s="758">
        <f t="shared" si="4"/>
        <v>52.510941505590161</v>
      </c>
    </row>
    <row r="26" spans="1:12" x14ac:dyDescent="0.25">
      <c r="A26" s="1783"/>
      <c r="B26" s="1717"/>
      <c r="C26" s="1309"/>
      <c r="D26" s="527" t="s">
        <v>275</v>
      </c>
      <c r="E26" s="158">
        <f>(E15/(E15+E9))*100</f>
        <v>48.932816427384658</v>
      </c>
      <c r="F26" s="158">
        <f t="shared" ref="F26:L27" si="5">(F15/(F15+F9))*100</f>
        <v>48.722784159094807</v>
      </c>
      <c r="G26" s="158">
        <f t="shared" si="5"/>
        <v>48.808938693928368</v>
      </c>
      <c r="H26" s="158">
        <f t="shared" si="5"/>
        <v>48.705027540138282</v>
      </c>
      <c r="I26" s="158">
        <f t="shared" si="5"/>
        <v>48.633767151522292</v>
      </c>
      <c r="J26" s="158">
        <f t="shared" si="5"/>
        <v>48.60895312362581</v>
      </c>
      <c r="K26" s="158">
        <f t="shared" si="5"/>
        <v>48.726912544426966</v>
      </c>
      <c r="L26" s="158">
        <f t="shared" si="5"/>
        <v>48.842286522554659</v>
      </c>
    </row>
    <row r="27" spans="1:12" x14ac:dyDescent="0.25">
      <c r="A27" s="1783"/>
      <c r="B27" s="1717"/>
      <c r="C27" s="1309"/>
      <c r="D27" s="527" t="s">
        <v>282</v>
      </c>
      <c r="E27" s="364">
        <f>(E16/(E16+E10))*100</f>
        <v>51.381014546810889</v>
      </c>
      <c r="F27" s="364">
        <f t="shared" si="5"/>
        <v>52.015020052280683</v>
      </c>
      <c r="G27" s="364">
        <f t="shared" si="5"/>
        <v>51.917539090884624</v>
      </c>
      <c r="H27" s="364">
        <f t="shared" si="5"/>
        <v>51.839570631729146</v>
      </c>
      <c r="I27" s="364">
        <f t="shared" si="5"/>
        <v>51.872112813031848</v>
      </c>
      <c r="J27" s="364">
        <f t="shared" si="5"/>
        <v>51.77993007274042</v>
      </c>
      <c r="K27" s="364">
        <f t="shared" si="5"/>
        <v>51.772854058653891</v>
      </c>
      <c r="L27" s="364">
        <f t="shared" si="5"/>
        <v>51.617563823765977</v>
      </c>
    </row>
    <row r="28" spans="1:12" x14ac:dyDescent="0.25">
      <c r="A28" s="1783"/>
      <c r="B28" s="1717"/>
      <c r="C28" s="1309"/>
      <c r="D28" s="527" t="s">
        <v>288</v>
      </c>
      <c r="E28" s="364">
        <f t="shared" ref="E28:L29" si="6">(E17/(E17+E11))*100</f>
        <v>58.202938754280268</v>
      </c>
      <c r="F28" s="364">
        <f t="shared" si="6"/>
        <v>57.685732602037184</v>
      </c>
      <c r="G28" s="364">
        <f t="shared" si="6"/>
        <v>58.192439650109726</v>
      </c>
      <c r="H28" s="364">
        <f t="shared" si="6"/>
        <v>58.790656085838833</v>
      </c>
      <c r="I28" s="364">
        <f t="shared" si="6"/>
        <v>58.872226558144725</v>
      </c>
      <c r="J28" s="364">
        <f t="shared" si="6"/>
        <v>58.869310240881312</v>
      </c>
      <c r="K28" s="364">
        <f t="shared" si="6"/>
        <v>58.835562972732902</v>
      </c>
      <c r="L28" s="364">
        <f t="shared" si="6"/>
        <v>58.744301159307021</v>
      </c>
    </row>
    <row r="29" spans="1:12" ht="16.5" thickBot="1" x14ac:dyDescent="0.3">
      <c r="A29" s="1783"/>
      <c r="B29" s="1897"/>
      <c r="C29" s="1309"/>
      <c r="D29" s="527" t="s">
        <v>295</v>
      </c>
      <c r="E29" s="364">
        <f t="shared" si="6"/>
        <v>68.513351933041051</v>
      </c>
      <c r="F29" s="364">
        <f t="shared" si="6"/>
        <v>66.330499927964269</v>
      </c>
      <c r="G29" s="364">
        <f t="shared" si="6"/>
        <v>63.584314572755751</v>
      </c>
      <c r="H29" s="364">
        <f t="shared" si="6"/>
        <v>63.298553908109099</v>
      </c>
      <c r="I29" s="364">
        <f t="shared" si="6"/>
        <v>63.012717177144907</v>
      </c>
      <c r="J29" s="364">
        <f t="shared" si="6"/>
        <v>62.813370473537603</v>
      </c>
      <c r="K29" s="364">
        <f t="shared" si="6"/>
        <v>62.492606675116178</v>
      </c>
      <c r="L29" s="364">
        <f t="shared" si="6"/>
        <v>62.18181818181818</v>
      </c>
    </row>
    <row r="30" spans="1:12" ht="16.5" thickBot="1" x14ac:dyDescent="0.3">
      <c r="A30" s="1783"/>
      <c r="B30" s="823" t="s">
        <v>249</v>
      </c>
      <c r="C30" s="1422"/>
      <c r="D30" s="1422"/>
      <c r="E30" s="616">
        <v>2005</v>
      </c>
      <c r="F30" s="616">
        <v>2010</v>
      </c>
      <c r="G30" s="616">
        <v>2015</v>
      </c>
      <c r="H30" s="616">
        <v>2020</v>
      </c>
      <c r="I30" s="616">
        <v>2021</v>
      </c>
      <c r="J30" s="616">
        <v>2022</v>
      </c>
      <c r="K30" s="616">
        <v>2023</v>
      </c>
      <c r="L30" s="616">
        <v>2024</v>
      </c>
    </row>
    <row r="31" spans="1:12" x14ac:dyDescent="0.25">
      <c r="A31" s="1783"/>
      <c r="B31" s="1716" t="s">
        <v>570</v>
      </c>
      <c r="C31" s="1211" t="s">
        <v>272</v>
      </c>
      <c r="D31" s="1541"/>
      <c r="E31" s="81">
        <v>14375</v>
      </c>
      <c r="F31" s="81">
        <v>22357</v>
      </c>
      <c r="G31" s="81">
        <v>15033</v>
      </c>
      <c r="H31" s="81">
        <v>21173</v>
      </c>
      <c r="I31" s="81">
        <v>21625</v>
      </c>
      <c r="J31" s="81">
        <v>22061</v>
      </c>
      <c r="K31" s="81">
        <v>24510</v>
      </c>
      <c r="L31" s="82">
        <f>L32+L33</f>
        <v>28125</v>
      </c>
    </row>
    <row r="32" spans="1:12" x14ac:dyDescent="0.25">
      <c r="A32" s="1783"/>
      <c r="B32" s="1717"/>
      <c r="C32" s="1124" t="s">
        <v>257</v>
      </c>
      <c r="D32" s="1124"/>
      <c r="E32" s="80">
        <v>6667</v>
      </c>
      <c r="F32" s="80">
        <v>10405</v>
      </c>
      <c r="G32" s="80">
        <v>6699</v>
      </c>
      <c r="H32" s="80">
        <v>9332</v>
      </c>
      <c r="I32" s="80">
        <v>9587</v>
      </c>
      <c r="J32" s="80">
        <v>9881</v>
      </c>
      <c r="K32" s="80">
        <v>11083</v>
      </c>
      <c r="L32" s="83">
        <v>12895</v>
      </c>
    </row>
    <row r="33" spans="1:12" x14ac:dyDescent="0.25">
      <c r="A33" s="1783"/>
      <c r="B33" s="1717"/>
      <c r="C33" s="1124" t="s">
        <v>263</v>
      </c>
      <c r="D33" s="1124"/>
      <c r="E33" s="80">
        <v>7708</v>
      </c>
      <c r="F33" s="80">
        <v>11952</v>
      </c>
      <c r="G33" s="80">
        <v>8334</v>
      </c>
      <c r="H33" s="80">
        <v>11841</v>
      </c>
      <c r="I33" s="80">
        <v>12038</v>
      </c>
      <c r="J33" s="80">
        <v>12180</v>
      </c>
      <c r="K33" s="80">
        <v>13427</v>
      </c>
      <c r="L33" s="83">
        <v>15230</v>
      </c>
    </row>
    <row r="34" spans="1:12" x14ac:dyDescent="0.25">
      <c r="A34" s="1783"/>
      <c r="B34" s="1717"/>
      <c r="C34" s="1112" t="s">
        <v>269</v>
      </c>
      <c r="D34" s="1112"/>
      <c r="E34" s="363">
        <f>+E33-E32</f>
        <v>1041</v>
      </c>
      <c r="F34" s="363">
        <f t="shared" ref="F34:L34" si="7">+F33-F32</f>
        <v>1547</v>
      </c>
      <c r="G34" s="363">
        <f t="shared" si="7"/>
        <v>1635</v>
      </c>
      <c r="H34" s="363">
        <f t="shared" si="7"/>
        <v>2509</v>
      </c>
      <c r="I34" s="363">
        <f t="shared" si="7"/>
        <v>2451</v>
      </c>
      <c r="J34" s="363">
        <f t="shared" si="7"/>
        <v>2299</v>
      </c>
      <c r="K34" s="363">
        <f t="shared" si="7"/>
        <v>2344</v>
      </c>
      <c r="L34" s="365">
        <f t="shared" si="7"/>
        <v>2335</v>
      </c>
    </row>
    <row r="35" spans="1:12" ht="16.5" thickBot="1" x14ac:dyDescent="0.3">
      <c r="A35" s="1783"/>
      <c r="B35" s="1722"/>
      <c r="C35" s="1126" t="s">
        <v>270</v>
      </c>
      <c r="D35" s="1126"/>
      <c r="E35" s="366">
        <f>E33/E31*100</f>
        <v>53.62086956521739</v>
      </c>
      <c r="F35" s="366">
        <f t="shared" ref="F35:L35" si="8">F33/F31*100</f>
        <v>53.459766516079974</v>
      </c>
      <c r="G35" s="366">
        <f t="shared" si="8"/>
        <v>55.438036320095783</v>
      </c>
      <c r="H35" s="366">
        <f t="shared" si="8"/>
        <v>55.924998819250938</v>
      </c>
      <c r="I35" s="366">
        <f t="shared" si="8"/>
        <v>55.667052023121386</v>
      </c>
      <c r="J35" s="366">
        <f t="shared" si="8"/>
        <v>55.2105525588142</v>
      </c>
      <c r="K35" s="366">
        <f t="shared" si="8"/>
        <v>54.781721746226033</v>
      </c>
      <c r="L35" s="367">
        <f t="shared" si="8"/>
        <v>54.151111111111113</v>
      </c>
    </row>
    <row r="36" spans="1:12" ht="15" customHeight="1" x14ac:dyDescent="0.25">
      <c r="A36" s="1817"/>
      <c r="B36" s="1194" t="s">
        <v>342</v>
      </c>
      <c r="C36" s="1146" t="s">
        <v>343</v>
      </c>
      <c r="D36" s="1147"/>
      <c r="E36" s="195">
        <f>E37+E38</f>
        <v>4059</v>
      </c>
      <c r="F36" s="195">
        <f t="shared" ref="F36:L36" si="9">F37+F38</f>
        <v>5057</v>
      </c>
      <c r="G36" s="195">
        <f t="shared" si="9"/>
        <v>6281</v>
      </c>
      <c r="H36" s="195">
        <f t="shared" si="9"/>
        <v>7238</v>
      </c>
      <c r="I36" s="195">
        <f t="shared" si="9"/>
        <v>7566</v>
      </c>
      <c r="J36" s="195">
        <f t="shared" si="9"/>
        <v>7846</v>
      </c>
      <c r="K36" s="195">
        <f t="shared" si="9"/>
        <v>8054</v>
      </c>
      <c r="L36" s="196">
        <f t="shared" si="9"/>
        <v>8438</v>
      </c>
    </row>
    <row r="37" spans="1:12" x14ac:dyDescent="0.25">
      <c r="A37" s="1817"/>
      <c r="B37" s="1195"/>
      <c r="C37" s="1148" t="s">
        <v>344</v>
      </c>
      <c r="D37" s="1124"/>
      <c r="E37" s="181">
        <v>791</v>
      </c>
      <c r="F37" s="80">
        <v>1094</v>
      </c>
      <c r="G37" s="80">
        <v>1391</v>
      </c>
      <c r="H37" s="80">
        <v>1640</v>
      </c>
      <c r="I37" s="80">
        <v>1710</v>
      </c>
      <c r="J37" s="80">
        <v>1771</v>
      </c>
      <c r="K37" s="80">
        <v>1840</v>
      </c>
      <c r="L37" s="83">
        <v>1990</v>
      </c>
    </row>
    <row r="38" spans="1:12" x14ac:dyDescent="0.25">
      <c r="A38" s="1817"/>
      <c r="B38" s="1195"/>
      <c r="C38" s="1148" t="s">
        <v>345</v>
      </c>
      <c r="D38" s="1124"/>
      <c r="E38" s="80">
        <v>3268</v>
      </c>
      <c r="F38" s="80">
        <v>3963</v>
      </c>
      <c r="G38" s="80">
        <v>4890</v>
      </c>
      <c r="H38" s="80">
        <v>5598</v>
      </c>
      <c r="I38" s="80">
        <v>5856</v>
      </c>
      <c r="J38" s="80">
        <v>6075</v>
      </c>
      <c r="K38" s="80">
        <v>6214</v>
      </c>
      <c r="L38" s="83">
        <v>6448</v>
      </c>
    </row>
    <row r="39" spans="1:12" x14ac:dyDescent="0.25">
      <c r="A39" s="1817"/>
      <c r="B39" s="1195"/>
      <c r="C39" s="1190" t="s">
        <v>269</v>
      </c>
      <c r="D39" s="1112"/>
      <c r="E39" s="157">
        <f>E38-E37</f>
        <v>2477</v>
      </c>
      <c r="F39" s="157">
        <f t="shared" ref="F39:L39" si="10">F38-F37</f>
        <v>2869</v>
      </c>
      <c r="G39" s="157">
        <f t="shared" si="10"/>
        <v>3499</v>
      </c>
      <c r="H39" s="157">
        <f t="shared" si="10"/>
        <v>3958</v>
      </c>
      <c r="I39" s="157">
        <f t="shared" si="10"/>
        <v>4146</v>
      </c>
      <c r="J39" s="157">
        <f t="shared" si="10"/>
        <v>4304</v>
      </c>
      <c r="K39" s="157">
        <f t="shared" si="10"/>
        <v>4374</v>
      </c>
      <c r="L39" s="160">
        <f t="shared" si="10"/>
        <v>4458</v>
      </c>
    </row>
    <row r="40" spans="1:12" ht="16.5" thickBot="1" x14ac:dyDescent="0.3">
      <c r="A40" s="1817"/>
      <c r="B40" s="1595"/>
      <c r="C40" s="1177" t="s">
        <v>346</v>
      </c>
      <c r="D40" s="1178"/>
      <c r="E40" s="165">
        <f t="shared" ref="E40:L40" si="11">E38/E36*100</f>
        <v>80.512441488051252</v>
      </c>
      <c r="F40" s="165">
        <f t="shared" si="11"/>
        <v>78.366620526003558</v>
      </c>
      <c r="G40" s="165">
        <f t="shared" si="11"/>
        <v>77.853844929151407</v>
      </c>
      <c r="H40" s="165">
        <f t="shared" si="11"/>
        <v>77.341807129041172</v>
      </c>
      <c r="I40" s="165">
        <f t="shared" si="11"/>
        <v>77.3988897700238</v>
      </c>
      <c r="J40" s="165">
        <f t="shared" si="11"/>
        <v>77.427988784093799</v>
      </c>
      <c r="K40" s="165">
        <f t="shared" si="11"/>
        <v>77.154209088651598</v>
      </c>
      <c r="L40" s="166">
        <f t="shared" si="11"/>
        <v>76.416212372600143</v>
      </c>
    </row>
    <row r="41" spans="1:12" ht="15" customHeight="1" x14ac:dyDescent="0.25">
      <c r="A41" s="1817"/>
      <c r="B41" s="1194" t="s">
        <v>134</v>
      </c>
      <c r="C41" s="1205" t="s">
        <v>348</v>
      </c>
      <c r="D41" s="1206"/>
      <c r="E41" s="195">
        <f>E42+E43</f>
        <v>1127</v>
      </c>
      <c r="F41" s="195">
        <f t="shared" ref="F41:L41" si="12">F42+F43</f>
        <v>1791</v>
      </c>
      <c r="G41" s="195">
        <f t="shared" si="12"/>
        <v>2258</v>
      </c>
      <c r="H41" s="195">
        <f t="shared" si="12"/>
        <v>2466</v>
      </c>
      <c r="I41" s="195">
        <f t="shared" si="12"/>
        <v>2444</v>
      </c>
      <c r="J41" s="195">
        <f t="shared" si="12"/>
        <v>2450</v>
      </c>
      <c r="K41" s="195">
        <f t="shared" si="12"/>
        <v>2460</v>
      </c>
      <c r="L41" s="196">
        <f t="shared" si="12"/>
        <v>2554</v>
      </c>
    </row>
    <row r="42" spans="1:12" x14ac:dyDescent="0.25">
      <c r="A42" s="1817"/>
      <c r="B42" s="1195"/>
      <c r="C42" s="1148" t="s">
        <v>349</v>
      </c>
      <c r="D42" s="1124"/>
      <c r="E42" s="181">
        <v>245</v>
      </c>
      <c r="F42" s="181">
        <v>371</v>
      </c>
      <c r="G42" s="181">
        <v>440</v>
      </c>
      <c r="H42" s="181">
        <v>493</v>
      </c>
      <c r="I42" s="181">
        <v>511</v>
      </c>
      <c r="J42" s="181">
        <v>488</v>
      </c>
      <c r="K42" s="181">
        <v>529</v>
      </c>
      <c r="L42" s="199">
        <v>528</v>
      </c>
    </row>
    <row r="43" spans="1:12" x14ac:dyDescent="0.25">
      <c r="A43" s="1817"/>
      <c r="B43" s="1195"/>
      <c r="C43" s="1148" t="s">
        <v>350</v>
      </c>
      <c r="D43" s="1124"/>
      <c r="E43" s="181">
        <v>882</v>
      </c>
      <c r="F43" s="80">
        <v>1420</v>
      </c>
      <c r="G43" s="80">
        <v>1818</v>
      </c>
      <c r="H43" s="80">
        <v>1973</v>
      </c>
      <c r="I43" s="80">
        <v>1933</v>
      </c>
      <c r="J43" s="80">
        <v>1962</v>
      </c>
      <c r="K43" s="80">
        <v>1931</v>
      </c>
      <c r="L43" s="199">
        <v>2026</v>
      </c>
    </row>
    <row r="44" spans="1:12" x14ac:dyDescent="0.25">
      <c r="A44" s="1817"/>
      <c r="B44" s="1195"/>
      <c r="C44" s="1190" t="s">
        <v>269</v>
      </c>
      <c r="D44" s="1112"/>
      <c r="E44" s="157">
        <f>E43-E42</f>
        <v>637</v>
      </c>
      <c r="F44" s="157">
        <f t="shared" ref="F44:L44" si="13">F43-F42</f>
        <v>1049</v>
      </c>
      <c r="G44" s="157">
        <f t="shared" si="13"/>
        <v>1378</v>
      </c>
      <c r="H44" s="157">
        <f t="shared" si="13"/>
        <v>1480</v>
      </c>
      <c r="I44" s="157">
        <f t="shared" si="13"/>
        <v>1422</v>
      </c>
      <c r="J44" s="157">
        <f t="shared" si="13"/>
        <v>1474</v>
      </c>
      <c r="K44" s="157">
        <f t="shared" si="13"/>
        <v>1402</v>
      </c>
      <c r="L44" s="160">
        <f t="shared" si="13"/>
        <v>1498</v>
      </c>
    </row>
    <row r="45" spans="1:12" ht="16.5" thickBot="1" x14ac:dyDescent="0.3">
      <c r="A45" s="1818"/>
      <c r="B45" s="1595"/>
      <c r="C45" s="1177" t="s">
        <v>351</v>
      </c>
      <c r="D45" s="1178"/>
      <c r="E45" s="165">
        <f t="shared" ref="E45:L45" si="14">E43/E41*100</f>
        <v>78.260869565217391</v>
      </c>
      <c r="F45" s="165">
        <f t="shared" si="14"/>
        <v>79.285315466219984</v>
      </c>
      <c r="G45" s="165">
        <f t="shared" si="14"/>
        <v>80.51372896368467</v>
      </c>
      <c r="H45" s="165">
        <f t="shared" si="14"/>
        <v>80.0081103000811</v>
      </c>
      <c r="I45" s="165">
        <f t="shared" si="14"/>
        <v>79.091653027823241</v>
      </c>
      <c r="J45" s="165">
        <f t="shared" si="14"/>
        <v>80.081632653061234</v>
      </c>
      <c r="K45" s="165">
        <f t="shared" si="14"/>
        <v>78.495934959349583</v>
      </c>
      <c r="L45" s="166">
        <f t="shared" si="14"/>
        <v>79.326546593578698</v>
      </c>
    </row>
    <row r="46" spans="1:12" ht="16.5" thickBot="1" x14ac:dyDescent="0.3">
      <c r="A46" s="338" t="s">
        <v>248</v>
      </c>
      <c r="B46" s="822" t="s">
        <v>249</v>
      </c>
      <c r="C46" s="1422"/>
      <c r="D46" s="1422"/>
      <c r="E46" s="616">
        <v>2005</v>
      </c>
      <c r="F46" s="616">
        <v>2010</v>
      </c>
      <c r="G46" s="616">
        <v>2015</v>
      </c>
      <c r="H46" s="616">
        <v>2020</v>
      </c>
      <c r="I46" s="616">
        <v>2021</v>
      </c>
      <c r="J46" s="616">
        <v>2022</v>
      </c>
      <c r="K46" s="616">
        <v>2023</v>
      </c>
      <c r="L46" s="621">
        <v>2024</v>
      </c>
    </row>
    <row r="47" spans="1:12" x14ac:dyDescent="0.25">
      <c r="A47" s="1814" t="s">
        <v>38</v>
      </c>
      <c r="B47" s="1219" t="s">
        <v>352</v>
      </c>
      <c r="C47" s="1146" t="s">
        <v>251</v>
      </c>
      <c r="D47" s="1147"/>
      <c r="E47" s="195">
        <v>5172</v>
      </c>
      <c r="F47" s="195">
        <v>9369</v>
      </c>
      <c r="G47" s="195">
        <v>9674</v>
      </c>
      <c r="H47" s="195">
        <v>9453</v>
      </c>
      <c r="I47" s="195">
        <v>9450</v>
      </c>
      <c r="J47" s="195">
        <v>6893</v>
      </c>
      <c r="K47" s="196">
        <v>6678</v>
      </c>
      <c r="L47" s="828" t="s">
        <v>593</v>
      </c>
    </row>
    <row r="48" spans="1:12" x14ac:dyDescent="0.25">
      <c r="A48" s="1815"/>
      <c r="B48" s="1220"/>
      <c r="C48" s="1148" t="s">
        <v>257</v>
      </c>
      <c r="D48" s="1124"/>
      <c r="E48" s="96">
        <v>2124</v>
      </c>
      <c r="F48" s="96">
        <v>4465</v>
      </c>
      <c r="G48" s="96">
        <v>4381</v>
      </c>
      <c r="H48" s="96">
        <v>4003</v>
      </c>
      <c r="I48" s="96">
        <v>3888</v>
      </c>
      <c r="J48" s="96">
        <v>2693</v>
      </c>
      <c r="K48" s="200">
        <v>2640</v>
      </c>
      <c r="L48" s="369" t="s">
        <v>594</v>
      </c>
    </row>
    <row r="49" spans="1:12" x14ac:dyDescent="0.25">
      <c r="A49" s="1815"/>
      <c r="B49" s="1220"/>
      <c r="C49" s="1148" t="s">
        <v>263</v>
      </c>
      <c r="D49" s="1124"/>
      <c r="E49" s="96">
        <v>3048</v>
      </c>
      <c r="F49" s="96">
        <v>4904</v>
      </c>
      <c r="G49" s="96">
        <v>5293</v>
      </c>
      <c r="H49" s="96">
        <v>5450</v>
      </c>
      <c r="I49" s="96">
        <v>5562</v>
      </c>
      <c r="J49" s="96">
        <v>4200</v>
      </c>
      <c r="K49" s="200">
        <v>4038</v>
      </c>
      <c r="L49" s="369" t="s">
        <v>595</v>
      </c>
    </row>
    <row r="50" spans="1:12" x14ac:dyDescent="0.25">
      <c r="A50" s="1815"/>
      <c r="B50" s="1220"/>
      <c r="C50" s="1190" t="s">
        <v>353</v>
      </c>
      <c r="D50" s="1112"/>
      <c r="E50" s="157">
        <f t="shared" ref="E50:L50" si="15">+E49-E48</f>
        <v>924</v>
      </c>
      <c r="F50" s="157">
        <f t="shared" si="15"/>
        <v>439</v>
      </c>
      <c r="G50" s="157">
        <f t="shared" si="15"/>
        <v>912</v>
      </c>
      <c r="H50" s="157">
        <f t="shared" si="15"/>
        <v>1447</v>
      </c>
      <c r="I50" s="157">
        <f t="shared" si="15"/>
        <v>1674</v>
      </c>
      <c r="J50" s="157">
        <f t="shared" si="15"/>
        <v>1507</v>
      </c>
      <c r="K50" s="160">
        <f t="shared" si="15"/>
        <v>1398</v>
      </c>
      <c r="L50" s="319">
        <f t="shared" si="15"/>
        <v>1278</v>
      </c>
    </row>
    <row r="51" spans="1:12" ht="16.5" thickBot="1" x14ac:dyDescent="0.3">
      <c r="A51" s="1815"/>
      <c r="B51" s="1600"/>
      <c r="C51" s="1177" t="s">
        <v>270</v>
      </c>
      <c r="D51" s="1178"/>
      <c r="E51" s="165">
        <f>E49/E47*100</f>
        <v>58.932714617169367</v>
      </c>
      <c r="F51" s="165">
        <f t="shared" ref="F51:L51" si="16">F49/F47*100</f>
        <v>52.342832746290959</v>
      </c>
      <c r="G51" s="165">
        <f t="shared" si="16"/>
        <v>54.713665495141619</v>
      </c>
      <c r="H51" s="165">
        <f t="shared" si="16"/>
        <v>57.653654924362641</v>
      </c>
      <c r="I51" s="165">
        <f t="shared" si="16"/>
        <v>58.857142857142854</v>
      </c>
      <c r="J51" s="165">
        <f t="shared" si="16"/>
        <v>60.931379660525174</v>
      </c>
      <c r="K51" s="166">
        <f t="shared" si="16"/>
        <v>60.467205750224615</v>
      </c>
      <c r="L51" s="831">
        <f t="shared" si="16"/>
        <v>60.088411746131989</v>
      </c>
    </row>
    <row r="52" spans="1:12" x14ac:dyDescent="0.25">
      <c r="A52" s="1815"/>
      <c r="B52" s="1219" t="s">
        <v>146</v>
      </c>
      <c r="C52" s="1898" t="s">
        <v>251</v>
      </c>
      <c r="D52" s="1650"/>
      <c r="E52" s="36"/>
      <c r="F52" s="36"/>
      <c r="G52" s="36"/>
      <c r="H52" s="36">
        <v>7.92</v>
      </c>
      <c r="I52" s="36">
        <v>6.72</v>
      </c>
      <c r="J52" s="36">
        <v>5.22</v>
      </c>
      <c r="K52" s="36">
        <v>4.97</v>
      </c>
      <c r="L52" s="20">
        <v>4.58</v>
      </c>
    </row>
    <row r="53" spans="1:12" x14ac:dyDescent="0.25">
      <c r="A53" s="1815"/>
      <c r="B53" s="1220"/>
      <c r="C53" s="1148" t="s">
        <v>257</v>
      </c>
      <c r="D53" s="1124"/>
      <c r="E53" s="28"/>
      <c r="F53" s="28"/>
      <c r="G53" s="28"/>
      <c r="H53" s="28">
        <v>6.97</v>
      </c>
      <c r="I53" s="28">
        <v>5.77</v>
      </c>
      <c r="J53" s="28">
        <v>4.41</v>
      </c>
      <c r="K53" s="28">
        <v>4.2</v>
      </c>
      <c r="L53" s="21">
        <v>3.99</v>
      </c>
    </row>
    <row r="54" spans="1:12" x14ac:dyDescent="0.25">
      <c r="A54" s="1815"/>
      <c r="B54" s="1220"/>
      <c r="C54" s="1222" t="s">
        <v>263</v>
      </c>
      <c r="D54" s="1223"/>
      <c r="E54" s="28"/>
      <c r="F54" s="28"/>
      <c r="G54" s="28"/>
      <c r="H54" s="28">
        <v>8.8000000000000007</v>
      </c>
      <c r="I54" s="28">
        <v>7.6</v>
      </c>
      <c r="J54" s="28">
        <v>5.97</v>
      </c>
      <c r="K54" s="28">
        <v>5.7</v>
      </c>
      <c r="L54" s="21">
        <v>5.14</v>
      </c>
    </row>
    <row r="55" spans="1:12" ht="16.5" thickBot="1" x14ac:dyDescent="0.3">
      <c r="A55" s="1815"/>
      <c r="B55" s="1221"/>
      <c r="C55" s="1224" t="s">
        <v>354</v>
      </c>
      <c r="D55" s="1225"/>
      <c r="E55" s="203"/>
      <c r="F55" s="203"/>
      <c r="G55" s="203"/>
      <c r="H55" s="34">
        <f>+H54-H53</f>
        <v>1.830000000000001</v>
      </c>
      <c r="I55" s="34">
        <f>+I54-I53</f>
        <v>1.83</v>
      </c>
      <c r="J55" s="34">
        <f>+J54-J53</f>
        <v>1.5599999999999996</v>
      </c>
      <c r="K55" s="34">
        <f>+K54-K53</f>
        <v>1.5</v>
      </c>
      <c r="L55" s="35">
        <f>+L54-L53</f>
        <v>1.1499999999999995</v>
      </c>
    </row>
    <row r="56" spans="1:12" x14ac:dyDescent="0.25">
      <c r="A56" s="1815"/>
      <c r="B56" s="1219" t="s">
        <v>151</v>
      </c>
      <c r="C56" s="1899" t="s">
        <v>251</v>
      </c>
      <c r="D56" s="1430"/>
      <c r="E56" s="36"/>
      <c r="F56" s="36"/>
      <c r="G56" s="36"/>
      <c r="H56" s="225">
        <v>449</v>
      </c>
      <c r="I56" s="225">
        <v>490</v>
      </c>
      <c r="J56" s="225">
        <v>861</v>
      </c>
      <c r="K56" s="225">
        <v>487</v>
      </c>
      <c r="L56" s="20"/>
    </row>
    <row r="57" spans="1:12" x14ac:dyDescent="0.25">
      <c r="A57" s="1815"/>
      <c r="B57" s="1220"/>
      <c r="C57" s="1229" t="s">
        <v>257</v>
      </c>
      <c r="D57" s="1230"/>
      <c r="E57" s="28"/>
      <c r="F57" s="28"/>
      <c r="G57" s="28"/>
      <c r="H57" s="96">
        <v>148</v>
      </c>
      <c r="I57" s="96">
        <v>171</v>
      </c>
      <c r="J57" s="96">
        <v>255</v>
      </c>
      <c r="K57" s="96">
        <v>184</v>
      </c>
      <c r="L57" s="21"/>
    </row>
    <row r="58" spans="1:12" x14ac:dyDescent="0.25">
      <c r="A58" s="1815"/>
      <c r="B58" s="1220"/>
      <c r="C58" s="1148" t="s">
        <v>263</v>
      </c>
      <c r="D58" s="1124"/>
      <c r="E58" s="28"/>
      <c r="F58" s="28"/>
      <c r="G58" s="28"/>
      <c r="H58" s="96">
        <v>301</v>
      </c>
      <c r="I58" s="96">
        <v>319</v>
      </c>
      <c r="J58" s="96">
        <v>606</v>
      </c>
      <c r="K58" s="96">
        <v>303</v>
      </c>
      <c r="L58" s="21"/>
    </row>
    <row r="59" spans="1:12" x14ac:dyDescent="0.25">
      <c r="A59" s="1815"/>
      <c r="B59" s="1220"/>
      <c r="C59" s="1190" t="s">
        <v>353</v>
      </c>
      <c r="D59" s="1112"/>
      <c r="E59" s="28"/>
      <c r="F59" s="28"/>
      <c r="G59" s="28"/>
      <c r="H59" s="44">
        <f>+H58-H57</f>
        <v>153</v>
      </c>
      <c r="I59" s="44">
        <f>+I58-I57</f>
        <v>148</v>
      </c>
      <c r="J59" s="44">
        <f>+J58-J57</f>
        <v>351</v>
      </c>
      <c r="K59" s="44">
        <f>+K58-K57</f>
        <v>119</v>
      </c>
      <c r="L59" s="21"/>
    </row>
    <row r="60" spans="1:12" ht="16.5" thickBot="1" x14ac:dyDescent="0.3">
      <c r="A60" s="1815"/>
      <c r="B60" s="1221"/>
      <c r="C60" s="1169" t="s">
        <v>270</v>
      </c>
      <c r="D60" s="1126"/>
      <c r="E60" s="33"/>
      <c r="F60" s="33"/>
      <c r="G60" s="33"/>
      <c r="H60" s="161">
        <f>H58/H56*100</f>
        <v>67.037861915367486</v>
      </c>
      <c r="I60" s="161">
        <f>I58/I56*100</f>
        <v>65.102040816326536</v>
      </c>
      <c r="J60" s="161">
        <f>J58/J56*100</f>
        <v>70.383275261324044</v>
      </c>
      <c r="K60" s="161">
        <f>K58/K56*100</f>
        <v>62.217659137576995</v>
      </c>
      <c r="L60" s="22"/>
    </row>
    <row r="61" spans="1:12" ht="16.5" thickBot="1" x14ac:dyDescent="0.3">
      <c r="A61" s="1779"/>
      <c r="B61" s="823" t="s">
        <v>249</v>
      </c>
      <c r="C61" s="1675"/>
      <c r="D61" s="1675"/>
      <c r="E61" s="112"/>
      <c r="F61" s="112">
        <v>2011</v>
      </c>
      <c r="G61" s="112"/>
      <c r="H61" s="112"/>
      <c r="I61" s="112">
        <v>2021</v>
      </c>
      <c r="J61" s="112"/>
      <c r="K61" s="112"/>
      <c r="L61" s="621">
        <v>2024</v>
      </c>
    </row>
    <row r="62" spans="1:12" x14ac:dyDescent="0.25">
      <c r="A62" s="1815"/>
      <c r="B62" s="1219" t="s">
        <v>156</v>
      </c>
      <c r="C62" s="1187" t="s">
        <v>355</v>
      </c>
      <c r="D62" s="207" t="s">
        <v>251</v>
      </c>
      <c r="E62" s="612"/>
      <c r="F62" s="81">
        <v>76950</v>
      </c>
      <c r="G62" s="103"/>
      <c r="H62" s="103"/>
      <c r="I62" s="81">
        <v>83484</v>
      </c>
      <c r="J62" s="36"/>
      <c r="K62" s="36"/>
      <c r="L62" s="20"/>
    </row>
    <row r="63" spans="1:12" ht="15" customHeight="1" x14ac:dyDescent="0.25">
      <c r="A63" s="1815"/>
      <c r="B63" s="1220"/>
      <c r="C63" s="1173"/>
      <c r="D63" s="28" t="s">
        <v>257</v>
      </c>
      <c r="E63" s="94"/>
      <c r="F63" s="80">
        <v>39250</v>
      </c>
      <c r="G63" s="95"/>
      <c r="H63" s="95"/>
      <c r="I63" s="80">
        <v>41904</v>
      </c>
      <c r="J63" s="28"/>
      <c r="K63" s="28"/>
      <c r="L63" s="21"/>
    </row>
    <row r="64" spans="1:12" x14ac:dyDescent="0.25">
      <c r="A64" s="1815"/>
      <c r="B64" s="1220"/>
      <c r="C64" s="1173"/>
      <c r="D64" s="28" t="s">
        <v>263</v>
      </c>
      <c r="E64" s="94"/>
      <c r="F64" s="80">
        <v>37700</v>
      </c>
      <c r="G64" s="95"/>
      <c r="H64" s="95"/>
      <c r="I64" s="80">
        <v>41580</v>
      </c>
      <c r="J64" s="28"/>
      <c r="K64" s="28"/>
      <c r="L64" s="21"/>
    </row>
    <row r="65" spans="1:12" hidden="1" x14ac:dyDescent="0.25">
      <c r="A65" s="1815"/>
      <c r="B65" s="1220"/>
      <c r="C65" s="1117" t="s">
        <v>356</v>
      </c>
      <c r="D65" s="144" t="s">
        <v>251</v>
      </c>
      <c r="E65" s="94"/>
      <c r="F65" s="80">
        <v>625</v>
      </c>
      <c r="G65" s="95"/>
      <c r="H65" s="95"/>
      <c r="I65" s="96"/>
      <c r="J65" s="28"/>
      <c r="K65" s="28"/>
      <c r="L65" s="21"/>
    </row>
    <row r="66" spans="1:12" hidden="1" x14ac:dyDescent="0.25">
      <c r="A66" s="1815"/>
      <c r="B66" s="1220"/>
      <c r="C66" s="1117"/>
      <c r="D66" s="28" t="s">
        <v>257</v>
      </c>
      <c r="E66" s="94"/>
      <c r="F66" s="80">
        <v>570</v>
      </c>
      <c r="G66" s="95"/>
      <c r="H66" s="95"/>
      <c r="I66" s="96"/>
      <c r="J66" s="28"/>
      <c r="K66" s="28"/>
      <c r="L66" s="21"/>
    </row>
    <row r="67" spans="1:12" hidden="1" x14ac:dyDescent="0.25">
      <c r="A67" s="1815"/>
      <c r="B67" s="1220"/>
      <c r="C67" s="1117"/>
      <c r="D67" s="28" t="s">
        <v>263</v>
      </c>
      <c r="E67" s="94"/>
      <c r="F67" s="80">
        <v>55</v>
      </c>
      <c r="G67" s="95"/>
      <c r="H67" s="95"/>
      <c r="I67" s="96"/>
      <c r="J67" s="28"/>
      <c r="K67" s="28"/>
      <c r="L67" s="21"/>
    </row>
    <row r="68" spans="1:12" hidden="1" x14ac:dyDescent="0.25">
      <c r="A68" s="1815"/>
      <c r="B68" s="1220"/>
      <c r="C68" s="1117"/>
      <c r="D68" s="28" t="s">
        <v>357</v>
      </c>
      <c r="E68" s="94"/>
      <c r="F68" s="97">
        <f>F67/F65*100</f>
        <v>8.7999999999999989</v>
      </c>
      <c r="G68" s="94"/>
      <c r="H68" s="94"/>
      <c r="I68" s="28"/>
      <c r="J68" s="28"/>
      <c r="K68" s="28"/>
      <c r="L68" s="21"/>
    </row>
    <row r="69" spans="1:12" ht="14.85" hidden="1" customHeight="1" x14ac:dyDescent="0.25">
      <c r="A69" s="1815"/>
      <c r="B69" s="1220"/>
      <c r="C69" s="1117" t="s">
        <v>358</v>
      </c>
      <c r="D69" s="144" t="s">
        <v>251</v>
      </c>
      <c r="E69" s="94"/>
      <c r="F69" s="80">
        <v>1470</v>
      </c>
      <c r="G69" s="80"/>
      <c r="H69" s="80"/>
      <c r="I69" s="80">
        <v>627</v>
      </c>
      <c r="J69" s="28"/>
      <c r="K69" s="28"/>
      <c r="L69" s="21"/>
    </row>
    <row r="70" spans="1:12" hidden="1" x14ac:dyDescent="0.25">
      <c r="A70" s="1815"/>
      <c r="B70" s="1220"/>
      <c r="C70" s="1117"/>
      <c r="D70" s="28" t="s">
        <v>257</v>
      </c>
      <c r="E70" s="94"/>
      <c r="F70" s="80">
        <v>1185</v>
      </c>
      <c r="G70" s="80"/>
      <c r="H70" s="80"/>
      <c r="I70" s="80">
        <v>483</v>
      </c>
      <c r="J70" s="28"/>
      <c r="K70" s="28"/>
      <c r="L70" s="21"/>
    </row>
    <row r="71" spans="1:12" hidden="1" x14ac:dyDescent="0.25">
      <c r="A71" s="1815"/>
      <c r="B71" s="1220"/>
      <c r="C71" s="1117"/>
      <c r="D71" s="28" t="s">
        <v>263</v>
      </c>
      <c r="E71" s="94"/>
      <c r="F71" s="80">
        <v>285</v>
      </c>
      <c r="G71" s="80"/>
      <c r="H71" s="80"/>
      <c r="I71" s="80">
        <v>144</v>
      </c>
      <c r="J71" s="28"/>
      <c r="K71" s="28"/>
      <c r="L71" s="21"/>
    </row>
    <row r="72" spans="1:12" hidden="1" x14ac:dyDescent="0.25">
      <c r="A72" s="1815"/>
      <c r="B72" s="1220"/>
      <c r="C72" s="1117"/>
      <c r="D72" s="28" t="s">
        <v>357</v>
      </c>
      <c r="E72" s="94"/>
      <c r="F72" s="97">
        <f>F71/F69*100</f>
        <v>19.387755102040817</v>
      </c>
      <c r="G72" s="94"/>
      <c r="H72" s="94"/>
      <c r="I72" s="97">
        <f>I71/I69*100</f>
        <v>22.966507177033492</v>
      </c>
      <c r="J72" s="28"/>
      <c r="K72" s="28"/>
      <c r="L72" s="21"/>
    </row>
    <row r="73" spans="1:12" hidden="1" x14ac:dyDescent="0.25">
      <c r="A73" s="1815"/>
      <c r="B73" s="1220"/>
      <c r="C73" s="1117" t="s">
        <v>359</v>
      </c>
      <c r="D73" s="144" t="s">
        <v>251</v>
      </c>
      <c r="E73" s="94"/>
      <c r="F73" s="80">
        <v>2885</v>
      </c>
      <c r="G73" s="80"/>
      <c r="H73" s="80"/>
      <c r="I73" s="80">
        <v>3201</v>
      </c>
      <c r="J73" s="28"/>
      <c r="K73" s="28"/>
      <c r="L73" s="21"/>
    </row>
    <row r="74" spans="1:12" hidden="1" x14ac:dyDescent="0.25">
      <c r="A74" s="1815"/>
      <c r="B74" s="1220"/>
      <c r="C74" s="1117"/>
      <c r="D74" s="28" t="s">
        <v>257</v>
      </c>
      <c r="E74" s="94"/>
      <c r="F74" s="80">
        <v>1865</v>
      </c>
      <c r="G74" s="80"/>
      <c r="H74" s="80"/>
      <c r="I74" s="80">
        <v>2040</v>
      </c>
      <c r="J74" s="28"/>
      <c r="K74" s="28"/>
      <c r="L74" s="21"/>
    </row>
    <row r="75" spans="1:12" hidden="1" x14ac:dyDescent="0.25">
      <c r="A75" s="1815"/>
      <c r="B75" s="1220"/>
      <c r="C75" s="1117"/>
      <c r="D75" s="28" t="s">
        <v>263</v>
      </c>
      <c r="E75" s="94"/>
      <c r="F75" s="80">
        <v>1020</v>
      </c>
      <c r="G75" s="80"/>
      <c r="H75" s="80"/>
      <c r="I75" s="80">
        <v>1161</v>
      </c>
      <c r="J75" s="28"/>
      <c r="K75" s="28"/>
      <c r="L75" s="21"/>
    </row>
    <row r="76" spans="1:12" hidden="1" x14ac:dyDescent="0.25">
      <c r="A76" s="1815"/>
      <c r="B76" s="1220"/>
      <c r="C76" s="1117"/>
      <c r="D76" s="28" t="s">
        <v>357</v>
      </c>
      <c r="E76" s="94"/>
      <c r="F76" s="97">
        <f>F75/F73*100</f>
        <v>35.355285961871751</v>
      </c>
      <c r="G76" s="94"/>
      <c r="H76" s="94"/>
      <c r="I76" s="97">
        <f>I75/I73*100</f>
        <v>36.26991565135895</v>
      </c>
      <c r="J76" s="28"/>
      <c r="K76" s="28"/>
      <c r="L76" s="21"/>
    </row>
    <row r="77" spans="1:12" hidden="1" x14ac:dyDescent="0.25">
      <c r="A77" s="1815"/>
      <c r="B77" s="1220"/>
      <c r="C77" s="1117" t="s">
        <v>360</v>
      </c>
      <c r="D77" s="144" t="s">
        <v>251</v>
      </c>
      <c r="E77" s="94"/>
      <c r="F77" s="80">
        <v>2690</v>
      </c>
      <c r="G77" s="80"/>
      <c r="H77" s="80"/>
      <c r="I77" s="80">
        <v>921</v>
      </c>
      <c r="J77" s="28"/>
      <c r="K77" s="28"/>
      <c r="L77" s="21"/>
    </row>
    <row r="78" spans="1:12" hidden="1" x14ac:dyDescent="0.25">
      <c r="A78" s="1815"/>
      <c r="B78" s="1220"/>
      <c r="C78" s="1117"/>
      <c r="D78" s="28" t="s">
        <v>257</v>
      </c>
      <c r="E78" s="94"/>
      <c r="F78" s="80">
        <v>1995</v>
      </c>
      <c r="G78" s="80"/>
      <c r="H78" s="80"/>
      <c r="I78" s="80">
        <v>678</v>
      </c>
      <c r="J78" s="28"/>
      <c r="K78" s="28"/>
      <c r="L78" s="21"/>
    </row>
    <row r="79" spans="1:12" hidden="1" x14ac:dyDescent="0.25">
      <c r="A79" s="1815"/>
      <c r="B79" s="1220"/>
      <c r="C79" s="1117"/>
      <c r="D79" s="28" t="s">
        <v>263</v>
      </c>
      <c r="E79" s="94"/>
      <c r="F79" s="80">
        <v>695</v>
      </c>
      <c r="G79" s="80"/>
      <c r="H79" s="80"/>
      <c r="I79" s="80">
        <v>243</v>
      </c>
      <c r="J79" s="28"/>
      <c r="K79" s="28"/>
      <c r="L79" s="21"/>
    </row>
    <row r="80" spans="1:12" hidden="1" x14ac:dyDescent="0.25">
      <c r="A80" s="1815"/>
      <c r="B80" s="1220"/>
      <c r="C80" s="1117"/>
      <c r="D80" s="28" t="s">
        <v>357</v>
      </c>
      <c r="E80" s="94"/>
      <c r="F80" s="97">
        <f>F79/F77*100</f>
        <v>25.8364312267658</v>
      </c>
      <c r="G80" s="94"/>
      <c r="H80" s="94"/>
      <c r="I80" s="97">
        <f>I79/I77*100</f>
        <v>26.384364820846905</v>
      </c>
      <c r="J80" s="28"/>
      <c r="K80" s="28"/>
      <c r="L80" s="21"/>
    </row>
    <row r="81" spans="1:12" hidden="1" x14ac:dyDescent="0.25">
      <c r="A81" s="1815"/>
      <c r="B81" s="1220"/>
      <c r="C81" s="1117" t="s">
        <v>361</v>
      </c>
      <c r="D81" s="144" t="s">
        <v>251</v>
      </c>
      <c r="E81" s="94"/>
      <c r="F81" s="80">
        <v>715</v>
      </c>
      <c r="G81" s="80"/>
      <c r="H81" s="80"/>
      <c r="I81" s="80">
        <v>570</v>
      </c>
      <c r="J81" s="28"/>
      <c r="K81" s="28"/>
      <c r="L81" s="21"/>
    </row>
    <row r="82" spans="1:12" hidden="1" x14ac:dyDescent="0.25">
      <c r="A82" s="1815"/>
      <c r="B82" s="1220"/>
      <c r="C82" s="1117"/>
      <c r="D82" s="28" t="s">
        <v>257</v>
      </c>
      <c r="E82" s="94"/>
      <c r="F82" s="80">
        <v>470</v>
      </c>
      <c r="G82" s="80"/>
      <c r="H82" s="80"/>
      <c r="I82" s="80">
        <v>354</v>
      </c>
      <c r="J82" s="28"/>
      <c r="K82" s="28"/>
      <c r="L82" s="21"/>
    </row>
    <row r="83" spans="1:12" hidden="1" x14ac:dyDescent="0.25">
      <c r="A83" s="1815"/>
      <c r="B83" s="1220"/>
      <c r="C83" s="1117"/>
      <c r="D83" s="28" t="s">
        <v>263</v>
      </c>
      <c r="E83" s="94"/>
      <c r="F83" s="80">
        <v>245</v>
      </c>
      <c r="G83" s="80"/>
      <c r="H83" s="80"/>
      <c r="I83" s="80">
        <v>216</v>
      </c>
      <c r="J83" s="28"/>
      <c r="K83" s="28"/>
      <c r="L83" s="21"/>
    </row>
    <row r="84" spans="1:12" hidden="1" x14ac:dyDescent="0.25">
      <c r="A84" s="1815"/>
      <c r="B84" s="1220"/>
      <c r="C84" s="1117"/>
      <c r="D84" s="28" t="s">
        <v>357</v>
      </c>
      <c r="E84" s="94"/>
      <c r="F84" s="97">
        <f>(F83/F81)*100</f>
        <v>34.265734265734267</v>
      </c>
      <c r="G84" s="94"/>
      <c r="H84" s="94"/>
      <c r="I84" s="97">
        <f>I83/I81*100</f>
        <v>37.894736842105267</v>
      </c>
      <c r="J84" s="28"/>
      <c r="K84" s="28"/>
      <c r="L84" s="21"/>
    </row>
    <row r="85" spans="1:12" hidden="1" x14ac:dyDescent="0.25">
      <c r="A85" s="1815"/>
      <c r="B85" s="1220"/>
      <c r="C85" s="1117" t="s">
        <v>362</v>
      </c>
      <c r="D85" s="144" t="s">
        <v>251</v>
      </c>
      <c r="E85" s="94"/>
      <c r="F85" s="80">
        <v>300</v>
      </c>
      <c r="G85" s="80"/>
      <c r="H85" s="80"/>
      <c r="I85" s="80">
        <v>780</v>
      </c>
      <c r="J85" s="28"/>
      <c r="K85" s="28"/>
      <c r="L85" s="21"/>
    </row>
    <row r="86" spans="1:12" ht="15" hidden="1" customHeight="1" x14ac:dyDescent="0.25">
      <c r="A86" s="1815"/>
      <c r="B86" s="1220"/>
      <c r="C86" s="1117"/>
      <c r="D86" s="28" t="s">
        <v>257</v>
      </c>
      <c r="E86" s="94"/>
      <c r="F86" s="80">
        <v>165</v>
      </c>
      <c r="G86" s="80"/>
      <c r="H86" s="80"/>
      <c r="I86" s="80">
        <v>534</v>
      </c>
      <c r="J86" s="28"/>
      <c r="K86" s="28"/>
      <c r="L86" s="21"/>
    </row>
    <row r="87" spans="1:12" hidden="1" x14ac:dyDescent="0.25">
      <c r="A87" s="1815"/>
      <c r="B87" s="1220"/>
      <c r="C87" s="1117"/>
      <c r="D87" s="28" t="s">
        <v>263</v>
      </c>
      <c r="E87" s="94"/>
      <c r="F87" s="80">
        <v>140</v>
      </c>
      <c r="G87" s="80"/>
      <c r="H87" s="80"/>
      <c r="I87" s="80">
        <v>246</v>
      </c>
      <c r="J87" s="28"/>
      <c r="K87" s="28"/>
      <c r="L87" s="21"/>
    </row>
    <row r="88" spans="1:12" hidden="1" x14ac:dyDescent="0.25">
      <c r="A88" s="1815"/>
      <c r="B88" s="1220"/>
      <c r="C88" s="1117"/>
      <c r="D88" s="28" t="s">
        <v>357</v>
      </c>
      <c r="E88" s="94"/>
      <c r="F88" s="98">
        <f>(F87/F85)*100</f>
        <v>46.666666666666664</v>
      </c>
      <c r="G88" s="94"/>
      <c r="H88" s="94"/>
      <c r="I88" s="97">
        <f>I87/I85*100</f>
        <v>31.538461538461537</v>
      </c>
      <c r="J88" s="28"/>
      <c r="K88" s="28"/>
      <c r="L88" s="21"/>
    </row>
    <row r="89" spans="1:12" hidden="1" x14ac:dyDescent="0.25">
      <c r="A89" s="1815"/>
      <c r="B89" s="1220"/>
      <c r="C89" s="1117" t="s">
        <v>363</v>
      </c>
      <c r="D89" s="144" t="s">
        <v>251</v>
      </c>
      <c r="E89" s="94"/>
      <c r="F89" s="80">
        <v>2965</v>
      </c>
      <c r="G89" s="80"/>
      <c r="H89" s="80"/>
      <c r="I89" s="80">
        <v>3807</v>
      </c>
      <c r="J89" s="28"/>
      <c r="K89" s="28"/>
      <c r="L89" s="21"/>
    </row>
    <row r="90" spans="1:12" hidden="1" x14ac:dyDescent="0.25">
      <c r="A90" s="1815"/>
      <c r="B90" s="1220"/>
      <c r="C90" s="1117"/>
      <c r="D90" s="28" t="s">
        <v>257</v>
      </c>
      <c r="E90" s="94"/>
      <c r="F90" s="80">
        <v>1035</v>
      </c>
      <c r="G90" s="80"/>
      <c r="H90" s="80"/>
      <c r="I90" s="80">
        <v>987</v>
      </c>
      <c r="J90" s="28"/>
      <c r="K90" s="28"/>
      <c r="L90" s="21"/>
    </row>
    <row r="91" spans="1:12" hidden="1" x14ac:dyDescent="0.25">
      <c r="A91" s="1815"/>
      <c r="B91" s="1220"/>
      <c r="C91" s="1117"/>
      <c r="D91" s="28" t="s">
        <v>263</v>
      </c>
      <c r="E91" s="94"/>
      <c r="F91" s="80">
        <v>1930</v>
      </c>
      <c r="G91" s="80"/>
      <c r="H91" s="80"/>
      <c r="I91" s="80">
        <v>2820</v>
      </c>
      <c r="J91" s="28"/>
      <c r="K91" s="28"/>
      <c r="L91" s="21"/>
    </row>
    <row r="92" spans="1:12" hidden="1" x14ac:dyDescent="0.25">
      <c r="A92" s="1815"/>
      <c r="B92" s="1220"/>
      <c r="C92" s="1117"/>
      <c r="D92" s="28" t="s">
        <v>357</v>
      </c>
      <c r="E92" s="94"/>
      <c r="F92" s="99">
        <f>(F91/F89)*100</f>
        <v>65.092748735244527</v>
      </c>
      <c r="G92" s="94"/>
      <c r="H92" s="94"/>
      <c r="I92" s="99">
        <f>I91/I89*100</f>
        <v>74.074074074074076</v>
      </c>
      <c r="J92" s="28"/>
      <c r="K92" s="28"/>
      <c r="L92" s="21"/>
    </row>
    <row r="93" spans="1:12" hidden="1" x14ac:dyDescent="0.25">
      <c r="A93" s="1815"/>
      <c r="B93" s="1220"/>
      <c r="C93" s="1117" t="s">
        <v>364</v>
      </c>
      <c r="D93" s="144" t="s">
        <v>251</v>
      </c>
      <c r="E93" s="94"/>
      <c r="F93" s="80">
        <v>3375</v>
      </c>
      <c r="G93" s="80"/>
      <c r="H93" s="80"/>
      <c r="I93" s="80">
        <v>3969</v>
      </c>
      <c r="J93" s="28"/>
      <c r="K93" s="28"/>
      <c r="L93" s="21"/>
    </row>
    <row r="94" spans="1:12" ht="14.85" hidden="1" customHeight="1" x14ac:dyDescent="0.25">
      <c r="A94" s="1815"/>
      <c r="B94" s="1220"/>
      <c r="C94" s="1117"/>
      <c r="D94" s="28" t="s">
        <v>257</v>
      </c>
      <c r="E94" s="94"/>
      <c r="F94" s="80">
        <v>895</v>
      </c>
      <c r="G94" s="80"/>
      <c r="H94" s="80"/>
      <c r="I94" s="80">
        <v>1215</v>
      </c>
      <c r="J94" s="28"/>
      <c r="K94" s="28"/>
      <c r="L94" s="21"/>
    </row>
    <row r="95" spans="1:12" hidden="1" x14ac:dyDescent="0.25">
      <c r="A95" s="1815"/>
      <c r="B95" s="1220"/>
      <c r="C95" s="1117"/>
      <c r="D95" s="28" t="s">
        <v>263</v>
      </c>
      <c r="E95" s="94"/>
      <c r="F95" s="80">
        <v>2485</v>
      </c>
      <c r="G95" s="80"/>
      <c r="H95" s="80"/>
      <c r="I95" s="80">
        <v>2754</v>
      </c>
      <c r="J95" s="28"/>
      <c r="K95" s="28"/>
      <c r="L95" s="21"/>
    </row>
    <row r="96" spans="1:12" hidden="1" x14ac:dyDescent="0.25">
      <c r="A96" s="1815"/>
      <c r="B96" s="1220"/>
      <c r="C96" s="1117"/>
      <c r="D96" s="28" t="s">
        <v>357</v>
      </c>
      <c r="E96" s="94"/>
      <c r="F96" s="99">
        <f>(F95/F93)*100</f>
        <v>73.629629629629633</v>
      </c>
      <c r="G96" s="94"/>
      <c r="H96" s="94"/>
      <c r="I96" s="99">
        <f>I95/I93*100</f>
        <v>69.387755102040813</v>
      </c>
      <c r="J96" s="28"/>
      <c r="K96" s="28"/>
      <c r="L96" s="21"/>
    </row>
    <row r="97" spans="1:12" hidden="1" x14ac:dyDescent="0.25">
      <c r="A97" s="1815"/>
      <c r="B97" s="1220"/>
      <c r="C97" s="1117" t="s">
        <v>365</v>
      </c>
      <c r="D97" s="144" t="s">
        <v>251</v>
      </c>
      <c r="E97" s="94"/>
      <c r="F97" s="80">
        <v>450</v>
      </c>
      <c r="G97" s="80"/>
      <c r="H97" s="80"/>
      <c r="I97" s="80">
        <v>1080</v>
      </c>
      <c r="J97" s="28"/>
      <c r="K97" s="28"/>
      <c r="L97" s="21"/>
    </row>
    <row r="98" spans="1:12" hidden="1" x14ac:dyDescent="0.25">
      <c r="A98" s="1815"/>
      <c r="B98" s="1220"/>
      <c r="C98" s="1117"/>
      <c r="D98" s="28" t="s">
        <v>257</v>
      </c>
      <c r="E98" s="94"/>
      <c r="F98" s="80">
        <v>175</v>
      </c>
      <c r="G98" s="80"/>
      <c r="H98" s="80"/>
      <c r="I98" s="80">
        <v>411</v>
      </c>
      <c r="J98" s="28"/>
      <c r="K98" s="28"/>
      <c r="L98" s="21"/>
    </row>
    <row r="99" spans="1:12" hidden="1" x14ac:dyDescent="0.25">
      <c r="A99" s="1815"/>
      <c r="B99" s="1220"/>
      <c r="C99" s="1117"/>
      <c r="D99" s="28" t="s">
        <v>263</v>
      </c>
      <c r="E99" s="94"/>
      <c r="F99" s="80">
        <v>275</v>
      </c>
      <c r="G99" s="80"/>
      <c r="H99" s="80"/>
      <c r="I99" s="80">
        <v>669</v>
      </c>
      <c r="J99" s="28"/>
      <c r="K99" s="28"/>
      <c r="L99" s="21"/>
    </row>
    <row r="100" spans="1:12" hidden="1" x14ac:dyDescent="0.25">
      <c r="A100" s="1815"/>
      <c r="B100" s="1220"/>
      <c r="C100" s="1117"/>
      <c r="D100" s="28" t="s">
        <v>357</v>
      </c>
      <c r="E100" s="94"/>
      <c r="F100" s="99">
        <f>F99/F97*100</f>
        <v>61.111111111111114</v>
      </c>
      <c r="G100" s="94"/>
      <c r="H100" s="94"/>
      <c r="I100" s="99">
        <f>I99/I97*100</f>
        <v>61.944444444444443</v>
      </c>
      <c r="J100" s="28"/>
      <c r="K100" s="28"/>
      <c r="L100" s="21"/>
    </row>
    <row r="101" spans="1:12" hidden="1" x14ac:dyDescent="0.25">
      <c r="A101" s="1815"/>
      <c r="B101" s="1220"/>
      <c r="C101" s="1117" t="s">
        <v>366</v>
      </c>
      <c r="D101" s="144" t="s">
        <v>251</v>
      </c>
      <c r="E101" s="94"/>
      <c r="F101" s="80">
        <v>4965</v>
      </c>
      <c r="G101" s="80"/>
      <c r="H101" s="80"/>
      <c r="I101" s="80">
        <v>5133</v>
      </c>
      <c r="J101" s="28"/>
      <c r="K101" s="28"/>
      <c r="L101" s="21"/>
    </row>
    <row r="102" spans="1:12" hidden="1" x14ac:dyDescent="0.25">
      <c r="A102" s="1815"/>
      <c r="B102" s="1220"/>
      <c r="C102" s="1117"/>
      <c r="D102" s="28" t="s">
        <v>257</v>
      </c>
      <c r="E102" s="94"/>
      <c r="F102" s="80">
        <v>3430</v>
      </c>
      <c r="G102" s="80"/>
      <c r="H102" s="80"/>
      <c r="I102" s="80">
        <v>3327</v>
      </c>
      <c r="J102" s="28"/>
      <c r="K102" s="28"/>
      <c r="L102" s="21"/>
    </row>
    <row r="103" spans="1:12" hidden="1" x14ac:dyDescent="0.25">
      <c r="A103" s="1815"/>
      <c r="B103" s="1220"/>
      <c r="C103" s="1117"/>
      <c r="D103" s="28" t="s">
        <v>263</v>
      </c>
      <c r="E103" s="94"/>
      <c r="F103" s="80">
        <v>1535</v>
      </c>
      <c r="G103" s="80"/>
      <c r="H103" s="80"/>
      <c r="I103" s="80">
        <v>1806</v>
      </c>
      <c r="J103" s="28"/>
      <c r="K103" s="28"/>
      <c r="L103" s="21"/>
    </row>
    <row r="104" spans="1:12" hidden="1" x14ac:dyDescent="0.25">
      <c r="A104" s="1815"/>
      <c r="B104" s="1220"/>
      <c r="C104" s="1117"/>
      <c r="D104" s="28" t="s">
        <v>357</v>
      </c>
      <c r="E104" s="94"/>
      <c r="F104" s="97">
        <f>(F103/F101)*100</f>
        <v>30.916414904330313</v>
      </c>
      <c r="G104" s="94"/>
      <c r="H104" s="94"/>
      <c r="I104" s="97">
        <f>I103/I101*100</f>
        <v>35.184102863822325</v>
      </c>
      <c r="J104" s="28"/>
      <c r="K104" s="28"/>
      <c r="L104" s="21"/>
    </row>
    <row r="105" spans="1:12" hidden="1" x14ac:dyDescent="0.25">
      <c r="A105" s="1815"/>
      <c r="B105" s="1220"/>
      <c r="C105" s="1117" t="s">
        <v>367</v>
      </c>
      <c r="D105" s="144" t="s">
        <v>251</v>
      </c>
      <c r="E105" s="94"/>
      <c r="F105" s="80">
        <v>1830</v>
      </c>
      <c r="G105" s="80"/>
      <c r="H105" s="80"/>
      <c r="I105" s="80">
        <v>1737</v>
      </c>
      <c r="J105" s="96"/>
      <c r="K105" s="28"/>
      <c r="L105" s="21"/>
    </row>
    <row r="106" spans="1:12" hidden="1" x14ac:dyDescent="0.25">
      <c r="A106" s="1815"/>
      <c r="B106" s="1220"/>
      <c r="C106" s="1117"/>
      <c r="D106" s="28" t="s">
        <v>257</v>
      </c>
      <c r="E106" s="94"/>
      <c r="F106" s="80">
        <v>925</v>
      </c>
      <c r="G106" s="80"/>
      <c r="H106" s="80"/>
      <c r="I106" s="80">
        <v>801</v>
      </c>
      <c r="J106" s="96"/>
      <c r="K106" s="28"/>
      <c r="L106" s="21"/>
    </row>
    <row r="107" spans="1:12" hidden="1" x14ac:dyDescent="0.25">
      <c r="A107" s="1815"/>
      <c r="B107" s="1220"/>
      <c r="C107" s="1117"/>
      <c r="D107" s="28" t="s">
        <v>263</v>
      </c>
      <c r="E107" s="94"/>
      <c r="F107" s="80">
        <v>905</v>
      </c>
      <c r="G107" s="80"/>
      <c r="H107" s="80"/>
      <c r="I107" s="80">
        <v>936</v>
      </c>
      <c r="J107" s="96"/>
      <c r="K107" s="28"/>
      <c r="L107" s="21"/>
    </row>
    <row r="108" spans="1:12" hidden="1" x14ac:dyDescent="0.25">
      <c r="A108" s="1815"/>
      <c r="B108" s="1220"/>
      <c r="C108" s="1117"/>
      <c r="D108" s="28" t="s">
        <v>357</v>
      </c>
      <c r="E108" s="94"/>
      <c r="F108" s="98">
        <f>(F107/F105)*100</f>
        <v>49.453551912568308</v>
      </c>
      <c r="G108" s="94"/>
      <c r="H108" s="94"/>
      <c r="I108" s="98">
        <f>I107/I105*100</f>
        <v>53.8860103626943</v>
      </c>
      <c r="J108" s="96"/>
      <c r="K108" s="28"/>
      <c r="L108" s="21"/>
    </row>
    <row r="109" spans="1:12" hidden="1" x14ac:dyDescent="0.25">
      <c r="A109" s="1815"/>
      <c r="B109" s="1220"/>
      <c r="C109" s="1117" t="s">
        <v>368</v>
      </c>
      <c r="D109" s="144" t="s">
        <v>251</v>
      </c>
      <c r="E109" s="94"/>
      <c r="F109" s="80">
        <v>2770</v>
      </c>
      <c r="G109" s="80"/>
      <c r="H109" s="80"/>
      <c r="I109" s="80">
        <v>5805</v>
      </c>
      <c r="J109" s="96"/>
      <c r="K109" s="28"/>
      <c r="L109" s="21"/>
    </row>
    <row r="110" spans="1:12" hidden="1" x14ac:dyDescent="0.25">
      <c r="A110" s="1815"/>
      <c r="B110" s="1220"/>
      <c r="C110" s="1117"/>
      <c r="D110" s="28" t="s">
        <v>257</v>
      </c>
      <c r="E110" s="94"/>
      <c r="F110" s="80">
        <v>1260</v>
      </c>
      <c r="G110" s="80"/>
      <c r="H110" s="80"/>
      <c r="I110" s="80">
        <v>2901</v>
      </c>
      <c r="J110" s="96"/>
      <c r="K110" s="28"/>
      <c r="L110" s="21"/>
    </row>
    <row r="111" spans="1:12" hidden="1" x14ac:dyDescent="0.25">
      <c r="A111" s="1815"/>
      <c r="B111" s="1220"/>
      <c r="C111" s="1117"/>
      <c r="D111" s="28" t="s">
        <v>263</v>
      </c>
      <c r="E111" s="94"/>
      <c r="F111" s="80">
        <v>1510</v>
      </c>
      <c r="G111" s="80"/>
      <c r="H111" s="80"/>
      <c r="I111" s="80">
        <v>2904</v>
      </c>
      <c r="J111" s="96"/>
      <c r="K111" s="28"/>
      <c r="L111" s="21"/>
    </row>
    <row r="112" spans="1:12" hidden="1" x14ac:dyDescent="0.25">
      <c r="A112" s="1815"/>
      <c r="B112" s="1220"/>
      <c r="C112" s="1117"/>
      <c r="D112" s="28" t="s">
        <v>357</v>
      </c>
      <c r="E112" s="94"/>
      <c r="F112" s="98">
        <f>(F111/F109)*100</f>
        <v>54.512635379061372</v>
      </c>
      <c r="G112" s="94"/>
      <c r="H112" s="94"/>
      <c r="I112" s="98">
        <f>I111/I109*100</f>
        <v>50.025839793281655</v>
      </c>
      <c r="J112" s="96"/>
      <c r="K112" s="28"/>
      <c r="L112" s="21"/>
    </row>
    <row r="113" spans="1:12" hidden="1" x14ac:dyDescent="0.25">
      <c r="A113" s="1815"/>
      <c r="B113" s="1220"/>
      <c r="C113" s="1117" t="s">
        <v>369</v>
      </c>
      <c r="D113" s="144" t="s">
        <v>251</v>
      </c>
      <c r="E113" s="94"/>
      <c r="F113" s="80">
        <v>1570</v>
      </c>
      <c r="G113" s="80"/>
      <c r="H113" s="80"/>
      <c r="I113" s="80">
        <v>3066</v>
      </c>
      <c r="J113" s="96"/>
      <c r="K113" s="28"/>
      <c r="L113" s="21"/>
    </row>
    <row r="114" spans="1:12" hidden="1" x14ac:dyDescent="0.25">
      <c r="A114" s="1815"/>
      <c r="B114" s="1220"/>
      <c r="C114" s="1117"/>
      <c r="D114" s="28" t="s">
        <v>257</v>
      </c>
      <c r="E114" s="94"/>
      <c r="F114" s="80">
        <v>905</v>
      </c>
      <c r="G114" s="80"/>
      <c r="H114" s="80"/>
      <c r="I114" s="80">
        <v>2112</v>
      </c>
      <c r="J114" s="96"/>
      <c r="K114" s="28"/>
      <c r="L114" s="21"/>
    </row>
    <row r="115" spans="1:12" hidden="1" x14ac:dyDescent="0.25">
      <c r="A115" s="1815"/>
      <c r="B115" s="1220"/>
      <c r="C115" s="1117"/>
      <c r="D115" s="28" t="s">
        <v>263</v>
      </c>
      <c r="E115" s="94"/>
      <c r="F115" s="80">
        <v>665</v>
      </c>
      <c r="G115" s="80"/>
      <c r="H115" s="80"/>
      <c r="I115" s="80">
        <v>954</v>
      </c>
      <c r="J115" s="96"/>
      <c r="K115" s="28"/>
      <c r="L115" s="21"/>
    </row>
    <row r="116" spans="1:12" hidden="1" x14ac:dyDescent="0.25">
      <c r="A116" s="1815"/>
      <c r="B116" s="1220"/>
      <c r="C116" s="1117"/>
      <c r="D116" s="28" t="s">
        <v>357</v>
      </c>
      <c r="E116" s="94"/>
      <c r="F116" s="98">
        <f>(F115/F113)*100</f>
        <v>42.356687898089177</v>
      </c>
      <c r="G116" s="94"/>
      <c r="H116" s="94"/>
      <c r="I116" s="97">
        <f>I115/I113*100</f>
        <v>31.115459882583167</v>
      </c>
      <c r="J116" s="96"/>
      <c r="K116" s="28"/>
      <c r="L116" s="21"/>
    </row>
    <row r="117" spans="1:12" hidden="1" x14ac:dyDescent="0.25">
      <c r="A117" s="1815"/>
      <c r="B117" s="1220"/>
      <c r="C117" s="1117" t="s">
        <v>370</v>
      </c>
      <c r="D117" s="144" t="s">
        <v>251</v>
      </c>
      <c r="E117" s="94"/>
      <c r="F117" s="80">
        <v>1765</v>
      </c>
      <c r="G117" s="80"/>
      <c r="H117" s="80"/>
      <c r="I117" s="80">
        <v>1257</v>
      </c>
      <c r="J117" s="96"/>
      <c r="K117" s="28"/>
      <c r="L117" s="21"/>
    </row>
    <row r="118" spans="1:12" hidden="1" x14ac:dyDescent="0.25">
      <c r="A118" s="1815"/>
      <c r="B118" s="1220"/>
      <c r="C118" s="1117"/>
      <c r="D118" s="28" t="s">
        <v>257</v>
      </c>
      <c r="E118" s="94"/>
      <c r="F118" s="80">
        <v>800</v>
      </c>
      <c r="G118" s="80"/>
      <c r="H118" s="80"/>
      <c r="I118" s="80">
        <v>438</v>
      </c>
      <c r="J118" s="96"/>
      <c r="K118" s="28"/>
      <c r="L118" s="21"/>
    </row>
    <row r="119" spans="1:12" hidden="1" x14ac:dyDescent="0.25">
      <c r="A119" s="1815"/>
      <c r="B119" s="1220"/>
      <c r="C119" s="1117"/>
      <c r="D119" s="28" t="s">
        <v>263</v>
      </c>
      <c r="E119" s="94"/>
      <c r="F119" s="80">
        <v>960</v>
      </c>
      <c r="G119" s="80"/>
      <c r="H119" s="80"/>
      <c r="I119" s="80">
        <v>819</v>
      </c>
      <c r="J119" s="96"/>
      <c r="K119" s="28"/>
      <c r="L119" s="21"/>
    </row>
    <row r="120" spans="1:12" hidden="1" x14ac:dyDescent="0.25">
      <c r="A120" s="1815"/>
      <c r="B120" s="1220"/>
      <c r="C120" s="1117"/>
      <c r="D120" s="28" t="s">
        <v>357</v>
      </c>
      <c r="E120" s="94"/>
      <c r="F120" s="98">
        <f>(F119/F117)*100</f>
        <v>54.390934844192643</v>
      </c>
      <c r="G120" s="94"/>
      <c r="H120" s="94"/>
      <c r="I120" s="99">
        <f>I119/I117*100</f>
        <v>65.155131264916463</v>
      </c>
      <c r="J120" s="96"/>
      <c r="K120" s="28"/>
      <c r="L120" s="21"/>
    </row>
    <row r="121" spans="1:12" hidden="1" x14ac:dyDescent="0.25">
      <c r="A121" s="1815"/>
      <c r="B121" s="1220"/>
      <c r="C121" s="1117" t="s">
        <v>371</v>
      </c>
      <c r="D121" s="144" t="s">
        <v>251</v>
      </c>
      <c r="E121" s="94"/>
      <c r="F121" s="80">
        <v>20</v>
      </c>
      <c r="G121" s="80"/>
      <c r="H121" s="80"/>
      <c r="I121" s="80">
        <v>1194</v>
      </c>
      <c r="J121" s="96"/>
      <c r="K121" s="28"/>
      <c r="L121" s="21"/>
    </row>
    <row r="122" spans="1:12" hidden="1" x14ac:dyDescent="0.25">
      <c r="A122" s="1815"/>
      <c r="B122" s="1220"/>
      <c r="C122" s="1117"/>
      <c r="D122" s="28" t="s">
        <v>257</v>
      </c>
      <c r="E122" s="94"/>
      <c r="F122" s="80">
        <v>0</v>
      </c>
      <c r="G122" s="80"/>
      <c r="H122" s="80"/>
      <c r="I122" s="80">
        <v>549</v>
      </c>
      <c r="J122" s="96"/>
      <c r="K122" s="28"/>
      <c r="L122" s="21"/>
    </row>
    <row r="123" spans="1:12" hidden="1" x14ac:dyDescent="0.25">
      <c r="A123" s="1815"/>
      <c r="B123" s="1220"/>
      <c r="C123" s="1117"/>
      <c r="D123" s="28" t="s">
        <v>263</v>
      </c>
      <c r="E123" s="94"/>
      <c r="F123" s="80">
        <v>20</v>
      </c>
      <c r="G123" s="80"/>
      <c r="H123" s="80"/>
      <c r="I123" s="80">
        <v>645</v>
      </c>
      <c r="J123" s="96"/>
      <c r="K123" s="28"/>
      <c r="L123" s="21"/>
    </row>
    <row r="124" spans="1:12" hidden="1" x14ac:dyDescent="0.25">
      <c r="A124" s="1815"/>
      <c r="B124" s="1220"/>
      <c r="C124" s="1117"/>
      <c r="D124" s="28" t="s">
        <v>357</v>
      </c>
      <c r="E124" s="94"/>
      <c r="F124" s="99">
        <f>(F123/F121)*100</f>
        <v>100</v>
      </c>
      <c r="G124" s="94"/>
      <c r="H124" s="94"/>
      <c r="I124" s="98">
        <f>I123/I121*100</f>
        <v>54.020100502512555</v>
      </c>
      <c r="J124" s="96"/>
      <c r="K124" s="28"/>
      <c r="L124" s="21"/>
    </row>
    <row r="125" spans="1:12" hidden="1" x14ac:dyDescent="0.25">
      <c r="A125" s="1815"/>
      <c r="B125" s="1220"/>
      <c r="C125" s="1117" t="s">
        <v>372</v>
      </c>
      <c r="D125" s="144" t="s">
        <v>251</v>
      </c>
      <c r="E125" s="94"/>
      <c r="F125" s="80">
        <v>2525</v>
      </c>
      <c r="G125" s="80"/>
      <c r="H125" s="80"/>
      <c r="I125" s="80">
        <v>1668</v>
      </c>
      <c r="J125" s="96"/>
      <c r="K125" s="28"/>
      <c r="L125" s="21"/>
    </row>
    <row r="126" spans="1:12" ht="14.85" hidden="1" customHeight="1" x14ac:dyDescent="0.25">
      <c r="A126" s="1815"/>
      <c r="B126" s="1220"/>
      <c r="C126" s="1117"/>
      <c r="D126" s="28" t="s">
        <v>257</v>
      </c>
      <c r="E126" s="94"/>
      <c r="F126" s="80">
        <v>1920</v>
      </c>
      <c r="G126" s="80"/>
      <c r="H126" s="80"/>
      <c r="I126" s="80">
        <v>1098</v>
      </c>
      <c r="J126" s="96"/>
      <c r="K126" s="28"/>
      <c r="L126" s="21"/>
    </row>
    <row r="127" spans="1:12" hidden="1" x14ac:dyDescent="0.25">
      <c r="A127" s="1815"/>
      <c r="B127" s="1220"/>
      <c r="C127" s="1117"/>
      <c r="D127" s="28" t="s">
        <v>263</v>
      </c>
      <c r="E127" s="94"/>
      <c r="F127" s="80">
        <v>605</v>
      </c>
      <c r="G127" s="80"/>
      <c r="H127" s="80"/>
      <c r="I127" s="80">
        <v>570</v>
      </c>
      <c r="J127" s="96"/>
      <c r="K127" s="28"/>
      <c r="L127" s="21"/>
    </row>
    <row r="128" spans="1:12" hidden="1" x14ac:dyDescent="0.25">
      <c r="A128" s="1815"/>
      <c r="B128" s="1220"/>
      <c r="C128" s="1117"/>
      <c r="D128" s="28" t="s">
        <v>357</v>
      </c>
      <c r="E128" s="94"/>
      <c r="F128" s="97">
        <f>(F127/F125)*100</f>
        <v>23.96039603960396</v>
      </c>
      <c r="G128" s="94"/>
      <c r="H128" s="94"/>
      <c r="I128" s="97">
        <f>I127/I125*100</f>
        <v>34.172661870503596</v>
      </c>
      <c r="J128" s="96"/>
      <c r="K128" s="28"/>
      <c r="L128" s="21"/>
    </row>
    <row r="129" spans="1:12" hidden="1" x14ac:dyDescent="0.25">
      <c r="A129" s="1815"/>
      <c r="B129" s="1220"/>
      <c r="C129" s="1117" t="s">
        <v>373</v>
      </c>
      <c r="D129" s="144" t="s">
        <v>251</v>
      </c>
      <c r="E129" s="94"/>
      <c r="F129" s="80">
        <v>495</v>
      </c>
      <c r="G129" s="80"/>
      <c r="H129" s="80"/>
      <c r="I129" s="80">
        <v>243</v>
      </c>
      <c r="J129" s="96"/>
      <c r="K129" s="28"/>
      <c r="L129" s="21"/>
    </row>
    <row r="130" spans="1:12" hidden="1" x14ac:dyDescent="0.25">
      <c r="A130" s="1815"/>
      <c r="B130" s="1220"/>
      <c r="C130" s="1117"/>
      <c r="D130" s="28" t="s">
        <v>257</v>
      </c>
      <c r="E130" s="94"/>
      <c r="F130" s="80">
        <v>380</v>
      </c>
      <c r="G130" s="80"/>
      <c r="H130" s="80"/>
      <c r="I130" s="80">
        <v>168</v>
      </c>
      <c r="J130" s="96"/>
      <c r="K130" s="28"/>
      <c r="L130" s="21"/>
    </row>
    <row r="131" spans="1:12" hidden="1" x14ac:dyDescent="0.25">
      <c r="A131" s="1815"/>
      <c r="B131" s="1220"/>
      <c r="C131" s="1117"/>
      <c r="D131" s="28" t="s">
        <v>263</v>
      </c>
      <c r="E131" s="94"/>
      <c r="F131" s="80">
        <v>115</v>
      </c>
      <c r="G131" s="80"/>
      <c r="H131" s="80"/>
      <c r="I131" s="80">
        <v>75</v>
      </c>
      <c r="J131" s="96"/>
      <c r="K131" s="28"/>
      <c r="L131" s="21"/>
    </row>
    <row r="132" spans="1:12" hidden="1" x14ac:dyDescent="0.25">
      <c r="A132" s="1815"/>
      <c r="B132" s="1220"/>
      <c r="C132" s="1117"/>
      <c r="D132" s="28" t="s">
        <v>357</v>
      </c>
      <c r="E132" s="94"/>
      <c r="F132" s="97">
        <f>(F131/F129)*100</f>
        <v>23.232323232323232</v>
      </c>
      <c r="G132" s="94"/>
      <c r="H132" s="94"/>
      <c r="I132" s="97">
        <f>I131/I129*100</f>
        <v>30.864197530864196</v>
      </c>
      <c r="J132" s="96"/>
      <c r="K132" s="28"/>
      <c r="L132" s="21"/>
    </row>
    <row r="133" spans="1:12" hidden="1" x14ac:dyDescent="0.25">
      <c r="A133" s="1815"/>
      <c r="B133" s="1220"/>
      <c r="C133" s="1117" t="s">
        <v>374</v>
      </c>
      <c r="D133" s="144" t="s">
        <v>251</v>
      </c>
      <c r="E133" s="94"/>
      <c r="F133" s="80">
        <v>440</v>
      </c>
      <c r="G133" s="80"/>
      <c r="H133" s="80"/>
      <c r="I133" s="80">
        <v>552</v>
      </c>
      <c r="J133" s="96"/>
      <c r="K133" s="28"/>
      <c r="L133" s="21"/>
    </row>
    <row r="134" spans="1:12" hidden="1" x14ac:dyDescent="0.25">
      <c r="A134" s="1815"/>
      <c r="B134" s="1220"/>
      <c r="C134" s="1117"/>
      <c r="D134" s="28" t="s">
        <v>257</v>
      </c>
      <c r="E134" s="94"/>
      <c r="F134" s="80">
        <v>200</v>
      </c>
      <c r="G134" s="80"/>
      <c r="H134" s="80"/>
      <c r="I134" s="80">
        <v>168</v>
      </c>
      <c r="J134" s="96"/>
      <c r="K134" s="28"/>
      <c r="L134" s="21"/>
    </row>
    <row r="135" spans="1:12" hidden="1" x14ac:dyDescent="0.25">
      <c r="A135" s="1815"/>
      <c r="B135" s="1220"/>
      <c r="C135" s="1117"/>
      <c r="D135" s="28" t="s">
        <v>263</v>
      </c>
      <c r="E135" s="94"/>
      <c r="F135" s="80">
        <v>240</v>
      </c>
      <c r="G135" s="80"/>
      <c r="H135" s="80"/>
      <c r="I135" s="80">
        <v>381</v>
      </c>
      <c r="J135" s="96"/>
      <c r="K135" s="28"/>
      <c r="L135" s="21"/>
    </row>
    <row r="136" spans="1:12" hidden="1" x14ac:dyDescent="0.25">
      <c r="A136" s="1815"/>
      <c r="B136" s="1220"/>
      <c r="C136" s="1117"/>
      <c r="D136" s="28" t="s">
        <v>357</v>
      </c>
      <c r="E136" s="94"/>
      <c r="F136" s="98">
        <f>(F135/F133)*100</f>
        <v>54.54545454545454</v>
      </c>
      <c r="G136" s="94"/>
      <c r="H136" s="94"/>
      <c r="I136" s="99">
        <f>I135/I133*100</f>
        <v>69.021739130434781</v>
      </c>
      <c r="J136" s="96"/>
      <c r="K136" s="28"/>
      <c r="L136" s="21"/>
    </row>
    <row r="137" spans="1:12" hidden="1" x14ac:dyDescent="0.25">
      <c r="A137" s="1815"/>
      <c r="B137" s="1220"/>
      <c r="C137" s="1117" t="s">
        <v>375</v>
      </c>
      <c r="D137" s="144" t="s">
        <v>251</v>
      </c>
      <c r="E137" s="94"/>
      <c r="F137" s="80">
        <v>165</v>
      </c>
      <c r="G137" s="80"/>
      <c r="H137" s="80"/>
      <c r="I137" s="80">
        <v>288</v>
      </c>
      <c r="J137" s="96"/>
      <c r="K137" s="28"/>
      <c r="L137" s="21"/>
    </row>
    <row r="138" spans="1:12" ht="14.85" hidden="1" customHeight="1" x14ac:dyDescent="0.25">
      <c r="A138" s="1815"/>
      <c r="B138" s="1220"/>
      <c r="C138" s="1117"/>
      <c r="D138" s="28" t="s">
        <v>257</v>
      </c>
      <c r="E138" s="94"/>
      <c r="F138" s="80">
        <v>95</v>
      </c>
      <c r="G138" s="80"/>
      <c r="H138" s="80"/>
      <c r="I138" s="80">
        <v>153</v>
      </c>
      <c r="J138" s="96"/>
      <c r="K138" s="28"/>
      <c r="L138" s="21"/>
    </row>
    <row r="139" spans="1:12" hidden="1" x14ac:dyDescent="0.25">
      <c r="A139" s="1815"/>
      <c r="B139" s="1220"/>
      <c r="C139" s="1117"/>
      <c r="D139" s="28" t="s">
        <v>263</v>
      </c>
      <c r="E139" s="94"/>
      <c r="F139" s="80">
        <v>70</v>
      </c>
      <c r="G139" s="80"/>
      <c r="H139" s="80"/>
      <c r="I139" s="80">
        <v>135</v>
      </c>
      <c r="J139" s="96"/>
      <c r="K139" s="28"/>
      <c r="L139" s="21"/>
    </row>
    <row r="140" spans="1:12" hidden="1" x14ac:dyDescent="0.25">
      <c r="A140" s="1815"/>
      <c r="B140" s="1220"/>
      <c r="C140" s="1117"/>
      <c r="D140" s="28" t="s">
        <v>357</v>
      </c>
      <c r="E140" s="94"/>
      <c r="F140" s="98">
        <f>(F139/F137)*100</f>
        <v>42.424242424242422</v>
      </c>
      <c r="G140" s="94"/>
      <c r="H140" s="94"/>
      <c r="I140" s="98">
        <f>I139/I137*100</f>
        <v>46.875</v>
      </c>
      <c r="J140" s="96"/>
      <c r="K140" s="28"/>
      <c r="L140" s="21"/>
    </row>
    <row r="141" spans="1:12" hidden="1" x14ac:dyDescent="0.25">
      <c r="A141" s="1815"/>
      <c r="B141" s="1220"/>
      <c r="C141" s="1117" t="s">
        <v>376</v>
      </c>
      <c r="D141" s="144" t="s">
        <v>251</v>
      </c>
      <c r="E141" s="94"/>
      <c r="F141" s="80">
        <v>2290</v>
      </c>
      <c r="G141" s="80"/>
      <c r="H141" s="80"/>
      <c r="I141" s="80">
        <v>3150</v>
      </c>
      <c r="J141" s="181"/>
      <c r="K141" s="181"/>
      <c r="L141" s="199"/>
    </row>
    <row r="142" spans="1:12" ht="14.85" hidden="1" customHeight="1" x14ac:dyDescent="0.25">
      <c r="A142" s="1815"/>
      <c r="B142" s="1220"/>
      <c r="C142" s="1117"/>
      <c r="D142" s="28" t="s">
        <v>257</v>
      </c>
      <c r="E142" s="94"/>
      <c r="F142" s="80">
        <v>1395</v>
      </c>
      <c r="G142" s="80"/>
      <c r="H142" s="80"/>
      <c r="I142" s="80">
        <v>1782</v>
      </c>
      <c r="J142" s="96"/>
      <c r="K142" s="28"/>
      <c r="L142" s="21"/>
    </row>
    <row r="143" spans="1:12" hidden="1" x14ac:dyDescent="0.25">
      <c r="A143" s="1815"/>
      <c r="B143" s="1220"/>
      <c r="C143" s="1117"/>
      <c r="D143" s="28" t="s">
        <v>263</v>
      </c>
      <c r="E143" s="94"/>
      <c r="F143" s="80">
        <v>895</v>
      </c>
      <c r="G143" s="80"/>
      <c r="H143" s="80"/>
      <c r="I143" s="80">
        <v>1368</v>
      </c>
      <c r="J143" s="96"/>
      <c r="K143" s="28"/>
      <c r="L143" s="21"/>
    </row>
    <row r="144" spans="1:12" hidden="1" x14ac:dyDescent="0.25">
      <c r="A144" s="1815"/>
      <c r="B144" s="1220"/>
      <c r="C144" s="1117"/>
      <c r="D144" s="28" t="s">
        <v>357</v>
      </c>
      <c r="E144" s="94"/>
      <c r="F144" s="97">
        <f>(F143/F141)*100</f>
        <v>39.082969432314414</v>
      </c>
      <c r="G144" s="94"/>
      <c r="H144" s="94"/>
      <c r="I144" s="98">
        <f>I143/I141*100</f>
        <v>43.428571428571431</v>
      </c>
      <c r="J144" s="96"/>
      <c r="K144" s="28"/>
      <c r="L144" s="21"/>
    </row>
    <row r="145" spans="1:12" hidden="1" x14ac:dyDescent="0.25">
      <c r="A145" s="1815"/>
      <c r="B145" s="1220"/>
      <c r="C145" s="1117" t="s">
        <v>377</v>
      </c>
      <c r="D145" s="144" t="s">
        <v>251</v>
      </c>
      <c r="E145" s="94"/>
      <c r="F145" s="80">
        <v>2665</v>
      </c>
      <c r="G145" s="80"/>
      <c r="H145" s="80"/>
      <c r="I145" s="80">
        <v>2343</v>
      </c>
      <c r="J145" s="96"/>
      <c r="K145" s="28"/>
      <c r="L145" s="21"/>
    </row>
    <row r="146" spans="1:12" hidden="1" x14ac:dyDescent="0.25">
      <c r="A146" s="1815"/>
      <c r="B146" s="1220"/>
      <c r="C146" s="1117"/>
      <c r="D146" s="28" t="s">
        <v>257</v>
      </c>
      <c r="E146" s="94"/>
      <c r="F146" s="80">
        <v>340</v>
      </c>
      <c r="G146" s="80"/>
      <c r="H146" s="80"/>
      <c r="I146" s="80">
        <v>681</v>
      </c>
      <c r="J146" s="96"/>
      <c r="K146" s="28"/>
      <c r="L146" s="21"/>
    </row>
    <row r="147" spans="1:12" hidden="1" x14ac:dyDescent="0.25">
      <c r="A147" s="1815"/>
      <c r="B147" s="1220"/>
      <c r="C147" s="1117"/>
      <c r="D147" s="28" t="s">
        <v>263</v>
      </c>
      <c r="E147" s="94"/>
      <c r="F147" s="80">
        <v>2325</v>
      </c>
      <c r="G147" s="80"/>
      <c r="H147" s="80"/>
      <c r="I147" s="80">
        <v>1665</v>
      </c>
      <c r="J147" s="96"/>
      <c r="K147" s="28"/>
      <c r="L147" s="21"/>
    </row>
    <row r="148" spans="1:12" hidden="1" x14ac:dyDescent="0.25">
      <c r="A148" s="1815"/>
      <c r="B148" s="1220"/>
      <c r="C148" s="1117"/>
      <c r="D148" s="28" t="s">
        <v>357</v>
      </c>
      <c r="E148" s="94"/>
      <c r="F148" s="99">
        <f>(F147/F145)*100</f>
        <v>87.242026266416502</v>
      </c>
      <c r="G148" s="94"/>
      <c r="H148" s="94"/>
      <c r="I148" s="99">
        <f>I147/I145*100</f>
        <v>71.062740076824582</v>
      </c>
      <c r="J148" s="96"/>
      <c r="K148" s="28"/>
      <c r="L148" s="21"/>
    </row>
    <row r="149" spans="1:12" hidden="1" x14ac:dyDescent="0.25">
      <c r="A149" s="1815"/>
      <c r="B149" s="1220"/>
      <c r="C149" s="1117" t="s">
        <v>378</v>
      </c>
      <c r="D149" s="144" t="s">
        <v>251</v>
      </c>
      <c r="E149" s="94"/>
      <c r="F149" s="80">
        <v>890</v>
      </c>
      <c r="G149" s="80"/>
      <c r="H149" s="80"/>
      <c r="I149" s="80">
        <v>1380</v>
      </c>
      <c r="J149" s="96"/>
      <c r="K149" s="28"/>
      <c r="L149" s="21"/>
    </row>
    <row r="150" spans="1:12" hidden="1" x14ac:dyDescent="0.25">
      <c r="A150" s="1815"/>
      <c r="B150" s="1220"/>
      <c r="C150" s="1117"/>
      <c r="D150" s="28" t="s">
        <v>257</v>
      </c>
      <c r="E150" s="94"/>
      <c r="F150" s="80">
        <v>430</v>
      </c>
      <c r="G150" s="80"/>
      <c r="H150" s="80"/>
      <c r="I150" s="80">
        <v>720</v>
      </c>
      <c r="J150" s="96"/>
      <c r="K150" s="28"/>
      <c r="L150" s="21"/>
    </row>
    <row r="151" spans="1:12" hidden="1" x14ac:dyDescent="0.25">
      <c r="A151" s="1815"/>
      <c r="B151" s="1220"/>
      <c r="C151" s="1117"/>
      <c r="D151" s="28" t="s">
        <v>263</v>
      </c>
      <c r="E151" s="94"/>
      <c r="F151" s="80">
        <v>465</v>
      </c>
      <c r="G151" s="80"/>
      <c r="H151" s="80"/>
      <c r="I151" s="80">
        <v>657</v>
      </c>
      <c r="J151" s="96"/>
      <c r="K151" s="28"/>
      <c r="L151" s="21"/>
    </row>
    <row r="152" spans="1:12" hidden="1" x14ac:dyDescent="0.25">
      <c r="A152" s="1815"/>
      <c r="B152" s="1220"/>
      <c r="C152" s="1117"/>
      <c r="D152" s="28" t="s">
        <v>357</v>
      </c>
      <c r="E152" s="94"/>
      <c r="F152" s="98">
        <f>(F151/F149)*100</f>
        <v>52.247191011235962</v>
      </c>
      <c r="G152" s="94"/>
      <c r="H152" s="94"/>
      <c r="I152" s="98">
        <f>I151/I149*100</f>
        <v>47.608695652173914</v>
      </c>
      <c r="J152" s="96"/>
      <c r="K152" s="28"/>
      <c r="L152" s="21"/>
    </row>
    <row r="153" spans="1:12" hidden="1" x14ac:dyDescent="0.25">
      <c r="A153" s="1815"/>
      <c r="B153" s="1220"/>
      <c r="C153" s="1117" t="s">
        <v>379</v>
      </c>
      <c r="D153" s="144" t="s">
        <v>251</v>
      </c>
      <c r="E153" s="94"/>
      <c r="F153" s="80">
        <v>2310</v>
      </c>
      <c r="G153" s="80"/>
      <c r="H153" s="80"/>
      <c r="I153" s="80">
        <v>2397</v>
      </c>
      <c r="J153" s="96"/>
      <c r="K153" s="28"/>
      <c r="L153" s="21"/>
    </row>
    <row r="154" spans="1:12" hidden="1" x14ac:dyDescent="0.25">
      <c r="A154" s="1815"/>
      <c r="B154" s="1220"/>
      <c r="C154" s="1117"/>
      <c r="D154" s="28" t="s">
        <v>257</v>
      </c>
      <c r="E154" s="94"/>
      <c r="F154" s="80">
        <v>1820</v>
      </c>
      <c r="G154" s="80"/>
      <c r="H154" s="80"/>
      <c r="I154" s="80">
        <v>1704</v>
      </c>
      <c r="J154" s="96"/>
      <c r="K154" s="28"/>
      <c r="L154" s="21"/>
    </row>
    <row r="155" spans="1:12" hidden="1" x14ac:dyDescent="0.25">
      <c r="A155" s="1815"/>
      <c r="B155" s="1220"/>
      <c r="C155" s="1117"/>
      <c r="D155" s="28" t="s">
        <v>263</v>
      </c>
      <c r="E155" s="94"/>
      <c r="F155" s="80">
        <v>485</v>
      </c>
      <c r="G155" s="80"/>
      <c r="H155" s="80"/>
      <c r="I155" s="80">
        <v>693</v>
      </c>
      <c r="J155" s="96"/>
      <c r="K155" s="28"/>
      <c r="L155" s="21"/>
    </row>
    <row r="156" spans="1:12" hidden="1" x14ac:dyDescent="0.25">
      <c r="A156" s="1815"/>
      <c r="B156" s="1220"/>
      <c r="C156" s="1117"/>
      <c r="D156" s="28" t="s">
        <v>357</v>
      </c>
      <c r="E156" s="94"/>
      <c r="F156" s="97">
        <f>(F155/F153)*100</f>
        <v>20.995670995670995</v>
      </c>
      <c r="G156" s="94"/>
      <c r="H156" s="94"/>
      <c r="I156" s="97">
        <f>I155/I153*100</f>
        <v>28.911138923654566</v>
      </c>
      <c r="J156" s="96"/>
      <c r="K156" s="28"/>
      <c r="L156" s="21"/>
    </row>
    <row r="157" spans="1:12" ht="14.85" hidden="1" customHeight="1" x14ac:dyDescent="0.25">
      <c r="A157" s="1815"/>
      <c r="B157" s="1220"/>
      <c r="C157" s="1117" t="s">
        <v>380</v>
      </c>
      <c r="D157" s="144" t="s">
        <v>251</v>
      </c>
      <c r="E157" s="94"/>
      <c r="F157" s="80">
        <v>3980</v>
      </c>
      <c r="G157" s="80"/>
      <c r="H157" s="80"/>
      <c r="I157" s="80">
        <v>2880</v>
      </c>
      <c r="J157" s="96"/>
      <c r="K157" s="28"/>
      <c r="L157" s="21"/>
    </row>
    <row r="158" spans="1:12" hidden="1" x14ac:dyDescent="0.25">
      <c r="A158" s="1815"/>
      <c r="B158" s="1220"/>
      <c r="C158" s="1117"/>
      <c r="D158" s="28" t="s">
        <v>257</v>
      </c>
      <c r="E158" s="94"/>
      <c r="F158" s="80">
        <v>1675</v>
      </c>
      <c r="G158" s="80"/>
      <c r="H158" s="80"/>
      <c r="I158" s="80">
        <v>1404</v>
      </c>
      <c r="J158" s="96"/>
      <c r="K158" s="28"/>
      <c r="L158" s="21"/>
    </row>
    <row r="159" spans="1:12" hidden="1" x14ac:dyDescent="0.25">
      <c r="A159" s="1815"/>
      <c r="B159" s="1220"/>
      <c r="C159" s="1117"/>
      <c r="D159" s="28" t="s">
        <v>263</v>
      </c>
      <c r="E159" s="94"/>
      <c r="F159" s="80">
        <v>2305</v>
      </c>
      <c r="G159" s="80"/>
      <c r="H159" s="80"/>
      <c r="I159" s="80">
        <v>1473</v>
      </c>
      <c r="J159" s="96"/>
      <c r="K159" s="28"/>
      <c r="L159" s="21"/>
    </row>
    <row r="160" spans="1:12" hidden="1" x14ac:dyDescent="0.25">
      <c r="A160" s="1815"/>
      <c r="B160" s="1220"/>
      <c r="C160" s="1117"/>
      <c r="D160" s="28" t="s">
        <v>357</v>
      </c>
      <c r="E160" s="94"/>
      <c r="F160" s="98">
        <f>(F159/F157)*100</f>
        <v>57.914572864321613</v>
      </c>
      <c r="G160" s="94"/>
      <c r="H160" s="94"/>
      <c r="I160" s="98">
        <f>I159/I157*100</f>
        <v>51.145833333333336</v>
      </c>
      <c r="J160" s="96"/>
      <c r="K160" s="28"/>
      <c r="L160" s="21"/>
    </row>
    <row r="161" spans="1:12" hidden="1" x14ac:dyDescent="0.25">
      <c r="A161" s="1815"/>
      <c r="B161" s="1220"/>
      <c r="C161" s="1117" t="s">
        <v>381</v>
      </c>
      <c r="D161" s="144" t="s">
        <v>251</v>
      </c>
      <c r="E161" s="94"/>
      <c r="F161" s="80">
        <v>180</v>
      </c>
      <c r="G161" s="80"/>
      <c r="H161" s="80"/>
      <c r="I161" s="80">
        <v>429</v>
      </c>
      <c r="J161" s="28"/>
      <c r="K161" s="28"/>
      <c r="L161" s="21"/>
    </row>
    <row r="162" spans="1:12" ht="14.85" hidden="1" customHeight="1" x14ac:dyDescent="0.25">
      <c r="A162" s="1815"/>
      <c r="B162" s="1220"/>
      <c r="C162" s="1117"/>
      <c r="D162" s="28" t="s">
        <v>257</v>
      </c>
      <c r="E162" s="94"/>
      <c r="F162" s="80">
        <v>100</v>
      </c>
      <c r="G162" s="80"/>
      <c r="H162" s="80"/>
      <c r="I162" s="80">
        <v>219</v>
      </c>
      <c r="J162" s="28"/>
      <c r="K162" s="28"/>
      <c r="L162" s="21"/>
    </row>
    <row r="163" spans="1:12" hidden="1" x14ac:dyDescent="0.25">
      <c r="A163" s="1815"/>
      <c r="B163" s="1220"/>
      <c r="C163" s="1117"/>
      <c r="D163" s="28" t="s">
        <v>263</v>
      </c>
      <c r="E163" s="94"/>
      <c r="F163" s="80">
        <v>80</v>
      </c>
      <c r="G163" s="80"/>
      <c r="H163" s="80"/>
      <c r="I163" s="80">
        <v>210</v>
      </c>
      <c r="J163" s="28"/>
      <c r="K163" s="28"/>
      <c r="L163" s="21"/>
    </row>
    <row r="164" spans="1:12" hidden="1" x14ac:dyDescent="0.25">
      <c r="A164" s="1815"/>
      <c r="B164" s="1220"/>
      <c r="C164" s="1117"/>
      <c r="D164" s="28" t="s">
        <v>357</v>
      </c>
      <c r="E164" s="94"/>
      <c r="F164" s="98">
        <f>(F163/F161)*100</f>
        <v>44.444444444444443</v>
      </c>
      <c r="G164" s="94"/>
      <c r="H164" s="94"/>
      <c r="I164" s="98">
        <f>I163/I161*100</f>
        <v>48.951048951048953</v>
      </c>
      <c r="J164" s="28"/>
      <c r="K164" s="28"/>
      <c r="L164" s="21"/>
    </row>
    <row r="165" spans="1:12" hidden="1" x14ac:dyDescent="0.25">
      <c r="A165" s="1815"/>
      <c r="B165" s="1220"/>
      <c r="C165" s="1218" t="s">
        <v>382</v>
      </c>
      <c r="D165" s="145" t="s">
        <v>251</v>
      </c>
      <c r="E165" s="95"/>
      <c r="F165" s="80">
        <v>3670</v>
      </c>
      <c r="G165" s="80"/>
      <c r="H165" s="80"/>
      <c r="I165" s="80">
        <v>4170</v>
      </c>
      <c r="J165" s="96"/>
      <c r="K165" s="96"/>
      <c r="L165" s="200"/>
    </row>
    <row r="166" spans="1:12" hidden="1" x14ac:dyDescent="0.25">
      <c r="A166" s="1815"/>
      <c r="B166" s="1220"/>
      <c r="C166" s="1218"/>
      <c r="D166" s="96" t="s">
        <v>257</v>
      </c>
      <c r="E166" s="95"/>
      <c r="F166" s="80">
        <v>1110</v>
      </c>
      <c r="G166" s="80"/>
      <c r="H166" s="80"/>
      <c r="I166" s="80">
        <v>1356</v>
      </c>
      <c r="J166" s="96"/>
      <c r="K166" s="96"/>
      <c r="L166" s="200"/>
    </row>
    <row r="167" spans="1:12" hidden="1" x14ac:dyDescent="0.25">
      <c r="A167" s="1815"/>
      <c r="B167" s="1220"/>
      <c r="C167" s="1218"/>
      <c r="D167" s="96" t="s">
        <v>263</v>
      </c>
      <c r="E167" s="95"/>
      <c r="F167" s="80">
        <v>2560</v>
      </c>
      <c r="G167" s="80"/>
      <c r="H167" s="80"/>
      <c r="I167" s="80">
        <v>2811</v>
      </c>
      <c r="J167" s="96"/>
      <c r="K167" s="96"/>
      <c r="L167" s="200"/>
    </row>
    <row r="168" spans="1:12" hidden="1" x14ac:dyDescent="0.25">
      <c r="A168" s="1815"/>
      <c r="B168" s="1220"/>
      <c r="C168" s="1218"/>
      <c r="D168" s="96" t="s">
        <v>357</v>
      </c>
      <c r="E168" s="95"/>
      <c r="F168" s="99">
        <f>(F167/F165)*100</f>
        <v>69.754768392370565</v>
      </c>
      <c r="G168" s="94"/>
      <c r="H168" s="94"/>
      <c r="I168" s="99">
        <f>I167/I165*100</f>
        <v>67.410071942446052</v>
      </c>
      <c r="J168" s="96"/>
      <c r="K168" s="96"/>
      <c r="L168" s="200"/>
    </row>
    <row r="169" spans="1:12" ht="14.85" hidden="1" customHeight="1" x14ac:dyDescent="0.25">
      <c r="A169" s="1815"/>
      <c r="B169" s="1220"/>
      <c r="C169" s="1218" t="s">
        <v>383</v>
      </c>
      <c r="D169" s="145" t="s">
        <v>251</v>
      </c>
      <c r="E169" s="95"/>
      <c r="F169" s="80">
        <v>2600</v>
      </c>
      <c r="G169" s="80"/>
      <c r="H169" s="80"/>
      <c r="I169" s="80">
        <v>2097</v>
      </c>
      <c r="J169" s="96"/>
      <c r="K169" s="96"/>
      <c r="L169" s="200"/>
    </row>
    <row r="170" spans="1:12" hidden="1" x14ac:dyDescent="0.25">
      <c r="A170" s="1815"/>
      <c r="B170" s="1220"/>
      <c r="C170" s="1218"/>
      <c r="D170" s="96" t="s">
        <v>257</v>
      </c>
      <c r="E170" s="95"/>
      <c r="F170" s="80">
        <v>715</v>
      </c>
      <c r="G170" s="80"/>
      <c r="H170" s="80"/>
      <c r="I170" s="80">
        <v>588</v>
      </c>
      <c r="J170" s="96"/>
      <c r="K170" s="96"/>
      <c r="L170" s="200"/>
    </row>
    <row r="171" spans="1:12" hidden="1" x14ac:dyDescent="0.25">
      <c r="A171" s="1815"/>
      <c r="B171" s="1220"/>
      <c r="C171" s="1218"/>
      <c r="D171" s="96" t="s">
        <v>263</v>
      </c>
      <c r="E171" s="95"/>
      <c r="F171" s="80">
        <v>1890</v>
      </c>
      <c r="G171" s="80"/>
      <c r="H171" s="80"/>
      <c r="I171" s="80">
        <v>1509</v>
      </c>
      <c r="J171" s="96"/>
      <c r="K171" s="96"/>
      <c r="L171" s="200"/>
    </row>
    <row r="172" spans="1:12" hidden="1" x14ac:dyDescent="0.25">
      <c r="A172" s="1815"/>
      <c r="B172" s="1220"/>
      <c r="C172" s="1218"/>
      <c r="D172" s="96" t="s">
        <v>357</v>
      </c>
      <c r="E172" s="95"/>
      <c r="F172" s="99">
        <f>(F171/F169)*100</f>
        <v>72.692307692307693</v>
      </c>
      <c r="G172" s="94"/>
      <c r="H172" s="94"/>
      <c r="I172" s="99">
        <f>I171/I169*100</f>
        <v>71.959942775393415</v>
      </c>
      <c r="J172" s="96"/>
      <c r="K172" s="96"/>
      <c r="L172" s="200"/>
    </row>
    <row r="173" spans="1:12" hidden="1" x14ac:dyDescent="0.25">
      <c r="A173" s="1815"/>
      <c r="B173" s="1220"/>
      <c r="C173" s="1218" t="s">
        <v>384</v>
      </c>
      <c r="D173" s="145" t="s">
        <v>251</v>
      </c>
      <c r="E173" s="95"/>
      <c r="F173" s="80">
        <v>3300</v>
      </c>
      <c r="G173" s="80"/>
      <c r="H173" s="80"/>
      <c r="I173" s="80">
        <v>2067</v>
      </c>
      <c r="J173" s="96"/>
      <c r="K173" s="96"/>
      <c r="L173" s="200"/>
    </row>
    <row r="174" spans="1:12" hidden="1" x14ac:dyDescent="0.25">
      <c r="A174" s="1815"/>
      <c r="B174" s="1220"/>
      <c r="C174" s="1218"/>
      <c r="D174" s="96" t="s">
        <v>257</v>
      </c>
      <c r="E174" s="95"/>
      <c r="F174" s="80">
        <v>1085</v>
      </c>
      <c r="G174" s="80"/>
      <c r="H174" s="80"/>
      <c r="I174" s="80">
        <v>618</v>
      </c>
      <c r="J174" s="96"/>
      <c r="K174" s="96"/>
      <c r="L174" s="200"/>
    </row>
    <row r="175" spans="1:12" hidden="1" x14ac:dyDescent="0.25">
      <c r="A175" s="1815"/>
      <c r="B175" s="1220"/>
      <c r="C175" s="1218"/>
      <c r="D175" s="96" t="s">
        <v>263</v>
      </c>
      <c r="E175" s="95"/>
      <c r="F175" s="80">
        <v>2210</v>
      </c>
      <c r="G175" s="80"/>
      <c r="H175" s="80"/>
      <c r="I175" s="80">
        <v>1452</v>
      </c>
      <c r="J175" s="96"/>
      <c r="K175" s="96"/>
      <c r="L175" s="200"/>
    </row>
    <row r="176" spans="1:12" hidden="1" x14ac:dyDescent="0.25">
      <c r="A176" s="1815"/>
      <c r="B176" s="1220"/>
      <c r="C176" s="1218"/>
      <c r="D176" s="96" t="s">
        <v>357</v>
      </c>
      <c r="E176" s="95"/>
      <c r="F176" s="99">
        <f>(F175/F173)*100</f>
        <v>66.969696969696969</v>
      </c>
      <c r="G176" s="94"/>
      <c r="H176" s="94"/>
      <c r="I176" s="99">
        <f>I175/I173*100</f>
        <v>70.246734397677784</v>
      </c>
      <c r="J176" s="96"/>
      <c r="K176" s="96"/>
      <c r="L176" s="200"/>
    </row>
    <row r="177" spans="1:12" hidden="1" x14ac:dyDescent="0.25">
      <c r="A177" s="1815"/>
      <c r="B177" s="1220"/>
      <c r="C177" s="1218" t="s">
        <v>385</v>
      </c>
      <c r="D177" s="145" t="s">
        <v>251</v>
      </c>
      <c r="E177" s="95"/>
      <c r="F177" s="80">
        <v>275</v>
      </c>
      <c r="G177" s="80"/>
      <c r="H177" s="80"/>
      <c r="I177" s="80">
        <v>552</v>
      </c>
      <c r="J177" s="96"/>
      <c r="K177" s="96"/>
      <c r="L177" s="200"/>
    </row>
    <row r="178" spans="1:12" ht="14.85" hidden="1" customHeight="1" x14ac:dyDescent="0.25">
      <c r="A178" s="1815"/>
      <c r="B178" s="1220"/>
      <c r="C178" s="1218"/>
      <c r="D178" s="96" t="s">
        <v>257</v>
      </c>
      <c r="E178" s="95"/>
      <c r="F178" s="80">
        <v>205</v>
      </c>
      <c r="G178" s="80"/>
      <c r="H178" s="80"/>
      <c r="I178" s="80">
        <v>366</v>
      </c>
      <c r="J178" s="96"/>
      <c r="K178" s="96"/>
      <c r="L178" s="200"/>
    </row>
    <row r="179" spans="1:12" hidden="1" x14ac:dyDescent="0.25">
      <c r="A179" s="1815"/>
      <c r="B179" s="1220"/>
      <c r="C179" s="1218"/>
      <c r="D179" s="96" t="s">
        <v>263</v>
      </c>
      <c r="E179" s="95"/>
      <c r="F179" s="80">
        <v>70</v>
      </c>
      <c r="G179" s="80"/>
      <c r="H179" s="80"/>
      <c r="I179" s="80">
        <v>186</v>
      </c>
      <c r="J179" s="96"/>
      <c r="K179" s="96"/>
      <c r="L179" s="200"/>
    </row>
    <row r="180" spans="1:12" hidden="1" x14ac:dyDescent="0.25">
      <c r="A180" s="1815"/>
      <c r="B180" s="1220"/>
      <c r="C180" s="1218"/>
      <c r="D180" s="96" t="s">
        <v>357</v>
      </c>
      <c r="E180" s="95"/>
      <c r="F180" s="97">
        <f>(F179/F177)*100</f>
        <v>25.454545454545453</v>
      </c>
      <c r="G180" s="94"/>
      <c r="H180" s="94"/>
      <c r="I180" s="97">
        <f>I179/I177*100</f>
        <v>33.695652173913047</v>
      </c>
      <c r="J180" s="96"/>
      <c r="K180" s="96"/>
      <c r="L180" s="200"/>
    </row>
    <row r="181" spans="1:12" hidden="1" x14ac:dyDescent="0.25">
      <c r="A181" s="1815"/>
      <c r="B181" s="1220"/>
      <c r="C181" s="1218" t="s">
        <v>386</v>
      </c>
      <c r="D181" s="145" t="s">
        <v>251</v>
      </c>
      <c r="E181" s="95"/>
      <c r="F181" s="80">
        <v>2065</v>
      </c>
      <c r="G181" s="80"/>
      <c r="H181" s="80"/>
      <c r="I181" s="80">
        <v>2109</v>
      </c>
      <c r="J181" s="96"/>
      <c r="K181" s="96"/>
      <c r="L181" s="200"/>
    </row>
    <row r="182" spans="1:12" hidden="1" x14ac:dyDescent="0.25">
      <c r="A182" s="1815"/>
      <c r="B182" s="1220"/>
      <c r="C182" s="1218"/>
      <c r="D182" s="96" t="s">
        <v>257</v>
      </c>
      <c r="E182" s="95"/>
      <c r="F182" s="80">
        <v>1195</v>
      </c>
      <c r="G182" s="80"/>
      <c r="H182" s="80"/>
      <c r="I182" s="80">
        <v>1125</v>
      </c>
      <c r="J182" s="96"/>
      <c r="K182" s="96"/>
      <c r="L182" s="200"/>
    </row>
    <row r="183" spans="1:12" hidden="1" x14ac:dyDescent="0.25">
      <c r="A183" s="1815"/>
      <c r="B183" s="1220"/>
      <c r="C183" s="1218"/>
      <c r="D183" s="96" t="s">
        <v>263</v>
      </c>
      <c r="E183" s="95"/>
      <c r="F183" s="80">
        <v>870</v>
      </c>
      <c r="G183" s="80"/>
      <c r="H183" s="80"/>
      <c r="I183" s="80">
        <v>984</v>
      </c>
      <c r="J183" s="96"/>
      <c r="K183" s="96"/>
      <c r="L183" s="200"/>
    </row>
    <row r="184" spans="1:12" hidden="1" x14ac:dyDescent="0.25">
      <c r="A184" s="1815"/>
      <c r="B184" s="1220"/>
      <c r="C184" s="1218"/>
      <c r="D184" s="96" t="s">
        <v>357</v>
      </c>
      <c r="E184" s="95"/>
      <c r="F184" s="98">
        <f>(F183/F181)*100</f>
        <v>42.130750605326881</v>
      </c>
      <c r="G184" s="94"/>
      <c r="H184" s="94"/>
      <c r="I184" s="98">
        <f>I183/I181*100</f>
        <v>46.657183499288763</v>
      </c>
      <c r="J184" s="96"/>
      <c r="K184" s="96"/>
      <c r="L184" s="200"/>
    </row>
    <row r="185" spans="1:12" hidden="1" x14ac:dyDescent="0.25">
      <c r="A185" s="1815"/>
      <c r="B185" s="1220"/>
      <c r="C185" s="1218" t="s">
        <v>387</v>
      </c>
      <c r="D185" s="145" t="s">
        <v>251</v>
      </c>
      <c r="E185" s="95"/>
      <c r="F185" s="80">
        <v>3460</v>
      </c>
      <c r="G185" s="80"/>
      <c r="H185" s="80"/>
      <c r="I185" s="80">
        <v>2838</v>
      </c>
      <c r="J185" s="96"/>
      <c r="K185" s="96"/>
      <c r="L185" s="200"/>
    </row>
    <row r="186" spans="1:12" hidden="1" x14ac:dyDescent="0.25">
      <c r="A186" s="1815"/>
      <c r="B186" s="1220"/>
      <c r="C186" s="1218"/>
      <c r="D186" s="96" t="s">
        <v>257</v>
      </c>
      <c r="E186" s="95"/>
      <c r="F186" s="80">
        <v>1265</v>
      </c>
      <c r="G186" s="80"/>
      <c r="H186" s="80"/>
      <c r="I186" s="80">
        <v>1194</v>
      </c>
      <c r="J186" s="96"/>
      <c r="K186" s="96"/>
      <c r="L186" s="200"/>
    </row>
    <row r="187" spans="1:12" hidden="1" x14ac:dyDescent="0.25">
      <c r="A187" s="1815"/>
      <c r="B187" s="1220"/>
      <c r="C187" s="1218"/>
      <c r="D187" s="96" t="s">
        <v>263</v>
      </c>
      <c r="E187" s="95"/>
      <c r="F187" s="80">
        <v>2195</v>
      </c>
      <c r="G187" s="80"/>
      <c r="H187" s="80"/>
      <c r="I187" s="80">
        <v>1647</v>
      </c>
      <c r="J187" s="96"/>
      <c r="K187" s="96"/>
      <c r="L187" s="200"/>
    </row>
    <row r="188" spans="1:12" hidden="1" x14ac:dyDescent="0.25">
      <c r="A188" s="1815"/>
      <c r="B188" s="1220"/>
      <c r="C188" s="1218"/>
      <c r="D188" s="96" t="s">
        <v>357</v>
      </c>
      <c r="E188" s="95"/>
      <c r="F188" s="99">
        <f>(F187/F185)*100</f>
        <v>63.439306358381501</v>
      </c>
      <c r="G188" s="94"/>
      <c r="H188" s="94"/>
      <c r="I188" s="98">
        <f>I187/I185*100</f>
        <v>58.033826638477805</v>
      </c>
      <c r="J188" s="96"/>
      <c r="K188" s="96"/>
      <c r="L188" s="200"/>
    </row>
    <row r="189" spans="1:12" hidden="1" x14ac:dyDescent="0.25">
      <c r="A189" s="1815"/>
      <c r="B189" s="1220"/>
      <c r="C189" s="1218" t="s">
        <v>388</v>
      </c>
      <c r="D189" s="145" t="s">
        <v>251</v>
      </c>
      <c r="E189" s="95"/>
      <c r="F189" s="80">
        <v>30</v>
      </c>
      <c r="G189" s="80"/>
      <c r="H189" s="80"/>
      <c r="I189" s="80">
        <v>807</v>
      </c>
      <c r="J189" s="96"/>
      <c r="K189" s="96"/>
      <c r="L189" s="200"/>
    </row>
    <row r="190" spans="1:12" hidden="1" x14ac:dyDescent="0.25">
      <c r="A190" s="1815"/>
      <c r="B190" s="1220"/>
      <c r="C190" s="1218"/>
      <c r="D190" s="96" t="s">
        <v>257</v>
      </c>
      <c r="E190" s="95"/>
      <c r="F190" s="80">
        <v>30</v>
      </c>
      <c r="G190" s="80"/>
      <c r="H190" s="80"/>
      <c r="I190" s="80">
        <v>411</v>
      </c>
      <c r="J190" s="96"/>
      <c r="K190" s="96"/>
      <c r="L190" s="200"/>
    </row>
    <row r="191" spans="1:12" hidden="1" x14ac:dyDescent="0.25">
      <c r="A191" s="1815"/>
      <c r="B191" s="1220"/>
      <c r="C191" s="1218"/>
      <c r="D191" s="96" t="s">
        <v>263</v>
      </c>
      <c r="E191" s="95"/>
      <c r="F191" s="80">
        <v>0</v>
      </c>
      <c r="G191" s="80"/>
      <c r="H191" s="80"/>
      <c r="I191" s="80">
        <v>396</v>
      </c>
      <c r="J191" s="96"/>
      <c r="K191" s="96"/>
      <c r="L191" s="200"/>
    </row>
    <row r="192" spans="1:12" hidden="1" x14ac:dyDescent="0.25">
      <c r="A192" s="1815"/>
      <c r="B192" s="1220"/>
      <c r="C192" s="1218"/>
      <c r="D192" s="96" t="s">
        <v>357</v>
      </c>
      <c r="E192" s="95"/>
      <c r="F192" s="97">
        <f>(F191/F189)*100</f>
        <v>0</v>
      </c>
      <c r="G192" s="94"/>
      <c r="H192" s="94"/>
      <c r="I192" s="98">
        <f>I191/I189*100</f>
        <v>49.070631970260223</v>
      </c>
      <c r="J192" s="96"/>
      <c r="K192" s="96"/>
      <c r="L192" s="200"/>
    </row>
    <row r="193" spans="1:12" hidden="1" x14ac:dyDescent="0.25">
      <c r="A193" s="1815"/>
      <c r="B193" s="1220"/>
      <c r="C193" s="1117" t="s">
        <v>389</v>
      </c>
      <c r="D193" s="144" t="s">
        <v>251</v>
      </c>
      <c r="E193" s="94"/>
      <c r="F193" s="80">
        <v>365</v>
      </c>
      <c r="G193" s="80"/>
      <c r="H193" s="80"/>
      <c r="I193" s="80">
        <v>603</v>
      </c>
      <c r="J193" s="28"/>
      <c r="K193" s="28"/>
      <c r="L193" s="21"/>
    </row>
    <row r="194" spans="1:12" hidden="1" x14ac:dyDescent="0.25">
      <c r="A194" s="1815"/>
      <c r="B194" s="1220"/>
      <c r="C194" s="1117"/>
      <c r="D194" s="28" t="s">
        <v>257</v>
      </c>
      <c r="E194" s="94"/>
      <c r="F194" s="80">
        <v>140</v>
      </c>
      <c r="G194" s="80"/>
      <c r="H194" s="80"/>
      <c r="I194" s="80">
        <v>258</v>
      </c>
      <c r="J194" s="28"/>
      <c r="K194" s="28"/>
      <c r="L194" s="21"/>
    </row>
    <row r="195" spans="1:12" hidden="1" x14ac:dyDescent="0.25">
      <c r="A195" s="1815"/>
      <c r="B195" s="1220"/>
      <c r="C195" s="1117"/>
      <c r="D195" s="28" t="s">
        <v>263</v>
      </c>
      <c r="E195" s="94"/>
      <c r="F195" s="80">
        <v>225</v>
      </c>
      <c r="G195" s="80"/>
      <c r="H195" s="80"/>
      <c r="I195" s="80">
        <v>348</v>
      </c>
      <c r="J195" s="28"/>
      <c r="K195" s="28"/>
      <c r="L195" s="21"/>
    </row>
    <row r="196" spans="1:12" hidden="1" x14ac:dyDescent="0.25">
      <c r="A196" s="1815"/>
      <c r="B196" s="1220"/>
      <c r="C196" s="1117"/>
      <c r="D196" s="28" t="s">
        <v>357</v>
      </c>
      <c r="E196" s="94"/>
      <c r="F196" s="99">
        <f>(F195/F193)*100</f>
        <v>61.643835616438359</v>
      </c>
      <c r="G196" s="94"/>
      <c r="H196" s="94"/>
      <c r="I196" s="98">
        <f>I195/I193*100</f>
        <v>57.711442786069654</v>
      </c>
      <c r="J196" s="28"/>
      <c r="K196" s="28"/>
      <c r="L196" s="21"/>
    </row>
    <row r="197" spans="1:12" hidden="1" x14ac:dyDescent="0.25">
      <c r="A197" s="1815"/>
      <c r="B197" s="1220"/>
      <c r="C197" s="1117" t="s">
        <v>390</v>
      </c>
      <c r="D197" s="144" t="s">
        <v>251</v>
      </c>
      <c r="E197" s="94"/>
      <c r="F197" s="80">
        <v>455</v>
      </c>
      <c r="G197" s="80"/>
      <c r="H197" s="80"/>
      <c r="I197" s="80">
        <v>411</v>
      </c>
      <c r="J197" s="28"/>
      <c r="K197" s="28"/>
      <c r="L197" s="21"/>
    </row>
    <row r="198" spans="1:12" ht="14.85" hidden="1" customHeight="1" x14ac:dyDescent="0.25">
      <c r="A198" s="1815"/>
      <c r="B198" s="1220"/>
      <c r="C198" s="1117"/>
      <c r="D198" s="28" t="s">
        <v>257</v>
      </c>
      <c r="E198" s="94"/>
      <c r="F198" s="80">
        <v>105</v>
      </c>
      <c r="G198" s="80"/>
      <c r="H198" s="80"/>
      <c r="I198" s="80">
        <v>108</v>
      </c>
      <c r="J198" s="28"/>
      <c r="K198" s="28"/>
      <c r="L198" s="21"/>
    </row>
    <row r="199" spans="1:12" hidden="1" x14ac:dyDescent="0.25">
      <c r="A199" s="1815"/>
      <c r="B199" s="1220"/>
      <c r="C199" s="1117"/>
      <c r="D199" s="28" t="s">
        <v>263</v>
      </c>
      <c r="E199" s="94"/>
      <c r="F199" s="80">
        <v>355</v>
      </c>
      <c r="G199" s="80"/>
      <c r="H199" s="80"/>
      <c r="I199" s="80">
        <v>303</v>
      </c>
      <c r="J199" s="28"/>
      <c r="K199" s="28"/>
      <c r="L199" s="21"/>
    </row>
    <row r="200" spans="1:12" hidden="1" x14ac:dyDescent="0.25">
      <c r="A200" s="1815"/>
      <c r="B200" s="1220"/>
      <c r="C200" s="1117"/>
      <c r="D200" s="28" t="s">
        <v>357</v>
      </c>
      <c r="E200" s="94"/>
      <c r="F200" s="99">
        <f>(F199/F197)*100</f>
        <v>78.021978021978029</v>
      </c>
      <c r="G200" s="94"/>
      <c r="H200" s="94"/>
      <c r="I200" s="99">
        <f>I199/I197*100</f>
        <v>73.722627737226276</v>
      </c>
      <c r="J200" s="28"/>
      <c r="K200" s="28"/>
      <c r="L200" s="21"/>
    </row>
    <row r="201" spans="1:12" hidden="1" x14ac:dyDescent="0.25">
      <c r="A201" s="1815"/>
      <c r="B201" s="1220"/>
      <c r="C201" s="1117" t="s">
        <v>391</v>
      </c>
      <c r="D201" s="144" t="s">
        <v>251</v>
      </c>
      <c r="E201" s="94"/>
      <c r="F201" s="80">
        <v>1190</v>
      </c>
      <c r="G201" s="80"/>
      <c r="H201" s="80"/>
      <c r="I201" s="80">
        <v>993</v>
      </c>
      <c r="J201" s="28"/>
      <c r="K201" s="28"/>
      <c r="L201" s="21"/>
    </row>
    <row r="202" spans="1:12" hidden="1" x14ac:dyDescent="0.25">
      <c r="A202" s="1815"/>
      <c r="B202" s="1220"/>
      <c r="C202" s="1117"/>
      <c r="D202" s="28" t="s">
        <v>257</v>
      </c>
      <c r="E202" s="94"/>
      <c r="F202" s="80">
        <v>235</v>
      </c>
      <c r="G202" s="80"/>
      <c r="H202" s="80"/>
      <c r="I202" s="80">
        <v>150</v>
      </c>
      <c r="J202" s="28"/>
      <c r="K202" s="28"/>
      <c r="L202" s="21"/>
    </row>
    <row r="203" spans="1:12" hidden="1" x14ac:dyDescent="0.25">
      <c r="A203" s="1815"/>
      <c r="B203" s="1220"/>
      <c r="C203" s="1117"/>
      <c r="D203" s="28" t="s">
        <v>263</v>
      </c>
      <c r="E203" s="94"/>
      <c r="F203" s="80">
        <v>955</v>
      </c>
      <c r="G203" s="80"/>
      <c r="H203" s="80"/>
      <c r="I203" s="80">
        <v>843</v>
      </c>
      <c r="J203" s="28"/>
      <c r="K203" s="28"/>
      <c r="L203" s="21"/>
    </row>
    <row r="204" spans="1:12" hidden="1" x14ac:dyDescent="0.25">
      <c r="A204" s="1815"/>
      <c r="B204" s="1220"/>
      <c r="C204" s="1117"/>
      <c r="D204" s="28" t="s">
        <v>357</v>
      </c>
      <c r="E204" s="94"/>
      <c r="F204" s="99">
        <f>(F203/F201)*100</f>
        <v>80.252100840336141</v>
      </c>
      <c r="G204" s="94"/>
      <c r="H204" s="94"/>
      <c r="I204" s="99">
        <f>I203/I201*100</f>
        <v>84.894259818731115</v>
      </c>
      <c r="J204" s="28"/>
      <c r="K204" s="28"/>
      <c r="L204" s="21"/>
    </row>
    <row r="205" spans="1:12" hidden="1" x14ac:dyDescent="0.25">
      <c r="A205" s="1815"/>
      <c r="B205" s="1220"/>
      <c r="C205" s="1117" t="s">
        <v>392</v>
      </c>
      <c r="D205" s="144" t="s">
        <v>251</v>
      </c>
      <c r="E205" s="94"/>
      <c r="F205" s="80">
        <v>620</v>
      </c>
      <c r="G205" s="80"/>
      <c r="H205" s="80"/>
      <c r="I205" s="80">
        <v>468</v>
      </c>
      <c r="J205" s="28"/>
      <c r="K205" s="28"/>
      <c r="L205" s="21"/>
    </row>
    <row r="206" spans="1:12" hidden="1" x14ac:dyDescent="0.25">
      <c r="A206" s="1815"/>
      <c r="B206" s="1220"/>
      <c r="C206" s="1117"/>
      <c r="D206" s="28" t="s">
        <v>257</v>
      </c>
      <c r="E206" s="94"/>
      <c r="F206" s="80">
        <v>90</v>
      </c>
      <c r="G206" s="80"/>
      <c r="H206" s="80"/>
      <c r="I206" s="80">
        <v>66</v>
      </c>
      <c r="J206" s="28"/>
      <c r="K206" s="28"/>
      <c r="L206" s="21"/>
    </row>
    <row r="207" spans="1:12" hidden="1" x14ac:dyDescent="0.25">
      <c r="A207" s="1815"/>
      <c r="B207" s="1220"/>
      <c r="C207" s="1117"/>
      <c r="D207" s="28" t="s">
        <v>263</v>
      </c>
      <c r="E207" s="94"/>
      <c r="F207" s="80">
        <v>530</v>
      </c>
      <c r="G207" s="80"/>
      <c r="H207" s="80"/>
      <c r="I207" s="80">
        <v>399</v>
      </c>
      <c r="J207" s="28"/>
      <c r="K207" s="28"/>
      <c r="L207" s="21"/>
    </row>
    <row r="208" spans="1:12" hidden="1" x14ac:dyDescent="0.25">
      <c r="A208" s="1815"/>
      <c r="B208" s="1220"/>
      <c r="C208" s="1117"/>
      <c r="D208" s="28" t="s">
        <v>357</v>
      </c>
      <c r="E208" s="94"/>
      <c r="F208" s="99">
        <f>(F207/F205)*100</f>
        <v>85.483870967741936</v>
      </c>
      <c r="G208" s="94"/>
      <c r="H208" s="94"/>
      <c r="I208" s="99">
        <f>I207/I205*100</f>
        <v>85.256410256410248</v>
      </c>
      <c r="J208" s="28"/>
      <c r="K208" s="28"/>
      <c r="L208" s="21"/>
    </row>
    <row r="209" spans="1:12" hidden="1" x14ac:dyDescent="0.25">
      <c r="A209" s="1815"/>
      <c r="B209" s="1220"/>
      <c r="C209" s="1117" t="s">
        <v>393</v>
      </c>
      <c r="D209" s="144" t="s">
        <v>251</v>
      </c>
      <c r="E209" s="94"/>
      <c r="F209" s="80">
        <v>2005</v>
      </c>
      <c r="G209" s="80"/>
      <c r="H209" s="80"/>
      <c r="I209" s="80">
        <v>1854</v>
      </c>
      <c r="J209" s="28"/>
      <c r="K209" s="28"/>
      <c r="L209" s="21"/>
    </row>
    <row r="210" spans="1:12" hidden="1" x14ac:dyDescent="0.25">
      <c r="A210" s="1815"/>
      <c r="B210" s="1220"/>
      <c r="C210" s="1117"/>
      <c r="D210" s="28" t="s">
        <v>257</v>
      </c>
      <c r="E210" s="94"/>
      <c r="F210" s="80">
        <v>895</v>
      </c>
      <c r="G210" s="80"/>
      <c r="H210" s="80"/>
      <c r="I210" s="80">
        <v>903</v>
      </c>
      <c r="J210" s="28"/>
      <c r="K210" s="28"/>
      <c r="L210" s="21"/>
    </row>
    <row r="211" spans="1:12" hidden="1" x14ac:dyDescent="0.25">
      <c r="A211" s="1815"/>
      <c r="B211" s="1220"/>
      <c r="C211" s="1117"/>
      <c r="D211" s="28" t="s">
        <v>263</v>
      </c>
      <c r="E211" s="94"/>
      <c r="F211" s="80">
        <v>1110</v>
      </c>
      <c r="G211" s="80"/>
      <c r="H211" s="80"/>
      <c r="I211" s="80">
        <v>951</v>
      </c>
      <c r="J211" s="28"/>
      <c r="K211" s="28"/>
      <c r="L211" s="21"/>
    </row>
    <row r="212" spans="1:12" hidden="1" x14ac:dyDescent="0.25">
      <c r="A212" s="1815"/>
      <c r="B212" s="1220"/>
      <c r="C212" s="1117"/>
      <c r="D212" s="28" t="s">
        <v>357</v>
      </c>
      <c r="E212" s="94"/>
      <c r="F212" s="98">
        <f>(F211/F209)*100</f>
        <v>55.361596009975067</v>
      </c>
      <c r="G212" s="94"/>
      <c r="H212" s="94"/>
      <c r="I212" s="98">
        <f>I211/I209*100</f>
        <v>51.29449838187702</v>
      </c>
      <c r="J212" s="28"/>
      <c r="K212" s="28"/>
      <c r="L212" s="21"/>
    </row>
    <row r="213" spans="1:12" hidden="1" x14ac:dyDescent="0.25">
      <c r="A213" s="1815"/>
      <c r="B213" s="1220"/>
      <c r="C213" s="1117" t="s">
        <v>394</v>
      </c>
      <c r="D213" s="144" t="s">
        <v>251</v>
      </c>
      <c r="E213" s="94"/>
      <c r="F213" s="80">
        <v>1675</v>
      </c>
      <c r="G213" s="80"/>
      <c r="H213" s="80"/>
      <c r="I213" s="80">
        <v>1713</v>
      </c>
      <c r="J213" s="28"/>
      <c r="K213" s="28"/>
      <c r="L213" s="21"/>
    </row>
    <row r="214" spans="1:12" hidden="1" x14ac:dyDescent="0.25">
      <c r="A214" s="1815"/>
      <c r="B214" s="1220"/>
      <c r="C214" s="1117"/>
      <c r="D214" s="28" t="s">
        <v>257</v>
      </c>
      <c r="E214" s="94"/>
      <c r="F214" s="80">
        <v>1470</v>
      </c>
      <c r="G214" s="80"/>
      <c r="H214" s="80"/>
      <c r="I214" s="80">
        <v>1347</v>
      </c>
      <c r="J214" s="28"/>
      <c r="K214" s="28"/>
      <c r="L214" s="21"/>
    </row>
    <row r="215" spans="1:12" hidden="1" x14ac:dyDescent="0.25">
      <c r="A215" s="1815"/>
      <c r="B215" s="1220"/>
      <c r="C215" s="1117"/>
      <c r="D215" s="28" t="s">
        <v>263</v>
      </c>
      <c r="E215" s="94"/>
      <c r="F215" s="80">
        <v>205</v>
      </c>
      <c r="G215" s="80"/>
      <c r="H215" s="80"/>
      <c r="I215" s="80">
        <v>366</v>
      </c>
      <c r="J215" s="28"/>
      <c r="K215" s="28"/>
      <c r="L215" s="21"/>
    </row>
    <row r="216" spans="1:12" hidden="1" x14ac:dyDescent="0.25">
      <c r="A216" s="1815"/>
      <c r="B216" s="1220"/>
      <c r="C216" s="1117"/>
      <c r="D216" s="28" t="s">
        <v>357</v>
      </c>
      <c r="E216" s="94"/>
      <c r="F216" s="97">
        <f>(F215/F213)*100</f>
        <v>12.238805970149254</v>
      </c>
      <c r="G216" s="94"/>
      <c r="H216" s="94"/>
      <c r="I216" s="97">
        <f>I215/I213*100</f>
        <v>21.366024518388791</v>
      </c>
      <c r="J216" s="28"/>
      <c r="K216" s="28"/>
      <c r="L216" s="21"/>
    </row>
    <row r="217" spans="1:12" hidden="1" x14ac:dyDescent="0.25">
      <c r="A217" s="1815"/>
      <c r="B217" s="1220"/>
      <c r="C217" s="1117" t="s">
        <v>395</v>
      </c>
      <c r="D217" s="144" t="s">
        <v>251</v>
      </c>
      <c r="E217" s="94"/>
      <c r="F217" s="80">
        <v>265</v>
      </c>
      <c r="G217" s="80"/>
      <c r="H217" s="80"/>
      <c r="I217" s="80">
        <v>141</v>
      </c>
      <c r="J217" s="94"/>
      <c r="K217" s="28"/>
      <c r="L217" s="21"/>
    </row>
    <row r="218" spans="1:12" ht="14.85" hidden="1" customHeight="1" x14ac:dyDescent="0.25">
      <c r="A218" s="1815"/>
      <c r="B218" s="1220"/>
      <c r="C218" s="1117"/>
      <c r="D218" s="28" t="s">
        <v>257</v>
      </c>
      <c r="E218" s="94"/>
      <c r="F218" s="80">
        <v>180</v>
      </c>
      <c r="G218" s="80"/>
      <c r="H218" s="80"/>
      <c r="I218" s="80">
        <v>111</v>
      </c>
      <c r="J218" s="94"/>
      <c r="K218" s="28"/>
      <c r="L218" s="21"/>
    </row>
    <row r="219" spans="1:12" hidden="1" x14ac:dyDescent="0.25">
      <c r="A219" s="1815"/>
      <c r="B219" s="1220"/>
      <c r="C219" s="1117"/>
      <c r="D219" s="28" t="s">
        <v>263</v>
      </c>
      <c r="E219" s="94"/>
      <c r="F219" s="80">
        <v>85</v>
      </c>
      <c r="G219" s="80"/>
      <c r="H219" s="80"/>
      <c r="I219" s="80">
        <v>30</v>
      </c>
      <c r="J219" s="94"/>
      <c r="K219" s="28"/>
      <c r="L219" s="21"/>
    </row>
    <row r="220" spans="1:12" hidden="1" x14ac:dyDescent="0.25">
      <c r="A220" s="1815"/>
      <c r="B220" s="1220"/>
      <c r="C220" s="1117"/>
      <c r="D220" s="28" t="s">
        <v>357</v>
      </c>
      <c r="E220" s="94"/>
      <c r="F220" s="97">
        <f>(F219/F217)*100</f>
        <v>32.075471698113205</v>
      </c>
      <c r="G220" s="94"/>
      <c r="H220" s="94"/>
      <c r="I220" s="97">
        <f>I219/I217*100</f>
        <v>21.276595744680851</v>
      </c>
      <c r="J220" s="94"/>
      <c r="K220" s="28"/>
      <c r="L220" s="21"/>
    </row>
    <row r="221" spans="1:12" hidden="1" x14ac:dyDescent="0.25">
      <c r="A221" s="1815"/>
      <c r="B221" s="1220"/>
      <c r="C221" s="1117" t="s">
        <v>396</v>
      </c>
      <c r="D221" s="144" t="s">
        <v>251</v>
      </c>
      <c r="E221" s="94"/>
      <c r="F221" s="80">
        <v>20</v>
      </c>
      <c r="G221" s="80"/>
      <c r="H221" s="80"/>
      <c r="I221" s="80">
        <v>15</v>
      </c>
      <c r="J221" s="94"/>
      <c r="K221" s="28"/>
      <c r="L221" s="21"/>
    </row>
    <row r="222" spans="1:12" hidden="1" x14ac:dyDescent="0.25">
      <c r="A222" s="1815"/>
      <c r="B222" s="1220"/>
      <c r="C222" s="1117"/>
      <c r="D222" s="28" t="s">
        <v>257</v>
      </c>
      <c r="E222" s="94"/>
      <c r="F222" s="80">
        <v>0</v>
      </c>
      <c r="G222" s="80"/>
      <c r="H222" s="80"/>
      <c r="I222" s="80">
        <v>9</v>
      </c>
      <c r="J222" s="94"/>
      <c r="K222" s="28"/>
      <c r="L222" s="21"/>
    </row>
    <row r="223" spans="1:12" hidden="1" x14ac:dyDescent="0.25">
      <c r="A223" s="1815"/>
      <c r="B223" s="1220"/>
      <c r="C223" s="1117"/>
      <c r="D223" s="28" t="s">
        <v>263</v>
      </c>
      <c r="E223" s="94"/>
      <c r="F223" s="80">
        <v>20</v>
      </c>
      <c r="G223" s="80"/>
      <c r="H223" s="80"/>
      <c r="I223" s="80">
        <v>6</v>
      </c>
      <c r="J223" s="94"/>
      <c r="K223" s="28"/>
      <c r="L223" s="21"/>
    </row>
    <row r="224" spans="1:12" hidden="1" x14ac:dyDescent="0.25">
      <c r="A224" s="1815"/>
      <c r="B224" s="1220"/>
      <c r="C224" s="1117"/>
      <c r="D224" s="28" t="s">
        <v>357</v>
      </c>
      <c r="E224" s="94"/>
      <c r="F224" s="99">
        <f>(F223/F221)*100</f>
        <v>100</v>
      </c>
      <c r="G224" s="94"/>
      <c r="H224" s="94"/>
      <c r="I224" s="98">
        <f>I223/I221*100</f>
        <v>40</v>
      </c>
      <c r="J224" s="94"/>
      <c r="K224" s="28"/>
      <c r="L224" s="21"/>
    </row>
    <row r="225" spans="1:12" hidden="1" x14ac:dyDescent="0.25">
      <c r="A225" s="1815"/>
      <c r="B225" s="1220"/>
      <c r="C225" s="1117" t="s">
        <v>397</v>
      </c>
      <c r="D225" s="144" t="s">
        <v>251</v>
      </c>
      <c r="E225" s="94"/>
      <c r="F225" s="80"/>
      <c r="G225" s="80"/>
      <c r="H225" s="80"/>
      <c r="I225" s="80">
        <v>9</v>
      </c>
      <c r="J225" s="94"/>
      <c r="K225" s="28"/>
      <c r="L225" s="21"/>
    </row>
    <row r="226" spans="1:12" hidden="1" x14ac:dyDescent="0.25">
      <c r="A226" s="1815"/>
      <c r="B226" s="1220"/>
      <c r="C226" s="1117"/>
      <c r="D226" s="28" t="s">
        <v>257</v>
      </c>
      <c r="E226" s="94"/>
      <c r="F226" s="80"/>
      <c r="G226" s="80"/>
      <c r="H226" s="80"/>
      <c r="I226" s="80">
        <v>0</v>
      </c>
      <c r="J226" s="94"/>
      <c r="K226" s="28"/>
      <c r="L226" s="21"/>
    </row>
    <row r="227" spans="1:12" hidden="1" x14ac:dyDescent="0.25">
      <c r="A227" s="1815"/>
      <c r="B227" s="1220"/>
      <c r="C227" s="1117"/>
      <c r="D227" s="28" t="s">
        <v>263</v>
      </c>
      <c r="E227" s="94"/>
      <c r="F227" s="80"/>
      <c r="G227" s="80"/>
      <c r="H227" s="80"/>
      <c r="I227" s="80">
        <v>9</v>
      </c>
      <c r="J227" s="94"/>
      <c r="K227" s="28"/>
      <c r="L227" s="21"/>
    </row>
    <row r="228" spans="1:12" hidden="1" x14ac:dyDescent="0.25">
      <c r="A228" s="1815"/>
      <c r="B228" s="1220"/>
      <c r="C228" s="1117"/>
      <c r="D228" s="28" t="s">
        <v>357</v>
      </c>
      <c r="E228" s="94"/>
      <c r="F228" s="94"/>
      <c r="G228" s="94"/>
      <c r="H228" s="94"/>
      <c r="I228" s="99">
        <f>I227/I225*100</f>
        <v>100</v>
      </c>
      <c r="J228" s="94"/>
      <c r="K228" s="28"/>
      <c r="L228" s="21"/>
    </row>
    <row r="229" spans="1:12" hidden="1" x14ac:dyDescent="0.25">
      <c r="A229" s="1815"/>
      <c r="B229" s="1220"/>
      <c r="C229" s="1117" t="s">
        <v>398</v>
      </c>
      <c r="D229" s="144" t="s">
        <v>251</v>
      </c>
      <c r="E229" s="94"/>
      <c r="F229" s="80"/>
      <c r="G229" s="80"/>
      <c r="H229" s="80"/>
      <c r="I229" s="80">
        <v>6</v>
      </c>
      <c r="J229" s="94"/>
      <c r="K229" s="28"/>
      <c r="L229" s="21"/>
    </row>
    <row r="230" spans="1:12" ht="14.85" hidden="1" customHeight="1" x14ac:dyDescent="0.25">
      <c r="A230" s="1815"/>
      <c r="B230" s="1220"/>
      <c r="C230" s="1117"/>
      <c r="D230" s="28" t="s">
        <v>257</v>
      </c>
      <c r="E230" s="94"/>
      <c r="F230" s="80"/>
      <c r="G230" s="80"/>
      <c r="H230" s="80"/>
      <c r="I230" s="80">
        <v>3</v>
      </c>
      <c r="J230" s="94"/>
      <c r="K230" s="28"/>
      <c r="L230" s="21"/>
    </row>
    <row r="231" spans="1:12" hidden="1" x14ac:dyDescent="0.25">
      <c r="A231" s="1815"/>
      <c r="B231" s="1220"/>
      <c r="C231" s="1117"/>
      <c r="D231" s="28" t="s">
        <v>263</v>
      </c>
      <c r="E231" s="94"/>
      <c r="F231" s="80"/>
      <c r="G231" s="80"/>
      <c r="H231" s="80"/>
      <c r="I231" s="80">
        <v>3</v>
      </c>
      <c r="J231" s="94"/>
      <c r="K231" s="28"/>
      <c r="L231" s="21"/>
    </row>
    <row r="232" spans="1:12" hidden="1" x14ac:dyDescent="0.25">
      <c r="A232" s="1815"/>
      <c r="B232" s="1220"/>
      <c r="C232" s="1117"/>
      <c r="D232" s="28" t="s">
        <v>357</v>
      </c>
      <c r="E232" s="94"/>
      <c r="F232" s="206"/>
      <c r="G232" s="94"/>
      <c r="H232" s="94"/>
      <c r="I232" s="98">
        <f>I231/I229*100</f>
        <v>50</v>
      </c>
      <c r="J232" s="94"/>
      <c r="K232" s="28"/>
      <c r="L232" s="21"/>
    </row>
    <row r="233" spans="1:12" hidden="1" x14ac:dyDescent="0.25">
      <c r="A233" s="1815"/>
      <c r="B233" s="1220"/>
      <c r="C233" s="1117" t="s">
        <v>399</v>
      </c>
      <c r="D233" s="144" t="s">
        <v>251</v>
      </c>
      <c r="E233" s="94"/>
      <c r="F233" s="80">
        <v>470</v>
      </c>
      <c r="G233" s="80"/>
      <c r="H233" s="80"/>
      <c r="I233" s="80">
        <v>786</v>
      </c>
      <c r="J233" s="94"/>
      <c r="K233" s="28"/>
      <c r="L233" s="21"/>
    </row>
    <row r="234" spans="1:12" ht="14.85" hidden="1" customHeight="1" x14ac:dyDescent="0.25">
      <c r="A234" s="1815"/>
      <c r="B234" s="1220"/>
      <c r="C234" s="1117"/>
      <c r="D234" s="28" t="s">
        <v>257</v>
      </c>
      <c r="E234" s="94"/>
      <c r="F234" s="80">
        <v>325</v>
      </c>
      <c r="G234" s="80"/>
      <c r="H234" s="80"/>
      <c r="I234" s="80">
        <v>687</v>
      </c>
      <c r="J234" s="94"/>
      <c r="K234" s="28"/>
      <c r="L234" s="21"/>
    </row>
    <row r="235" spans="1:12" hidden="1" x14ac:dyDescent="0.25">
      <c r="A235" s="1815"/>
      <c r="B235" s="1220"/>
      <c r="C235" s="1117"/>
      <c r="D235" s="28" t="s">
        <v>263</v>
      </c>
      <c r="E235" s="94"/>
      <c r="F235" s="80">
        <v>145</v>
      </c>
      <c r="G235" s="80"/>
      <c r="H235" s="80"/>
      <c r="I235" s="80">
        <v>99</v>
      </c>
      <c r="J235" s="94"/>
      <c r="K235" s="28"/>
      <c r="L235" s="21"/>
    </row>
    <row r="236" spans="1:12" hidden="1" x14ac:dyDescent="0.25">
      <c r="A236" s="1815"/>
      <c r="B236" s="1220"/>
      <c r="C236" s="1117"/>
      <c r="D236" s="28" t="s">
        <v>357</v>
      </c>
      <c r="E236" s="94"/>
      <c r="F236" s="97">
        <f>(F235/F233)*100</f>
        <v>30.851063829787233</v>
      </c>
      <c r="G236" s="94"/>
      <c r="H236" s="94"/>
      <c r="I236" s="97">
        <f>I235/I233*100</f>
        <v>12.595419847328243</v>
      </c>
      <c r="J236" s="94"/>
      <c r="K236" s="28"/>
      <c r="L236" s="21"/>
    </row>
    <row r="237" spans="1:12" hidden="1" x14ac:dyDescent="0.25">
      <c r="A237" s="1815"/>
      <c r="B237" s="1220"/>
      <c r="C237" s="1117" t="s">
        <v>400</v>
      </c>
      <c r="D237" s="144" t="s">
        <v>251</v>
      </c>
      <c r="E237" s="94"/>
      <c r="F237" s="80">
        <v>605</v>
      </c>
      <c r="G237" s="80"/>
      <c r="H237" s="80"/>
      <c r="I237" s="80">
        <v>408</v>
      </c>
      <c r="J237" s="94"/>
      <c r="K237" s="28"/>
      <c r="L237" s="21"/>
    </row>
    <row r="238" spans="1:12" hidden="1" x14ac:dyDescent="0.25">
      <c r="A238" s="1815"/>
      <c r="B238" s="1220"/>
      <c r="C238" s="1117"/>
      <c r="D238" s="28" t="s">
        <v>257</v>
      </c>
      <c r="E238" s="94"/>
      <c r="F238" s="80">
        <v>465</v>
      </c>
      <c r="G238" s="80"/>
      <c r="H238" s="80"/>
      <c r="I238" s="80">
        <v>366</v>
      </c>
      <c r="J238" s="94"/>
      <c r="K238" s="28"/>
      <c r="L238" s="21"/>
    </row>
    <row r="239" spans="1:12" hidden="1" x14ac:dyDescent="0.25">
      <c r="A239" s="1815"/>
      <c r="B239" s="1220"/>
      <c r="C239" s="1117"/>
      <c r="D239" s="28" t="s">
        <v>263</v>
      </c>
      <c r="E239" s="94"/>
      <c r="F239" s="80">
        <v>140</v>
      </c>
      <c r="G239" s="80"/>
      <c r="H239" s="80"/>
      <c r="I239" s="80">
        <v>39</v>
      </c>
      <c r="J239" s="94"/>
      <c r="K239" s="28"/>
      <c r="L239" s="21"/>
    </row>
    <row r="240" spans="1:12" hidden="1" x14ac:dyDescent="0.25">
      <c r="A240" s="1815"/>
      <c r="B240" s="1220"/>
      <c r="C240" s="1117"/>
      <c r="D240" s="28" t="s">
        <v>357</v>
      </c>
      <c r="E240" s="94"/>
      <c r="F240" s="97">
        <f>(F239/F237)*100</f>
        <v>23.140495867768596</v>
      </c>
      <c r="G240" s="94"/>
      <c r="H240" s="94"/>
      <c r="I240" s="97">
        <f>I239/I237*100</f>
        <v>9.5588235294117645</v>
      </c>
      <c r="J240" s="94"/>
      <c r="K240" s="28"/>
      <c r="L240" s="21"/>
    </row>
    <row r="241" spans="1:12" ht="14.85" hidden="1" customHeight="1" x14ac:dyDescent="0.25">
      <c r="A241" s="1815"/>
      <c r="B241" s="1220"/>
      <c r="C241" s="1117" t="s">
        <v>401</v>
      </c>
      <c r="D241" s="144" t="s">
        <v>251</v>
      </c>
      <c r="E241" s="94"/>
      <c r="F241" s="80">
        <v>440</v>
      </c>
      <c r="G241" s="80"/>
      <c r="H241" s="80"/>
      <c r="I241" s="80">
        <v>222</v>
      </c>
      <c r="J241" s="94"/>
      <c r="K241" s="28"/>
      <c r="L241" s="21"/>
    </row>
    <row r="242" spans="1:12" hidden="1" x14ac:dyDescent="0.25">
      <c r="A242" s="1815"/>
      <c r="B242" s="1220"/>
      <c r="C242" s="1117"/>
      <c r="D242" s="28" t="s">
        <v>257</v>
      </c>
      <c r="E242" s="94"/>
      <c r="F242" s="80">
        <v>405</v>
      </c>
      <c r="G242" s="80"/>
      <c r="H242" s="80"/>
      <c r="I242" s="80">
        <v>207</v>
      </c>
      <c r="J242" s="94"/>
      <c r="K242" s="28"/>
      <c r="L242" s="21"/>
    </row>
    <row r="243" spans="1:12" hidden="1" x14ac:dyDescent="0.25">
      <c r="A243" s="1815"/>
      <c r="B243" s="1220"/>
      <c r="C243" s="1117"/>
      <c r="D243" s="28" t="s">
        <v>263</v>
      </c>
      <c r="E243" s="94"/>
      <c r="F243" s="80">
        <v>40</v>
      </c>
      <c r="G243" s="80"/>
      <c r="H243" s="80"/>
      <c r="I243" s="80">
        <v>12</v>
      </c>
      <c r="J243" s="94"/>
      <c r="K243" s="28"/>
      <c r="L243" s="21"/>
    </row>
    <row r="244" spans="1:12" hidden="1" x14ac:dyDescent="0.25">
      <c r="A244" s="1815"/>
      <c r="B244" s="1220"/>
      <c r="C244" s="1117"/>
      <c r="D244" s="28" t="s">
        <v>357</v>
      </c>
      <c r="E244" s="94"/>
      <c r="F244" s="97">
        <f>(F243/F241)*100</f>
        <v>9.0909090909090917</v>
      </c>
      <c r="G244" s="94"/>
      <c r="H244" s="94"/>
      <c r="I244" s="97">
        <f>I243/I241*100</f>
        <v>5.4054054054054053</v>
      </c>
      <c r="J244" s="94"/>
      <c r="K244" s="28"/>
      <c r="L244" s="21"/>
    </row>
    <row r="245" spans="1:12" hidden="1" x14ac:dyDescent="0.25">
      <c r="A245" s="1815"/>
      <c r="B245" s="1220"/>
      <c r="C245" s="1117" t="s">
        <v>402</v>
      </c>
      <c r="D245" s="144" t="s">
        <v>251</v>
      </c>
      <c r="E245" s="94"/>
      <c r="F245" s="80">
        <v>445</v>
      </c>
      <c r="G245" s="80"/>
      <c r="H245" s="80"/>
      <c r="I245" s="80">
        <v>510</v>
      </c>
      <c r="J245" s="94"/>
      <c r="K245" s="28"/>
      <c r="L245" s="21"/>
    </row>
    <row r="246" spans="1:12" hidden="1" x14ac:dyDescent="0.25">
      <c r="A246" s="1815"/>
      <c r="B246" s="1220"/>
      <c r="C246" s="1117"/>
      <c r="D246" s="28" t="s">
        <v>257</v>
      </c>
      <c r="E246" s="94"/>
      <c r="F246" s="80">
        <v>395</v>
      </c>
      <c r="G246" s="80"/>
      <c r="H246" s="80"/>
      <c r="I246" s="80">
        <v>471</v>
      </c>
      <c r="J246" s="94"/>
      <c r="K246" s="28"/>
      <c r="L246" s="21"/>
    </row>
    <row r="247" spans="1:12" hidden="1" x14ac:dyDescent="0.25">
      <c r="A247" s="1815"/>
      <c r="B247" s="1220"/>
      <c r="C247" s="1117"/>
      <c r="D247" s="28" t="s">
        <v>263</v>
      </c>
      <c r="E247" s="94"/>
      <c r="F247" s="80">
        <v>50</v>
      </c>
      <c r="G247" s="80"/>
      <c r="H247" s="80"/>
      <c r="I247" s="80">
        <v>42</v>
      </c>
      <c r="J247" s="94"/>
      <c r="K247" s="28"/>
      <c r="L247" s="21"/>
    </row>
    <row r="248" spans="1:12" hidden="1" x14ac:dyDescent="0.25">
      <c r="A248" s="1815"/>
      <c r="B248" s="1220"/>
      <c r="C248" s="1117"/>
      <c r="D248" s="28" t="s">
        <v>357</v>
      </c>
      <c r="E248" s="94"/>
      <c r="F248" s="97">
        <f>(F247/F245)*100</f>
        <v>11.235955056179774</v>
      </c>
      <c r="G248" s="94"/>
      <c r="H248" s="94"/>
      <c r="I248" s="97">
        <f>I247/I245*100</f>
        <v>8.235294117647058</v>
      </c>
      <c r="J248" s="94"/>
      <c r="K248" s="28"/>
      <c r="L248" s="21"/>
    </row>
    <row r="249" spans="1:12" hidden="1" x14ac:dyDescent="0.25">
      <c r="A249" s="1815"/>
      <c r="B249" s="1220"/>
      <c r="C249" s="1117" t="s">
        <v>403</v>
      </c>
      <c r="D249" s="144" t="s">
        <v>251</v>
      </c>
      <c r="E249" s="94"/>
      <c r="F249" s="80">
        <v>600</v>
      </c>
      <c r="G249" s="80"/>
      <c r="H249" s="80"/>
      <c r="I249" s="80">
        <v>696</v>
      </c>
      <c r="J249" s="94"/>
      <c r="K249" s="28"/>
      <c r="L249" s="21"/>
    </row>
    <row r="250" spans="1:12" hidden="1" x14ac:dyDescent="0.25">
      <c r="A250" s="1815"/>
      <c r="B250" s="1220"/>
      <c r="C250" s="1117"/>
      <c r="D250" s="28" t="s">
        <v>257</v>
      </c>
      <c r="E250" s="94"/>
      <c r="F250" s="80">
        <v>550</v>
      </c>
      <c r="G250" s="80"/>
      <c r="H250" s="80"/>
      <c r="I250" s="80">
        <v>624</v>
      </c>
      <c r="J250" s="94"/>
      <c r="K250" s="28"/>
      <c r="L250" s="21"/>
    </row>
    <row r="251" spans="1:12" hidden="1" x14ac:dyDescent="0.25">
      <c r="A251" s="1815"/>
      <c r="B251" s="1220"/>
      <c r="C251" s="1117"/>
      <c r="D251" s="28" t="s">
        <v>263</v>
      </c>
      <c r="E251" s="94"/>
      <c r="F251" s="80">
        <v>50</v>
      </c>
      <c r="G251" s="80"/>
      <c r="H251" s="80"/>
      <c r="I251" s="80">
        <v>75</v>
      </c>
      <c r="J251" s="94"/>
      <c r="K251" s="28"/>
      <c r="L251" s="21"/>
    </row>
    <row r="252" spans="1:12" hidden="1" x14ac:dyDescent="0.25">
      <c r="A252" s="1815"/>
      <c r="B252" s="1220"/>
      <c r="C252" s="1117"/>
      <c r="D252" s="28" t="s">
        <v>357</v>
      </c>
      <c r="E252" s="94"/>
      <c r="F252" s="97">
        <f>(F251/F249)*100</f>
        <v>8.3333333333333321</v>
      </c>
      <c r="G252" s="94"/>
      <c r="H252" s="94"/>
      <c r="I252" s="97">
        <f>I251/I249*100</f>
        <v>10.775862068965516</v>
      </c>
      <c r="J252" s="94"/>
      <c r="K252" s="28"/>
      <c r="L252" s="21"/>
    </row>
    <row r="253" spans="1:12" hidden="1" x14ac:dyDescent="0.25">
      <c r="A253" s="1815"/>
      <c r="B253" s="1220"/>
      <c r="C253" s="1117" t="s">
        <v>404</v>
      </c>
      <c r="D253" s="144" t="s">
        <v>251</v>
      </c>
      <c r="E253" s="94"/>
      <c r="F253" s="80">
        <v>470</v>
      </c>
      <c r="G253" s="80"/>
      <c r="H253" s="80"/>
      <c r="I253" s="80">
        <v>192</v>
      </c>
      <c r="J253" s="94"/>
      <c r="K253" s="28"/>
      <c r="L253" s="21"/>
    </row>
    <row r="254" spans="1:12" ht="14.85" hidden="1" customHeight="1" x14ac:dyDescent="0.25">
      <c r="A254" s="1815"/>
      <c r="B254" s="1220"/>
      <c r="C254" s="1117"/>
      <c r="D254" s="28" t="s">
        <v>257</v>
      </c>
      <c r="E254" s="94"/>
      <c r="F254" s="80">
        <v>375</v>
      </c>
      <c r="G254" s="80"/>
      <c r="H254" s="80"/>
      <c r="I254" s="80">
        <v>144</v>
      </c>
      <c r="J254" s="94"/>
      <c r="K254" s="28"/>
      <c r="L254" s="21"/>
    </row>
    <row r="255" spans="1:12" hidden="1" x14ac:dyDescent="0.25">
      <c r="A255" s="1815"/>
      <c r="B255" s="1220"/>
      <c r="C255" s="1117"/>
      <c r="D255" s="28" t="s">
        <v>263</v>
      </c>
      <c r="E255" s="94"/>
      <c r="F255" s="80">
        <v>100</v>
      </c>
      <c r="G255" s="80"/>
      <c r="H255" s="80"/>
      <c r="I255" s="80">
        <v>48</v>
      </c>
      <c r="J255" s="94"/>
      <c r="K255" s="28"/>
      <c r="L255" s="21"/>
    </row>
    <row r="256" spans="1:12" hidden="1" x14ac:dyDescent="0.25">
      <c r="A256" s="1815"/>
      <c r="B256" s="1220"/>
      <c r="C256" s="1117"/>
      <c r="D256" s="28" t="s">
        <v>357</v>
      </c>
      <c r="E256" s="94"/>
      <c r="F256" s="97">
        <f>(F255/F253)*100</f>
        <v>21.276595744680851</v>
      </c>
      <c r="G256" s="94"/>
      <c r="H256" s="94"/>
      <c r="I256" s="97">
        <f>I255/I253*100</f>
        <v>25</v>
      </c>
      <c r="J256" s="94"/>
      <c r="K256" s="28"/>
      <c r="L256" s="21"/>
    </row>
    <row r="257" spans="1:12" hidden="1" x14ac:dyDescent="0.25">
      <c r="A257" s="1815"/>
      <c r="B257" s="1220"/>
      <c r="C257" s="1117" t="s">
        <v>405</v>
      </c>
      <c r="D257" s="144" t="s">
        <v>251</v>
      </c>
      <c r="E257" s="94"/>
      <c r="F257" s="80">
        <v>245</v>
      </c>
      <c r="G257" s="80"/>
      <c r="H257" s="80"/>
      <c r="I257" s="80">
        <v>117</v>
      </c>
      <c r="J257" s="94"/>
      <c r="K257" s="28"/>
      <c r="L257" s="21"/>
    </row>
    <row r="258" spans="1:12" hidden="1" x14ac:dyDescent="0.25">
      <c r="A258" s="1815"/>
      <c r="B258" s="1220"/>
      <c r="C258" s="1117"/>
      <c r="D258" s="28" t="s">
        <v>257</v>
      </c>
      <c r="E258" s="94"/>
      <c r="F258" s="80">
        <v>185</v>
      </c>
      <c r="G258" s="80"/>
      <c r="H258" s="80"/>
      <c r="I258" s="80">
        <v>78</v>
      </c>
      <c r="J258" s="94"/>
      <c r="K258" s="28"/>
      <c r="L258" s="21"/>
    </row>
    <row r="259" spans="1:12" hidden="1" x14ac:dyDescent="0.25">
      <c r="A259" s="1815"/>
      <c r="B259" s="1220"/>
      <c r="C259" s="1117"/>
      <c r="D259" s="28" t="s">
        <v>263</v>
      </c>
      <c r="E259" s="94"/>
      <c r="F259" s="80">
        <v>60</v>
      </c>
      <c r="G259" s="80"/>
      <c r="H259" s="80"/>
      <c r="I259" s="80">
        <v>39</v>
      </c>
      <c r="J259" s="94"/>
      <c r="K259" s="28"/>
      <c r="L259" s="21"/>
    </row>
    <row r="260" spans="1:12" hidden="1" x14ac:dyDescent="0.25">
      <c r="A260" s="1815"/>
      <c r="B260" s="1220"/>
      <c r="C260" s="1117"/>
      <c r="D260" s="28" t="s">
        <v>357</v>
      </c>
      <c r="E260" s="94"/>
      <c r="F260" s="97">
        <f>(F259/F257)*100</f>
        <v>24.489795918367346</v>
      </c>
      <c r="G260" s="94"/>
      <c r="H260" s="94"/>
      <c r="I260" s="97">
        <f>I259/I257*100</f>
        <v>33.333333333333329</v>
      </c>
      <c r="J260" s="94"/>
      <c r="K260" s="28"/>
      <c r="L260" s="21"/>
    </row>
    <row r="261" spans="1:12" hidden="1" x14ac:dyDescent="0.25">
      <c r="A261" s="1815"/>
      <c r="B261" s="1220"/>
      <c r="C261" s="1117" t="s">
        <v>406</v>
      </c>
      <c r="D261" s="144" t="s">
        <v>251</v>
      </c>
      <c r="E261" s="94"/>
      <c r="F261" s="80">
        <v>230</v>
      </c>
      <c r="G261" s="80"/>
      <c r="H261" s="80"/>
      <c r="I261" s="80">
        <v>225</v>
      </c>
      <c r="J261" s="94"/>
      <c r="K261" s="28"/>
      <c r="L261" s="21"/>
    </row>
    <row r="262" spans="1:12" hidden="1" x14ac:dyDescent="0.25">
      <c r="A262" s="1815"/>
      <c r="B262" s="1220"/>
      <c r="C262" s="1117"/>
      <c r="D262" s="28" t="s">
        <v>257</v>
      </c>
      <c r="E262" s="94"/>
      <c r="F262" s="80">
        <v>125</v>
      </c>
      <c r="G262" s="80"/>
      <c r="H262" s="80"/>
      <c r="I262" s="80">
        <v>153</v>
      </c>
      <c r="J262" s="94"/>
      <c r="K262" s="28"/>
      <c r="L262" s="21"/>
    </row>
    <row r="263" spans="1:12" hidden="1" x14ac:dyDescent="0.25">
      <c r="A263" s="1815"/>
      <c r="B263" s="1220"/>
      <c r="C263" s="1117"/>
      <c r="D263" s="28" t="s">
        <v>263</v>
      </c>
      <c r="E263" s="94"/>
      <c r="F263" s="80">
        <v>105</v>
      </c>
      <c r="G263" s="80"/>
      <c r="H263" s="80"/>
      <c r="I263" s="80">
        <v>69</v>
      </c>
      <c r="J263" s="94"/>
      <c r="K263" s="28"/>
      <c r="L263" s="21"/>
    </row>
    <row r="264" spans="1:12" hidden="1" x14ac:dyDescent="0.25">
      <c r="A264" s="1815"/>
      <c r="B264" s="1220"/>
      <c r="C264" s="1117"/>
      <c r="D264" s="28" t="s">
        <v>357</v>
      </c>
      <c r="E264" s="94"/>
      <c r="F264" s="98">
        <f>(F263/F261)*100</f>
        <v>45.652173913043477</v>
      </c>
      <c r="G264" s="94"/>
      <c r="H264" s="94"/>
      <c r="I264" s="97">
        <f>I263/I261*100</f>
        <v>30.666666666666664</v>
      </c>
      <c r="J264" s="94"/>
      <c r="K264" s="28"/>
      <c r="L264" s="21"/>
    </row>
    <row r="265" spans="1:12" hidden="1" x14ac:dyDescent="0.25">
      <c r="A265" s="1815"/>
      <c r="B265" s="1220"/>
      <c r="C265" s="1117" t="s">
        <v>407</v>
      </c>
      <c r="D265" s="144" t="s">
        <v>251</v>
      </c>
      <c r="E265" s="94"/>
      <c r="F265" s="80">
        <v>360</v>
      </c>
      <c r="G265" s="80"/>
      <c r="H265" s="80"/>
      <c r="I265" s="80">
        <v>198</v>
      </c>
      <c r="J265" s="94"/>
      <c r="K265" s="28"/>
      <c r="L265" s="21"/>
    </row>
    <row r="266" spans="1:12" hidden="1" x14ac:dyDescent="0.25">
      <c r="A266" s="1815"/>
      <c r="B266" s="1220"/>
      <c r="C266" s="1117"/>
      <c r="D266" s="28" t="s">
        <v>257</v>
      </c>
      <c r="E266" s="94"/>
      <c r="F266" s="80">
        <v>265</v>
      </c>
      <c r="G266" s="80"/>
      <c r="H266" s="80"/>
      <c r="I266" s="80">
        <v>156</v>
      </c>
      <c r="J266" s="94"/>
      <c r="K266" s="28"/>
      <c r="L266" s="21"/>
    </row>
    <row r="267" spans="1:12" hidden="1" x14ac:dyDescent="0.25">
      <c r="A267" s="1815"/>
      <c r="B267" s="1220"/>
      <c r="C267" s="1117"/>
      <c r="D267" s="28" t="s">
        <v>263</v>
      </c>
      <c r="E267" s="94"/>
      <c r="F267" s="80">
        <v>100</v>
      </c>
      <c r="G267" s="80"/>
      <c r="H267" s="80"/>
      <c r="I267" s="80">
        <v>39</v>
      </c>
      <c r="J267" s="94"/>
      <c r="K267" s="28"/>
      <c r="L267" s="21"/>
    </row>
    <row r="268" spans="1:12" hidden="1" x14ac:dyDescent="0.25">
      <c r="A268" s="1815"/>
      <c r="B268" s="1220"/>
      <c r="C268" s="1117"/>
      <c r="D268" s="28" t="s">
        <v>357</v>
      </c>
      <c r="E268" s="94"/>
      <c r="F268" s="97">
        <f>(F267/F265)*100</f>
        <v>27.777777777777779</v>
      </c>
      <c r="G268" s="94"/>
      <c r="H268" s="94"/>
      <c r="I268" s="97">
        <f>I267/I265*100</f>
        <v>19.696969696969695</v>
      </c>
      <c r="J268" s="94"/>
      <c r="K268" s="28"/>
      <c r="L268" s="21"/>
    </row>
    <row r="269" spans="1:12" hidden="1" x14ac:dyDescent="0.25">
      <c r="A269" s="1815"/>
      <c r="B269" s="1220"/>
      <c r="C269" s="1117" t="s">
        <v>408</v>
      </c>
      <c r="D269" s="144" t="s">
        <v>251</v>
      </c>
      <c r="E269" s="94"/>
      <c r="F269" s="80">
        <v>140</v>
      </c>
      <c r="G269" s="80"/>
      <c r="H269" s="80"/>
      <c r="I269" s="80">
        <v>105</v>
      </c>
      <c r="J269" s="94"/>
      <c r="K269" s="28"/>
      <c r="L269" s="21"/>
    </row>
    <row r="270" spans="1:12" hidden="1" x14ac:dyDescent="0.25">
      <c r="A270" s="1815"/>
      <c r="B270" s="1220"/>
      <c r="C270" s="1117"/>
      <c r="D270" s="28" t="s">
        <v>257</v>
      </c>
      <c r="E270" s="94"/>
      <c r="F270" s="80">
        <v>100</v>
      </c>
      <c r="G270" s="80"/>
      <c r="H270" s="80"/>
      <c r="I270" s="80">
        <v>90</v>
      </c>
      <c r="J270" s="94"/>
      <c r="K270" s="28"/>
      <c r="L270" s="21"/>
    </row>
    <row r="271" spans="1:12" hidden="1" x14ac:dyDescent="0.25">
      <c r="A271" s="1815"/>
      <c r="B271" s="1220"/>
      <c r="C271" s="1117"/>
      <c r="D271" s="28" t="s">
        <v>263</v>
      </c>
      <c r="E271" s="94"/>
      <c r="F271" s="80">
        <v>40</v>
      </c>
      <c r="G271" s="80"/>
      <c r="H271" s="80"/>
      <c r="I271" s="80">
        <v>18</v>
      </c>
      <c r="J271" s="94"/>
      <c r="K271" s="28"/>
      <c r="L271" s="21"/>
    </row>
    <row r="272" spans="1:12" hidden="1" x14ac:dyDescent="0.25">
      <c r="A272" s="1815"/>
      <c r="B272" s="1220"/>
      <c r="C272" s="1117"/>
      <c r="D272" s="28" t="s">
        <v>357</v>
      </c>
      <c r="E272" s="94"/>
      <c r="F272" s="97">
        <f>(F271/F269)*100</f>
        <v>28.571428571428569</v>
      </c>
      <c r="G272" s="94"/>
      <c r="H272" s="94"/>
      <c r="I272" s="97">
        <f>I271/I269*100</f>
        <v>17.142857142857142</v>
      </c>
      <c r="J272" s="94"/>
      <c r="K272" s="28"/>
      <c r="L272" s="21"/>
    </row>
    <row r="273" spans="1:12" ht="14.85" hidden="1" customHeight="1" x14ac:dyDescent="0.25">
      <c r="A273" s="1815"/>
      <c r="B273" s="1220"/>
      <c r="C273" s="1117" t="s">
        <v>409</v>
      </c>
      <c r="D273" s="144" t="s">
        <v>251</v>
      </c>
      <c r="E273" s="94"/>
      <c r="F273" s="80">
        <v>120</v>
      </c>
      <c r="G273" s="80"/>
      <c r="H273" s="80"/>
      <c r="I273" s="80">
        <v>138</v>
      </c>
      <c r="J273" s="94"/>
      <c r="K273" s="28"/>
      <c r="L273" s="21"/>
    </row>
    <row r="274" spans="1:12" ht="14.85" hidden="1" customHeight="1" x14ac:dyDescent="0.25">
      <c r="A274" s="1815"/>
      <c r="B274" s="1220"/>
      <c r="C274" s="1117"/>
      <c r="D274" s="28" t="s">
        <v>257</v>
      </c>
      <c r="E274" s="94"/>
      <c r="F274" s="80">
        <v>120</v>
      </c>
      <c r="G274" s="80"/>
      <c r="H274" s="80"/>
      <c r="I274" s="80">
        <v>120</v>
      </c>
      <c r="J274" s="94"/>
      <c r="K274" s="28"/>
      <c r="L274" s="21"/>
    </row>
    <row r="275" spans="1:12" hidden="1" x14ac:dyDescent="0.25">
      <c r="A275" s="1815"/>
      <c r="B275" s="1220"/>
      <c r="C275" s="1117"/>
      <c r="D275" s="28" t="s">
        <v>263</v>
      </c>
      <c r="E275" s="94"/>
      <c r="F275" s="80">
        <v>0</v>
      </c>
      <c r="G275" s="80"/>
      <c r="H275" s="80"/>
      <c r="I275" s="80">
        <v>15</v>
      </c>
      <c r="J275" s="94"/>
      <c r="K275" s="28"/>
      <c r="L275" s="21"/>
    </row>
    <row r="276" spans="1:12" hidden="1" x14ac:dyDescent="0.25">
      <c r="A276" s="1815"/>
      <c r="B276" s="1220"/>
      <c r="C276" s="1117"/>
      <c r="D276" s="28" t="s">
        <v>357</v>
      </c>
      <c r="E276" s="94"/>
      <c r="F276" s="97">
        <f>(F275/F273)*100</f>
        <v>0</v>
      </c>
      <c r="G276" s="94"/>
      <c r="H276" s="94"/>
      <c r="I276" s="97">
        <f>I275/I273*100</f>
        <v>10.869565217391305</v>
      </c>
      <c r="J276" s="94"/>
      <c r="K276" s="28"/>
      <c r="L276" s="21"/>
    </row>
    <row r="277" spans="1:12" hidden="1" x14ac:dyDescent="0.25">
      <c r="A277" s="1815"/>
      <c r="B277" s="1220"/>
      <c r="C277" s="1117" t="s">
        <v>410</v>
      </c>
      <c r="D277" s="144" t="s">
        <v>251</v>
      </c>
      <c r="E277" s="94"/>
      <c r="F277" s="80">
        <v>1725</v>
      </c>
      <c r="G277" s="80"/>
      <c r="H277" s="80"/>
      <c r="I277" s="80">
        <v>1836</v>
      </c>
      <c r="J277" s="94"/>
      <c r="K277" s="28"/>
      <c r="L277" s="21"/>
    </row>
    <row r="278" spans="1:12" hidden="1" x14ac:dyDescent="0.25">
      <c r="A278" s="1815"/>
      <c r="B278" s="1220"/>
      <c r="C278" s="1117"/>
      <c r="D278" s="28" t="s">
        <v>257</v>
      </c>
      <c r="E278" s="94"/>
      <c r="F278" s="80">
        <v>1520</v>
      </c>
      <c r="G278" s="80"/>
      <c r="H278" s="80"/>
      <c r="I278" s="80">
        <v>1689</v>
      </c>
      <c r="J278" s="94"/>
      <c r="K278" s="28"/>
      <c r="L278" s="21"/>
    </row>
    <row r="279" spans="1:12" hidden="1" x14ac:dyDescent="0.25">
      <c r="A279" s="1815"/>
      <c r="B279" s="1220"/>
      <c r="C279" s="1117"/>
      <c r="D279" s="28" t="s">
        <v>263</v>
      </c>
      <c r="E279" s="94"/>
      <c r="F279" s="80">
        <v>205</v>
      </c>
      <c r="G279" s="80"/>
      <c r="H279" s="80"/>
      <c r="I279" s="80">
        <v>147</v>
      </c>
      <c r="J279" s="94"/>
      <c r="K279" s="28"/>
      <c r="L279" s="21"/>
    </row>
    <row r="280" spans="1:12" hidden="1" x14ac:dyDescent="0.25">
      <c r="A280" s="1815"/>
      <c r="B280" s="1220"/>
      <c r="C280" s="1117"/>
      <c r="D280" s="28" t="s">
        <v>357</v>
      </c>
      <c r="E280" s="94"/>
      <c r="F280" s="97">
        <f>(F279/F277)*100</f>
        <v>11.884057971014492</v>
      </c>
      <c r="G280" s="94"/>
      <c r="H280" s="94"/>
      <c r="I280" s="97">
        <f>I279/I277*100</f>
        <v>8.0065359477124183</v>
      </c>
      <c r="J280" s="94"/>
      <c r="K280" s="28"/>
      <c r="L280" s="21"/>
    </row>
    <row r="281" spans="1:12" hidden="1" x14ac:dyDescent="0.25">
      <c r="A281" s="1815"/>
      <c r="B281" s="1220"/>
      <c r="C281" s="1117" t="s">
        <v>411</v>
      </c>
      <c r="D281" s="144" t="s">
        <v>251</v>
      </c>
      <c r="E281" s="94"/>
      <c r="F281" s="80">
        <v>1325</v>
      </c>
      <c r="G281" s="80"/>
      <c r="H281" s="80"/>
      <c r="I281" s="80">
        <v>2004</v>
      </c>
      <c r="J281" s="94"/>
      <c r="K281" s="28"/>
      <c r="L281" s="21"/>
    </row>
    <row r="282" spans="1:12" hidden="1" x14ac:dyDescent="0.25">
      <c r="A282" s="1815"/>
      <c r="B282" s="1220"/>
      <c r="C282" s="1117"/>
      <c r="D282" s="28" t="s">
        <v>257</v>
      </c>
      <c r="E282" s="94"/>
      <c r="F282" s="80">
        <v>35</v>
      </c>
      <c r="G282" s="80"/>
      <c r="H282" s="80"/>
      <c r="I282" s="80">
        <v>96</v>
      </c>
      <c r="J282" s="94"/>
      <c r="K282" s="28"/>
      <c r="L282" s="21"/>
    </row>
    <row r="283" spans="1:12" hidden="1" x14ac:dyDescent="0.25">
      <c r="A283" s="1815"/>
      <c r="B283" s="1220"/>
      <c r="C283" s="1117"/>
      <c r="D283" s="28" t="s">
        <v>263</v>
      </c>
      <c r="E283" s="94"/>
      <c r="F283" s="80">
        <v>1285</v>
      </c>
      <c r="G283" s="80"/>
      <c r="H283" s="80"/>
      <c r="I283" s="80">
        <v>1908</v>
      </c>
      <c r="J283" s="94"/>
      <c r="K283" s="28"/>
      <c r="L283" s="21"/>
    </row>
    <row r="284" spans="1:12" hidden="1" x14ac:dyDescent="0.25">
      <c r="A284" s="1815"/>
      <c r="B284" s="1220"/>
      <c r="C284" s="1117"/>
      <c r="D284" s="28" t="s">
        <v>357</v>
      </c>
      <c r="E284" s="94"/>
      <c r="F284" s="99">
        <f>(F283/F281)*100</f>
        <v>96.981132075471692</v>
      </c>
      <c r="G284" s="94"/>
      <c r="H284" s="94"/>
      <c r="I284" s="99">
        <f>I283/I281*100</f>
        <v>95.209580838323348</v>
      </c>
      <c r="J284" s="94"/>
      <c r="K284" s="28"/>
      <c r="L284" s="21"/>
    </row>
    <row r="285" spans="1:12" hidden="1" x14ac:dyDescent="0.25">
      <c r="A285" s="1815"/>
      <c r="B285" s="1220"/>
      <c r="C285" s="1117" t="s">
        <v>412</v>
      </c>
      <c r="D285" s="144" t="s">
        <v>251</v>
      </c>
      <c r="E285" s="94"/>
      <c r="F285" s="80">
        <v>1800</v>
      </c>
      <c r="G285" s="80"/>
      <c r="H285" s="80"/>
      <c r="I285" s="80">
        <v>1779</v>
      </c>
      <c r="J285" s="94"/>
      <c r="K285" s="28"/>
      <c r="L285" s="21"/>
    </row>
    <row r="286" spans="1:12" hidden="1" x14ac:dyDescent="0.25">
      <c r="A286" s="1815"/>
      <c r="B286" s="1220"/>
      <c r="C286" s="1117"/>
      <c r="D286" s="28" t="s">
        <v>257</v>
      </c>
      <c r="E286" s="94"/>
      <c r="F286" s="80">
        <v>460</v>
      </c>
      <c r="G286" s="80"/>
      <c r="H286" s="80"/>
      <c r="I286" s="80">
        <v>450</v>
      </c>
      <c r="J286" s="94"/>
      <c r="K286" s="28"/>
      <c r="L286" s="21"/>
    </row>
    <row r="287" spans="1:12" hidden="1" x14ac:dyDescent="0.25">
      <c r="A287" s="1815"/>
      <c r="B287" s="1220"/>
      <c r="C287" s="1117"/>
      <c r="D287" s="28" t="s">
        <v>263</v>
      </c>
      <c r="E287" s="94"/>
      <c r="F287" s="80">
        <v>1340</v>
      </c>
      <c r="G287" s="80"/>
      <c r="H287" s="80"/>
      <c r="I287" s="80">
        <v>1326</v>
      </c>
      <c r="J287" s="94"/>
      <c r="K287" s="28"/>
      <c r="L287" s="21"/>
    </row>
    <row r="288" spans="1:12" hidden="1" x14ac:dyDescent="0.25">
      <c r="A288" s="1815"/>
      <c r="B288" s="1220"/>
      <c r="C288" s="1117"/>
      <c r="D288" s="28" t="s">
        <v>357</v>
      </c>
      <c r="E288" s="94"/>
      <c r="F288" s="99">
        <f>(F287/F285)*100</f>
        <v>74.444444444444443</v>
      </c>
      <c r="G288" s="94"/>
      <c r="H288" s="94"/>
      <c r="I288" s="99">
        <f>I287/I285*100</f>
        <v>74.536256323777408</v>
      </c>
      <c r="J288" s="94"/>
      <c r="K288" s="28"/>
      <c r="L288" s="21"/>
    </row>
    <row r="289" spans="1:12" hidden="1" x14ac:dyDescent="0.25">
      <c r="A289" s="1815"/>
      <c r="B289" s="1220"/>
      <c r="C289" s="1117" t="s">
        <v>413</v>
      </c>
      <c r="D289" s="144" t="s">
        <v>251</v>
      </c>
      <c r="E289" s="94"/>
      <c r="F289" s="80">
        <v>435</v>
      </c>
      <c r="G289" s="80"/>
      <c r="H289" s="80"/>
      <c r="I289" s="80">
        <v>258</v>
      </c>
      <c r="J289" s="94"/>
      <c r="K289" s="28"/>
      <c r="L289" s="21"/>
    </row>
    <row r="290" spans="1:12" ht="14.85" hidden="1" customHeight="1" x14ac:dyDescent="0.25">
      <c r="A290" s="1815"/>
      <c r="B290" s="1220"/>
      <c r="C290" s="1117"/>
      <c r="D290" s="28" t="s">
        <v>257</v>
      </c>
      <c r="E290" s="94"/>
      <c r="F290" s="80">
        <v>200</v>
      </c>
      <c r="G290" s="80"/>
      <c r="H290" s="80"/>
      <c r="I290" s="80">
        <v>132</v>
      </c>
      <c r="J290" s="94"/>
      <c r="K290" s="28"/>
      <c r="L290" s="21"/>
    </row>
    <row r="291" spans="1:12" hidden="1" x14ac:dyDescent="0.25">
      <c r="A291" s="1815"/>
      <c r="B291" s="1220"/>
      <c r="C291" s="1117"/>
      <c r="D291" s="28" t="s">
        <v>263</v>
      </c>
      <c r="E291" s="94"/>
      <c r="F291" s="80">
        <v>235</v>
      </c>
      <c r="G291" s="80"/>
      <c r="H291" s="80"/>
      <c r="I291" s="80">
        <v>123</v>
      </c>
      <c r="J291" s="94"/>
      <c r="K291" s="28"/>
      <c r="L291" s="21"/>
    </row>
    <row r="292" spans="1:12" hidden="1" x14ac:dyDescent="0.25">
      <c r="A292" s="1815"/>
      <c r="B292" s="1220"/>
      <c r="C292" s="1117"/>
      <c r="D292" s="28" t="s">
        <v>357</v>
      </c>
      <c r="E292" s="94"/>
      <c r="F292" s="98">
        <f>(F291/F289)*100</f>
        <v>54.022988505747129</v>
      </c>
      <c r="G292" s="94"/>
      <c r="H292" s="94"/>
      <c r="I292" s="98">
        <f>I291/I289*100</f>
        <v>47.674418604651166</v>
      </c>
      <c r="J292" s="94"/>
      <c r="K292" s="28"/>
      <c r="L292" s="21"/>
    </row>
    <row r="293" spans="1:12" ht="14.85" hidden="1" customHeight="1" x14ac:dyDescent="0.25">
      <c r="A293" s="1815"/>
      <c r="B293" s="1220"/>
      <c r="C293" s="1117" t="s">
        <v>414</v>
      </c>
      <c r="D293" s="144" t="s">
        <v>251</v>
      </c>
      <c r="E293" s="94"/>
      <c r="F293" s="80">
        <v>390</v>
      </c>
      <c r="G293" s="80"/>
      <c r="H293" s="80"/>
      <c r="I293" s="80">
        <v>522</v>
      </c>
      <c r="J293" s="94"/>
      <c r="K293" s="28"/>
      <c r="L293" s="21"/>
    </row>
    <row r="294" spans="1:12" ht="14.85" hidden="1" customHeight="1" x14ac:dyDescent="0.25">
      <c r="A294" s="1815"/>
      <c r="B294" s="1220"/>
      <c r="C294" s="1117"/>
      <c r="D294" s="28" t="s">
        <v>257</v>
      </c>
      <c r="E294" s="94"/>
      <c r="F294" s="80">
        <v>270</v>
      </c>
      <c r="G294" s="80"/>
      <c r="H294" s="80"/>
      <c r="I294" s="80">
        <v>384</v>
      </c>
      <c r="J294" s="94"/>
      <c r="K294" s="28"/>
      <c r="L294" s="21"/>
    </row>
    <row r="295" spans="1:12" hidden="1" x14ac:dyDescent="0.25">
      <c r="A295" s="1815"/>
      <c r="B295" s="1220"/>
      <c r="C295" s="1117"/>
      <c r="D295" s="28" t="s">
        <v>263</v>
      </c>
      <c r="E295" s="94"/>
      <c r="F295" s="80">
        <v>120</v>
      </c>
      <c r="G295" s="80"/>
      <c r="H295" s="80"/>
      <c r="I295" s="80">
        <v>138</v>
      </c>
      <c r="J295" s="94"/>
      <c r="K295" s="28"/>
      <c r="L295" s="21"/>
    </row>
    <row r="296" spans="1:12" hidden="1" x14ac:dyDescent="0.25">
      <c r="A296" s="1815"/>
      <c r="B296" s="1220"/>
      <c r="C296" s="1117"/>
      <c r="D296" s="28" t="s">
        <v>357</v>
      </c>
      <c r="E296" s="94"/>
      <c r="F296" s="97">
        <f>(F295/F293)*100</f>
        <v>30.76923076923077</v>
      </c>
      <c r="G296" s="94"/>
      <c r="H296" s="94"/>
      <c r="I296" s="97">
        <f>I295/I293*100</f>
        <v>26.436781609195403</v>
      </c>
      <c r="J296" s="94"/>
      <c r="K296" s="28"/>
      <c r="L296" s="21"/>
    </row>
    <row r="297" spans="1:12" hidden="1" x14ac:dyDescent="0.25">
      <c r="A297" s="1815"/>
      <c r="B297" s="1220"/>
      <c r="C297" s="1117" t="s">
        <v>415</v>
      </c>
      <c r="D297" s="144" t="s">
        <v>251</v>
      </c>
      <c r="E297" s="94"/>
      <c r="F297" s="80">
        <v>70</v>
      </c>
      <c r="G297" s="80"/>
      <c r="H297" s="80"/>
      <c r="I297" s="80">
        <v>57</v>
      </c>
      <c r="J297" s="94"/>
      <c r="K297" s="28"/>
      <c r="L297" s="21"/>
    </row>
    <row r="298" spans="1:12" hidden="1" x14ac:dyDescent="0.25">
      <c r="A298" s="1815"/>
      <c r="B298" s="1220"/>
      <c r="C298" s="1117"/>
      <c r="D298" s="28" t="s">
        <v>257</v>
      </c>
      <c r="E298" s="94"/>
      <c r="F298" s="80">
        <v>30</v>
      </c>
      <c r="G298" s="80"/>
      <c r="H298" s="80"/>
      <c r="I298" s="80">
        <v>45</v>
      </c>
      <c r="J298" s="94"/>
      <c r="K298" s="28"/>
      <c r="L298" s="21"/>
    </row>
    <row r="299" spans="1:12" hidden="1" x14ac:dyDescent="0.25">
      <c r="A299" s="1815"/>
      <c r="B299" s="1220"/>
      <c r="C299" s="1117"/>
      <c r="D299" s="28" t="s">
        <v>263</v>
      </c>
      <c r="E299" s="94"/>
      <c r="F299" s="80">
        <v>40</v>
      </c>
      <c r="G299" s="80"/>
      <c r="H299" s="80"/>
      <c r="I299" s="80">
        <v>12</v>
      </c>
      <c r="J299" s="94"/>
      <c r="K299" s="28"/>
      <c r="L299" s="21"/>
    </row>
    <row r="300" spans="1:12" hidden="1" x14ac:dyDescent="0.25">
      <c r="A300" s="1815"/>
      <c r="B300" s="1220"/>
      <c r="C300" s="1117"/>
      <c r="D300" s="28" t="s">
        <v>357</v>
      </c>
      <c r="E300" s="94"/>
      <c r="F300" s="98">
        <f>(F299/F297)*100</f>
        <v>57.142857142857139</v>
      </c>
      <c r="G300" s="94"/>
      <c r="H300" s="94"/>
      <c r="I300" s="97">
        <f>I299/I297*100</f>
        <v>21.052631578947366</v>
      </c>
      <c r="J300" s="94"/>
      <c r="K300" s="28"/>
      <c r="L300" s="21"/>
    </row>
    <row r="301" spans="1:12" hidden="1" x14ac:dyDescent="0.25">
      <c r="A301" s="1815"/>
      <c r="B301" s="1220"/>
      <c r="C301" s="1117" t="s">
        <v>416</v>
      </c>
      <c r="D301" s="144" t="s">
        <v>251</v>
      </c>
      <c r="E301" s="94"/>
      <c r="F301" s="80">
        <v>40</v>
      </c>
      <c r="G301" s="80"/>
      <c r="H301" s="80"/>
      <c r="I301" s="80">
        <v>90</v>
      </c>
      <c r="J301" s="94"/>
      <c r="K301" s="28"/>
      <c r="L301" s="21"/>
    </row>
    <row r="302" spans="1:12" hidden="1" x14ac:dyDescent="0.25">
      <c r="A302" s="1815"/>
      <c r="B302" s="1220"/>
      <c r="C302" s="1117"/>
      <c r="D302" s="28" t="s">
        <v>257</v>
      </c>
      <c r="E302" s="94"/>
      <c r="F302" s="80">
        <v>40</v>
      </c>
      <c r="G302" s="80"/>
      <c r="H302" s="80"/>
      <c r="I302" s="80">
        <v>84</v>
      </c>
      <c r="J302" s="94"/>
      <c r="K302" s="28"/>
      <c r="L302" s="21"/>
    </row>
    <row r="303" spans="1:12" hidden="1" x14ac:dyDescent="0.25">
      <c r="A303" s="1815"/>
      <c r="B303" s="1220"/>
      <c r="C303" s="1117"/>
      <c r="D303" s="28" t="s">
        <v>263</v>
      </c>
      <c r="E303" s="94"/>
      <c r="F303" s="80">
        <v>0</v>
      </c>
      <c r="G303" s="80"/>
      <c r="H303" s="80"/>
      <c r="I303" s="80">
        <v>6</v>
      </c>
      <c r="J303" s="94"/>
      <c r="K303" s="28"/>
      <c r="L303" s="21"/>
    </row>
    <row r="304" spans="1:12" hidden="1" x14ac:dyDescent="0.25">
      <c r="A304" s="1815"/>
      <c r="B304" s="1220"/>
      <c r="C304" s="1117"/>
      <c r="D304" s="28" t="s">
        <v>357</v>
      </c>
      <c r="E304" s="94"/>
      <c r="F304" s="97">
        <f>(F303/F301)*100</f>
        <v>0</v>
      </c>
      <c r="G304" s="94"/>
      <c r="H304" s="94"/>
      <c r="I304" s="97">
        <f>I303/I301*100</f>
        <v>6.666666666666667</v>
      </c>
      <c r="J304" s="94"/>
      <c r="K304" s="28"/>
      <c r="L304" s="21"/>
    </row>
    <row r="305" spans="1:14" hidden="1" x14ac:dyDescent="0.25">
      <c r="A305" s="1815"/>
      <c r="B305" s="1220"/>
      <c r="C305" s="1117" t="s">
        <v>417</v>
      </c>
      <c r="D305" s="144" t="s">
        <v>251</v>
      </c>
      <c r="E305" s="94"/>
      <c r="F305" s="80">
        <v>90</v>
      </c>
      <c r="G305" s="80"/>
      <c r="H305" s="80"/>
      <c r="I305" s="80">
        <v>366</v>
      </c>
      <c r="J305" s="94"/>
      <c r="K305" s="28"/>
      <c r="L305" s="21"/>
    </row>
    <row r="306" spans="1:14" hidden="1" x14ac:dyDescent="0.25">
      <c r="A306" s="1815"/>
      <c r="B306" s="1220"/>
      <c r="C306" s="1117"/>
      <c r="D306" s="28" t="s">
        <v>257</v>
      </c>
      <c r="E306" s="94"/>
      <c r="F306" s="80">
        <v>55</v>
      </c>
      <c r="G306" s="80"/>
      <c r="H306" s="80"/>
      <c r="I306" s="80">
        <v>243</v>
      </c>
      <c r="J306" s="94"/>
      <c r="K306" s="28"/>
      <c r="L306" s="21"/>
    </row>
    <row r="307" spans="1:14" hidden="1" x14ac:dyDescent="0.25">
      <c r="A307" s="1815"/>
      <c r="B307" s="1220"/>
      <c r="C307" s="1117"/>
      <c r="D307" s="28" t="s">
        <v>263</v>
      </c>
      <c r="E307" s="94"/>
      <c r="F307" s="80">
        <v>35</v>
      </c>
      <c r="G307" s="80"/>
      <c r="H307" s="80"/>
      <c r="I307" s="80">
        <v>123</v>
      </c>
      <c r="J307" s="94"/>
      <c r="K307" s="28"/>
      <c r="L307" s="21"/>
    </row>
    <row r="308" spans="1:14" hidden="1" x14ac:dyDescent="0.25">
      <c r="A308" s="1815"/>
      <c r="B308" s="1220"/>
      <c r="C308" s="1117"/>
      <c r="D308" s="28" t="s">
        <v>357</v>
      </c>
      <c r="E308" s="94"/>
      <c r="F308" s="97">
        <f>F307/F305*100</f>
        <v>38.888888888888893</v>
      </c>
      <c r="G308" s="94"/>
      <c r="H308" s="94"/>
      <c r="I308" s="97">
        <f>I307/I305*100</f>
        <v>33.606557377049178</v>
      </c>
      <c r="J308" s="94"/>
      <c r="K308" s="28"/>
      <c r="L308" s="21"/>
    </row>
    <row r="309" spans="1:14" hidden="1" x14ac:dyDescent="0.25">
      <c r="A309" s="1815"/>
      <c r="B309" s="1220"/>
      <c r="C309" s="1117" t="s">
        <v>418</v>
      </c>
      <c r="D309" s="144" t="s">
        <v>251</v>
      </c>
      <c r="E309" s="94"/>
      <c r="F309" s="80">
        <v>625</v>
      </c>
      <c r="G309" s="80"/>
      <c r="H309" s="80"/>
      <c r="I309" s="80">
        <v>771</v>
      </c>
      <c r="J309" s="94"/>
      <c r="K309" s="28"/>
      <c r="L309" s="21"/>
    </row>
    <row r="310" spans="1:14" hidden="1" x14ac:dyDescent="0.25">
      <c r="A310" s="1815"/>
      <c r="B310" s="1220"/>
      <c r="C310" s="1117"/>
      <c r="D310" s="28" t="s">
        <v>263</v>
      </c>
      <c r="E310" s="94"/>
      <c r="F310" s="80">
        <v>585</v>
      </c>
      <c r="G310" s="80"/>
      <c r="H310" s="80"/>
      <c r="I310" s="80">
        <v>615</v>
      </c>
      <c r="J310" s="94"/>
      <c r="K310" s="28"/>
      <c r="L310" s="21"/>
    </row>
    <row r="311" spans="1:14" ht="14.85" hidden="1" customHeight="1" x14ac:dyDescent="0.25">
      <c r="A311" s="1815"/>
      <c r="B311" s="1220"/>
      <c r="C311" s="1117"/>
      <c r="D311" s="28" t="s">
        <v>257</v>
      </c>
      <c r="E311" s="94"/>
      <c r="F311" s="80">
        <v>40</v>
      </c>
      <c r="G311" s="80"/>
      <c r="H311" s="80"/>
      <c r="I311" s="80">
        <v>156</v>
      </c>
      <c r="J311" s="94"/>
      <c r="K311" s="28"/>
      <c r="L311" s="21"/>
    </row>
    <row r="312" spans="1:14" hidden="1" x14ac:dyDescent="0.25">
      <c r="A312" s="1815"/>
      <c r="B312" s="1220"/>
      <c r="C312" s="1117"/>
      <c r="D312" s="28" t="s">
        <v>357</v>
      </c>
      <c r="E312" s="94"/>
      <c r="F312" s="97">
        <f>(F311/F309)*100</f>
        <v>6.4</v>
      </c>
      <c r="G312" s="94"/>
      <c r="H312" s="94"/>
      <c r="I312" s="97">
        <f>I311/I309*100</f>
        <v>20.233463035019454</v>
      </c>
      <c r="J312" s="94"/>
      <c r="K312" s="28"/>
      <c r="L312" s="21"/>
    </row>
    <row r="313" spans="1:14" x14ac:dyDescent="0.25">
      <c r="A313" s="1815"/>
      <c r="B313" s="1220"/>
      <c r="C313" s="1174" t="s">
        <v>419</v>
      </c>
      <c r="D313" s="1110"/>
      <c r="E313" s="94"/>
      <c r="F313" s="100">
        <f>29/60*100</f>
        <v>48.333333333333336</v>
      </c>
      <c r="G313" s="92"/>
      <c r="H313" s="92"/>
      <c r="I313" s="101">
        <f>30/61*100</f>
        <v>49.180327868852459</v>
      </c>
      <c r="J313" s="94"/>
      <c r="K313" s="28"/>
      <c r="L313" s="21"/>
    </row>
    <row r="314" spans="1:14" x14ac:dyDescent="0.25">
      <c r="A314" s="1815"/>
      <c r="B314" s="1220"/>
      <c r="C314" s="1174" t="s">
        <v>420</v>
      </c>
      <c r="D314" s="1110"/>
      <c r="E314" s="94"/>
      <c r="F314" s="102">
        <f>16/60*100</f>
        <v>26.666666666666668</v>
      </c>
      <c r="G314" s="92"/>
      <c r="H314" s="92"/>
      <c r="I314" s="102">
        <f>15/61*100</f>
        <v>24.590163934426229</v>
      </c>
      <c r="J314" s="94"/>
      <c r="K314" s="28"/>
      <c r="L314" s="21"/>
    </row>
    <row r="315" spans="1:14" ht="16.5" thickBot="1" x14ac:dyDescent="0.3">
      <c r="A315" s="1816"/>
      <c r="B315" s="1221"/>
      <c r="C315" s="1175" t="s">
        <v>421</v>
      </c>
      <c r="D315" s="1157"/>
      <c r="E315" s="126"/>
      <c r="F315" s="127">
        <f>15/60*100</f>
        <v>25</v>
      </c>
      <c r="G315" s="128"/>
      <c r="H315" s="128"/>
      <c r="I315" s="127">
        <f>16/61*100</f>
        <v>26.229508196721312</v>
      </c>
      <c r="J315" s="126"/>
      <c r="K315" s="110"/>
      <c r="L315" s="53"/>
    </row>
    <row r="316" spans="1:14" ht="16.5" thickBot="1" x14ac:dyDescent="0.3">
      <c r="A316" s="338" t="s">
        <v>248</v>
      </c>
      <c r="B316" s="822" t="s">
        <v>249</v>
      </c>
      <c r="C316" s="1422"/>
      <c r="D316" s="1422"/>
      <c r="E316" s="616">
        <v>2005</v>
      </c>
      <c r="F316" s="616">
        <v>2010</v>
      </c>
      <c r="G316" s="616">
        <v>2015</v>
      </c>
      <c r="H316" s="616">
        <v>2020</v>
      </c>
      <c r="I316" s="616">
        <v>2021</v>
      </c>
      <c r="J316" s="616">
        <v>2022</v>
      </c>
      <c r="K316" s="616">
        <v>2023</v>
      </c>
      <c r="L316" s="616">
        <v>2024</v>
      </c>
    </row>
    <row r="317" spans="1:14" ht="14.85" customHeight="1" x14ac:dyDescent="0.25">
      <c r="A317" s="1864" t="s">
        <v>422</v>
      </c>
      <c r="B317" s="1143" t="s">
        <v>164</v>
      </c>
      <c r="C317" s="1728" t="s">
        <v>424</v>
      </c>
      <c r="D317" s="1520"/>
      <c r="E317" s="36"/>
      <c r="F317" s="37">
        <v>982.09</v>
      </c>
      <c r="G317" s="37">
        <v>1129.0999999999999</v>
      </c>
      <c r="H317" s="37">
        <v>1254</v>
      </c>
      <c r="I317" s="37">
        <v>1286</v>
      </c>
      <c r="J317" s="37">
        <v>1312</v>
      </c>
      <c r="K317" s="37">
        <v>1494</v>
      </c>
      <c r="L317" s="334">
        <v>1505</v>
      </c>
    </row>
    <row r="318" spans="1:14" x14ac:dyDescent="0.25">
      <c r="A318" s="1865"/>
      <c r="B318" s="1144"/>
      <c r="C318" s="1729" t="s">
        <v>425</v>
      </c>
      <c r="D318" s="1331"/>
      <c r="E318" s="28"/>
      <c r="F318" s="29">
        <v>1268.47</v>
      </c>
      <c r="G318" s="29">
        <v>1447.44</v>
      </c>
      <c r="H318" s="29">
        <v>1562</v>
      </c>
      <c r="I318" s="29">
        <v>1600</v>
      </c>
      <c r="J318" s="29">
        <v>1632</v>
      </c>
      <c r="K318" s="29">
        <v>1839</v>
      </c>
      <c r="L318" s="39">
        <v>1847</v>
      </c>
    </row>
    <row r="319" spans="1:14" x14ac:dyDescent="0.25">
      <c r="A319" s="1865"/>
      <c r="B319" s="1144"/>
      <c r="C319" s="1729" t="s">
        <v>426</v>
      </c>
      <c r="D319" s="1331"/>
      <c r="E319" s="28"/>
      <c r="F319" s="29">
        <v>714.7</v>
      </c>
      <c r="G319" s="29">
        <v>854.51</v>
      </c>
      <c r="H319" s="29">
        <v>989</v>
      </c>
      <c r="I319" s="29">
        <v>1026</v>
      </c>
      <c r="J319" s="29">
        <v>1052</v>
      </c>
      <c r="K319" s="29">
        <v>1210</v>
      </c>
      <c r="L319" s="39">
        <v>1228</v>
      </c>
    </row>
    <row r="320" spans="1:14" x14ac:dyDescent="0.25">
      <c r="A320" s="1865"/>
      <c r="B320" s="1144"/>
      <c r="C320" s="1730" t="s">
        <v>427</v>
      </c>
      <c r="D320" s="1333"/>
      <c r="E320" s="28"/>
      <c r="F320" s="31">
        <f t="shared" ref="F320:L320" si="17">+F319-F318</f>
        <v>-553.77</v>
      </c>
      <c r="G320" s="31">
        <f t="shared" si="17"/>
        <v>-592.93000000000006</v>
      </c>
      <c r="H320" s="31">
        <f t="shared" si="17"/>
        <v>-573</v>
      </c>
      <c r="I320" s="31">
        <f t="shared" si="17"/>
        <v>-574</v>
      </c>
      <c r="J320" s="31">
        <f t="shared" si="17"/>
        <v>-580</v>
      </c>
      <c r="K320" s="31">
        <f t="shared" si="17"/>
        <v>-629</v>
      </c>
      <c r="L320" s="32">
        <f t="shared" si="17"/>
        <v>-619</v>
      </c>
      <c r="M320" s="905"/>
      <c r="N320" s="905"/>
    </row>
    <row r="321" spans="1:12" ht="16.5" thickBot="1" x14ac:dyDescent="0.3">
      <c r="A321" s="1865"/>
      <c r="B321" s="1264"/>
      <c r="C321" s="1731" t="s">
        <v>428</v>
      </c>
      <c r="D321" s="1335"/>
      <c r="E321" s="33"/>
      <c r="F321" s="34">
        <f t="shared" ref="F321:L321" si="18">(F319-F318)/F318*100</f>
        <v>-43.656531096517845</v>
      </c>
      <c r="G321" s="34">
        <f t="shared" si="18"/>
        <v>-40.964046868954846</v>
      </c>
      <c r="H321" s="34">
        <f t="shared" si="18"/>
        <v>-36.683738796414858</v>
      </c>
      <c r="I321" s="34">
        <f t="shared" si="18"/>
        <v>-35.875</v>
      </c>
      <c r="J321" s="34">
        <f t="shared" si="18"/>
        <v>-35.53921568627451</v>
      </c>
      <c r="K321" s="34">
        <f t="shared" si="18"/>
        <v>-34.203371397498636</v>
      </c>
      <c r="L321" s="35">
        <f t="shared" si="18"/>
        <v>-33.513806172171087</v>
      </c>
    </row>
    <row r="322" spans="1:12" ht="15" customHeight="1" x14ac:dyDescent="0.25">
      <c r="A322" s="1865"/>
      <c r="B322" s="1143" t="s">
        <v>429</v>
      </c>
      <c r="C322" s="1146" t="s">
        <v>430</v>
      </c>
      <c r="D322" s="1147"/>
      <c r="E322" s="36"/>
      <c r="F322" s="40"/>
      <c r="G322" s="37">
        <v>41.909898477157356</v>
      </c>
      <c r="H322" s="37">
        <v>40.576022796661917</v>
      </c>
      <c r="I322" s="37">
        <v>43.468360498561843</v>
      </c>
      <c r="J322" s="37">
        <v>50.143309699803893</v>
      </c>
      <c r="K322" s="37">
        <v>48.204503956177724</v>
      </c>
      <c r="L322" s="20" t="s">
        <v>596</v>
      </c>
    </row>
    <row r="323" spans="1:12" x14ac:dyDescent="0.25">
      <c r="A323" s="1865"/>
      <c r="B323" s="1144"/>
      <c r="C323" s="1148" t="s">
        <v>431</v>
      </c>
      <c r="D323" s="1124"/>
      <c r="E323" s="28"/>
      <c r="F323" s="28"/>
      <c r="G323" s="29">
        <v>45.348837209302324</v>
      </c>
      <c r="H323" s="29">
        <v>43.715453016101897</v>
      </c>
      <c r="I323" s="29">
        <v>47.266415967601965</v>
      </c>
      <c r="J323" s="29">
        <v>53.572750833024806</v>
      </c>
      <c r="K323" s="29">
        <v>52.128454070201649</v>
      </c>
      <c r="L323" s="21">
        <v>55.4</v>
      </c>
    </row>
    <row r="324" spans="1:12" x14ac:dyDescent="0.25">
      <c r="A324" s="1865"/>
      <c r="B324" s="1144"/>
      <c r="C324" s="1148" t="s">
        <v>432</v>
      </c>
      <c r="D324" s="1124"/>
      <c r="E324" s="28"/>
      <c r="F324" s="28"/>
      <c r="G324" s="29">
        <v>39.145364364746285</v>
      </c>
      <c r="H324" s="29">
        <v>38.270079435127982</v>
      </c>
      <c r="I324" s="29">
        <v>40.781665643544095</v>
      </c>
      <c r="J324" s="29">
        <v>47.785132382892058</v>
      </c>
      <c r="K324" s="29">
        <v>45.505906522855675</v>
      </c>
      <c r="L324" s="21">
        <v>46.5</v>
      </c>
    </row>
    <row r="325" spans="1:12" ht="16.5" thickBot="1" x14ac:dyDescent="0.3">
      <c r="A325" s="1865"/>
      <c r="B325" s="1264"/>
      <c r="C325" s="1224" t="s">
        <v>354</v>
      </c>
      <c r="D325" s="1225"/>
      <c r="E325" s="33"/>
      <c r="F325" s="33"/>
      <c r="G325" s="34">
        <f t="shared" ref="G325:L325" si="19">+G324-G323</f>
        <v>-6.203472844556039</v>
      </c>
      <c r="H325" s="34">
        <f t="shared" si="19"/>
        <v>-5.4453735809739143</v>
      </c>
      <c r="I325" s="34">
        <f t="shared" si="19"/>
        <v>-6.4847503240578703</v>
      </c>
      <c r="J325" s="34">
        <f t="shared" si="19"/>
        <v>-5.7876184501327472</v>
      </c>
      <c r="K325" s="34">
        <f t="shared" si="19"/>
        <v>-6.6225475473459738</v>
      </c>
      <c r="L325" s="35">
        <f t="shared" si="19"/>
        <v>-8.8999999999999986</v>
      </c>
    </row>
    <row r="326" spans="1:12" x14ac:dyDescent="0.25">
      <c r="A326" s="1865"/>
      <c r="B326" s="1143" t="s">
        <v>521</v>
      </c>
      <c r="C326" s="1316" t="s">
        <v>434</v>
      </c>
      <c r="D326" s="146" t="s">
        <v>435</v>
      </c>
      <c r="E326" s="36"/>
      <c r="F326" s="36"/>
      <c r="G326" s="40"/>
      <c r="H326" s="40"/>
      <c r="I326" s="40">
        <v>81</v>
      </c>
      <c r="J326" s="40">
        <v>48</v>
      </c>
      <c r="K326" s="40">
        <v>26</v>
      </c>
      <c r="L326" s="1061">
        <v>18</v>
      </c>
    </row>
    <row r="327" spans="1:12" x14ac:dyDescent="0.25">
      <c r="A327" s="1865"/>
      <c r="B327" s="1144"/>
      <c r="C327" s="1268"/>
      <c r="D327" s="147" t="s">
        <v>436</v>
      </c>
      <c r="E327" s="28"/>
      <c r="F327" s="28"/>
      <c r="G327" s="28"/>
      <c r="H327" s="28"/>
      <c r="I327" s="28">
        <v>25</v>
      </c>
      <c r="J327" s="28">
        <v>11</v>
      </c>
      <c r="K327" s="28">
        <v>12</v>
      </c>
      <c r="L327" s="1061">
        <v>5</v>
      </c>
    </row>
    <row r="328" spans="1:12" x14ac:dyDescent="0.25">
      <c r="A328" s="1865"/>
      <c r="B328" s="1144"/>
      <c r="C328" s="1268"/>
      <c r="D328" s="28" t="s">
        <v>437</v>
      </c>
      <c r="E328" s="28"/>
      <c r="F328" s="28"/>
      <c r="G328" s="28"/>
      <c r="H328" s="28"/>
      <c r="I328" s="28">
        <v>56</v>
      </c>
      <c r="J328" s="28">
        <v>37</v>
      </c>
      <c r="K328" s="28">
        <v>14</v>
      </c>
      <c r="L328" s="1061">
        <v>13</v>
      </c>
    </row>
    <row r="329" spans="1:12" x14ac:dyDescent="0.25">
      <c r="A329" s="1865"/>
      <c r="B329" s="1144"/>
      <c r="C329" s="1268"/>
      <c r="D329" s="148" t="s">
        <v>353</v>
      </c>
      <c r="E329" s="28"/>
      <c r="F329" s="28"/>
      <c r="G329" s="28"/>
      <c r="H329" s="28"/>
      <c r="I329" s="157">
        <f>I328-I327</f>
        <v>31</v>
      </c>
      <c r="J329" s="157">
        <f>J328-J327</f>
        <v>26</v>
      </c>
      <c r="K329" s="157">
        <f>K328-K327</f>
        <v>2</v>
      </c>
      <c r="L329" s="157">
        <f>L328-L327</f>
        <v>8</v>
      </c>
    </row>
    <row r="330" spans="1:12" x14ac:dyDescent="0.25">
      <c r="A330" s="1865"/>
      <c r="B330" s="1144"/>
      <c r="C330" s="1268"/>
      <c r="D330" s="148" t="s">
        <v>270</v>
      </c>
      <c r="E330" s="28"/>
      <c r="F330" s="28"/>
      <c r="G330" s="28"/>
      <c r="H330" s="28"/>
      <c r="I330" s="158">
        <f>I328/I326*100</f>
        <v>69.135802469135797</v>
      </c>
      <c r="J330" s="158">
        <f>J328/J326*100</f>
        <v>77.083333333333343</v>
      </c>
      <c r="K330" s="158">
        <f>K328/K326*100</f>
        <v>53.846153846153847</v>
      </c>
      <c r="L330" s="158">
        <f>L328/L326*100</f>
        <v>72.222222222222214</v>
      </c>
    </row>
    <row r="331" spans="1:12" x14ac:dyDescent="0.25">
      <c r="A331" s="1865"/>
      <c r="B331" s="1144"/>
      <c r="C331" s="1268" t="s">
        <v>438</v>
      </c>
      <c r="D331" s="149" t="s">
        <v>435</v>
      </c>
      <c r="E331" s="28"/>
      <c r="F331" s="28"/>
      <c r="G331" s="28"/>
      <c r="H331" s="28"/>
      <c r="I331" s="44">
        <v>191</v>
      </c>
      <c r="J331" s="44">
        <v>74</v>
      </c>
      <c r="K331" s="44">
        <v>34</v>
      </c>
      <c r="L331" s="1061">
        <v>44</v>
      </c>
    </row>
    <row r="332" spans="1:12" x14ac:dyDescent="0.25">
      <c r="A332" s="1865"/>
      <c r="B332" s="1144"/>
      <c r="C332" s="1268"/>
      <c r="D332" s="147" t="s">
        <v>436</v>
      </c>
      <c r="E332" s="28"/>
      <c r="F332" s="28"/>
      <c r="G332" s="28"/>
      <c r="H332" s="28"/>
      <c r="I332" s="28">
        <v>88</v>
      </c>
      <c r="J332" s="28">
        <v>24</v>
      </c>
      <c r="K332" s="28">
        <v>15</v>
      </c>
      <c r="L332" s="1061">
        <v>22</v>
      </c>
    </row>
    <row r="333" spans="1:12" x14ac:dyDescent="0.25">
      <c r="A333" s="1865"/>
      <c r="B333" s="1144"/>
      <c r="C333" s="1268"/>
      <c r="D333" s="28" t="s">
        <v>437</v>
      </c>
      <c r="E333" s="28"/>
      <c r="F333" s="28"/>
      <c r="G333" s="28"/>
      <c r="H333" s="28"/>
      <c r="I333" s="28">
        <v>103</v>
      </c>
      <c r="J333" s="28">
        <v>50</v>
      </c>
      <c r="K333" s="28">
        <v>19</v>
      </c>
      <c r="L333" s="1061">
        <v>22</v>
      </c>
    </row>
    <row r="334" spans="1:12" x14ac:dyDescent="0.25">
      <c r="A334" s="1865"/>
      <c r="B334" s="1144"/>
      <c r="C334" s="1268"/>
      <c r="D334" s="148" t="s">
        <v>353</v>
      </c>
      <c r="E334" s="28"/>
      <c r="F334" s="28"/>
      <c r="G334" s="28"/>
      <c r="H334" s="28"/>
      <c r="I334" s="157">
        <f>I333-I332</f>
        <v>15</v>
      </c>
      <c r="J334" s="157">
        <f>J333-J332</f>
        <v>26</v>
      </c>
      <c r="K334" s="157">
        <f>K333-K332</f>
        <v>4</v>
      </c>
      <c r="L334" s="157">
        <f>L333-L332</f>
        <v>0</v>
      </c>
    </row>
    <row r="335" spans="1:12" ht="16.5" thickBot="1" x14ac:dyDescent="0.3">
      <c r="A335" s="1865"/>
      <c r="B335" s="1145"/>
      <c r="C335" s="1362"/>
      <c r="D335" s="150" t="s">
        <v>270</v>
      </c>
      <c r="E335" s="110"/>
      <c r="F335" s="110"/>
      <c r="G335" s="110"/>
      <c r="H335" s="110"/>
      <c r="I335" s="165">
        <f>I333/I331*100</f>
        <v>53.926701570680621</v>
      </c>
      <c r="J335" s="165">
        <f>J333/J331*100</f>
        <v>67.567567567567565</v>
      </c>
      <c r="K335" s="165">
        <f>K333/K331*100</f>
        <v>55.882352941176471</v>
      </c>
      <c r="L335" s="165">
        <f>L333/L331*100</f>
        <v>50</v>
      </c>
    </row>
    <row r="336" spans="1:12" ht="15" customHeight="1" x14ac:dyDescent="0.25">
      <c r="A336" s="1865"/>
      <c r="B336" s="1143" t="s">
        <v>180</v>
      </c>
      <c r="C336" s="1146" t="s">
        <v>435</v>
      </c>
      <c r="D336" s="1147"/>
      <c r="E336" s="36"/>
      <c r="F336" s="36"/>
      <c r="G336" s="36"/>
      <c r="H336" s="195">
        <v>17914</v>
      </c>
      <c r="I336" s="195">
        <v>17669</v>
      </c>
      <c r="J336" s="195">
        <v>18586</v>
      </c>
      <c r="K336" s="195">
        <v>19522</v>
      </c>
      <c r="L336" s="20"/>
    </row>
    <row r="337" spans="1:14" x14ac:dyDescent="0.25">
      <c r="A337" s="1865"/>
      <c r="B337" s="1144"/>
      <c r="C337" s="1148" t="s">
        <v>436</v>
      </c>
      <c r="D337" s="1124"/>
      <c r="E337" s="28"/>
      <c r="F337" s="28"/>
      <c r="G337" s="28"/>
      <c r="H337" s="96">
        <v>6742</v>
      </c>
      <c r="I337" s="96">
        <v>6655</v>
      </c>
      <c r="J337" s="96">
        <v>6962</v>
      </c>
      <c r="K337" s="96">
        <v>7345</v>
      </c>
      <c r="L337" s="21"/>
    </row>
    <row r="338" spans="1:14" x14ac:dyDescent="0.25">
      <c r="A338" s="1865"/>
      <c r="B338" s="1144"/>
      <c r="C338" s="1148" t="s">
        <v>437</v>
      </c>
      <c r="D338" s="1124"/>
      <c r="E338" s="28"/>
      <c r="F338" s="28"/>
      <c r="G338" s="28"/>
      <c r="H338" s="96">
        <v>11172</v>
      </c>
      <c r="I338" s="96">
        <v>11014</v>
      </c>
      <c r="J338" s="96">
        <v>11624</v>
      </c>
      <c r="K338" s="96">
        <v>12177</v>
      </c>
      <c r="L338" s="21"/>
    </row>
    <row r="339" spans="1:14" x14ac:dyDescent="0.25">
      <c r="A339" s="1865"/>
      <c r="B339" s="1144"/>
      <c r="C339" s="1190" t="s">
        <v>353</v>
      </c>
      <c r="D339" s="1112"/>
      <c r="E339" s="28"/>
      <c r="F339" s="28"/>
      <c r="G339" s="28"/>
      <c r="H339" s="157">
        <f>H338-H337</f>
        <v>4430</v>
      </c>
      <c r="I339" s="157">
        <f>I338-I337</f>
        <v>4359</v>
      </c>
      <c r="J339" s="157">
        <f>J338-J337</f>
        <v>4662</v>
      </c>
      <c r="K339" s="157">
        <f>K338-K337</f>
        <v>4832</v>
      </c>
      <c r="L339" s="21"/>
    </row>
    <row r="340" spans="1:14" ht="16.5" thickBot="1" x14ac:dyDescent="0.3">
      <c r="A340" s="1866"/>
      <c r="B340" s="1264"/>
      <c r="C340" s="1177" t="s">
        <v>270</v>
      </c>
      <c r="D340" s="1178"/>
      <c r="E340" s="110"/>
      <c r="F340" s="110"/>
      <c r="G340" s="110"/>
      <c r="H340" s="165">
        <f>H338/H336*100</f>
        <v>62.364631014848726</v>
      </c>
      <c r="I340" s="165">
        <f>I338/I336*100</f>
        <v>62.335163280321467</v>
      </c>
      <c r="J340" s="165">
        <f>J338/J336*100</f>
        <v>62.54169805229742</v>
      </c>
      <c r="K340" s="165">
        <f>K338/K336*100</f>
        <v>62.375781169962096</v>
      </c>
      <c r="L340" s="53"/>
    </row>
    <row r="341" spans="1:14" ht="16.5" thickBot="1" x14ac:dyDescent="0.3">
      <c r="A341" s="338" t="s">
        <v>248</v>
      </c>
      <c r="B341" s="822" t="s">
        <v>249</v>
      </c>
      <c r="C341" s="1422"/>
      <c r="D341" s="1422"/>
      <c r="E341" s="616">
        <v>2005</v>
      </c>
      <c r="F341" s="616">
        <v>2010</v>
      </c>
      <c r="G341" s="616">
        <v>2015</v>
      </c>
      <c r="H341" s="616">
        <v>2020</v>
      </c>
      <c r="I341" s="616">
        <v>2021</v>
      </c>
      <c r="J341" s="616">
        <v>2022</v>
      </c>
      <c r="K341" s="616">
        <v>2023</v>
      </c>
      <c r="L341" s="616">
        <v>2024</v>
      </c>
    </row>
    <row r="342" spans="1:14" x14ac:dyDescent="0.25">
      <c r="A342" s="1868" t="s">
        <v>439</v>
      </c>
      <c r="B342" s="1612" t="s">
        <v>440</v>
      </c>
      <c r="C342" s="1250" t="s">
        <v>251</v>
      </c>
      <c r="D342" s="1250"/>
      <c r="E342" s="585">
        <v>81.7</v>
      </c>
      <c r="F342" s="586">
        <v>84.2</v>
      </c>
      <c r="G342" s="586">
        <v>83.9</v>
      </c>
      <c r="H342" s="586">
        <v>83.3</v>
      </c>
      <c r="I342" s="586">
        <v>85.6</v>
      </c>
      <c r="J342" s="587">
        <v>85.470294055927766</v>
      </c>
      <c r="K342" s="453">
        <v>86.4</v>
      </c>
      <c r="L342" s="108"/>
      <c r="M342" s="326"/>
      <c r="N342" s="326"/>
    </row>
    <row r="343" spans="1:14" x14ac:dyDescent="0.25">
      <c r="A343" s="1822"/>
      <c r="B343" s="1613"/>
      <c r="C343" s="1236" t="s">
        <v>257</v>
      </c>
      <c r="D343" s="1236"/>
      <c r="E343" s="580">
        <v>78.3</v>
      </c>
      <c r="F343" s="581">
        <v>81.900000000000006</v>
      </c>
      <c r="G343" s="581">
        <v>80.5</v>
      </c>
      <c r="H343" s="581">
        <v>80.2</v>
      </c>
      <c r="I343" s="581">
        <v>83</v>
      </c>
      <c r="J343" s="582">
        <v>83.017459095046576</v>
      </c>
      <c r="K343" s="403">
        <v>84</v>
      </c>
      <c r="L343" s="21"/>
    </row>
    <row r="344" spans="1:14" x14ac:dyDescent="0.25">
      <c r="A344" s="1822"/>
      <c r="B344" s="1613"/>
      <c r="C344" s="1236" t="s">
        <v>263</v>
      </c>
      <c r="D344" s="1236"/>
      <c r="E344" s="580">
        <v>84.9</v>
      </c>
      <c r="F344" s="581">
        <v>86.1</v>
      </c>
      <c r="G344" s="581">
        <v>87.1</v>
      </c>
      <c r="H344" s="581">
        <v>86.1</v>
      </c>
      <c r="I344" s="581">
        <v>87.7</v>
      </c>
      <c r="J344" s="582">
        <v>87.582303968994452</v>
      </c>
      <c r="K344" s="403">
        <v>88.4</v>
      </c>
      <c r="L344" s="21"/>
    </row>
    <row r="345" spans="1:14" ht="16.5" thickBot="1" x14ac:dyDescent="0.3">
      <c r="A345" s="1822"/>
      <c r="B345" s="1687"/>
      <c r="C345" s="1558" t="s">
        <v>441</v>
      </c>
      <c r="D345" s="1558"/>
      <c r="E345" s="894">
        <f t="shared" ref="E345:K345" si="20">+E344-E343</f>
        <v>6.6000000000000085</v>
      </c>
      <c r="F345" s="894">
        <f t="shared" si="20"/>
        <v>4.1999999999999886</v>
      </c>
      <c r="G345" s="894">
        <f t="shared" si="20"/>
        <v>6.5999999999999943</v>
      </c>
      <c r="H345" s="894">
        <f t="shared" si="20"/>
        <v>5.8999999999999915</v>
      </c>
      <c r="I345" s="894">
        <f t="shared" si="20"/>
        <v>4.7000000000000028</v>
      </c>
      <c r="J345" s="895">
        <f t="shared" si="20"/>
        <v>4.5648448739478766</v>
      </c>
      <c r="K345" s="895">
        <f t="shared" si="20"/>
        <v>4.4000000000000057</v>
      </c>
      <c r="L345" s="53"/>
    </row>
    <row r="346" spans="1:14" x14ac:dyDescent="0.25">
      <c r="A346" s="1822"/>
      <c r="B346" s="1612" t="s">
        <v>192</v>
      </c>
      <c r="C346" s="1250" t="s">
        <v>251</v>
      </c>
      <c r="D346" s="1250"/>
      <c r="E346" s="585"/>
      <c r="F346" s="590"/>
      <c r="G346" s="591">
        <v>8337</v>
      </c>
      <c r="H346" s="591">
        <v>9466</v>
      </c>
      <c r="I346" s="591">
        <v>9599</v>
      </c>
      <c r="J346" s="547">
        <v>10020</v>
      </c>
      <c r="K346" s="195">
        <v>11038</v>
      </c>
      <c r="L346" s="20"/>
    </row>
    <row r="347" spans="1:14" x14ac:dyDescent="0.25">
      <c r="A347" s="1822"/>
      <c r="B347" s="1613"/>
      <c r="C347" s="1236" t="s">
        <v>257</v>
      </c>
      <c r="D347" s="1236"/>
      <c r="E347" s="580"/>
      <c r="F347" s="583"/>
      <c r="G347" s="584">
        <v>4078</v>
      </c>
      <c r="H347" s="584">
        <v>4719</v>
      </c>
      <c r="I347" s="584">
        <v>4732</v>
      </c>
      <c r="J347" s="404">
        <v>4915</v>
      </c>
      <c r="K347" s="96">
        <v>5306</v>
      </c>
      <c r="L347" s="21"/>
    </row>
    <row r="348" spans="1:14" x14ac:dyDescent="0.25">
      <c r="A348" s="1822"/>
      <c r="B348" s="1613"/>
      <c r="C348" s="1236" t="s">
        <v>263</v>
      </c>
      <c r="D348" s="1236"/>
      <c r="E348" s="580"/>
      <c r="F348" s="583"/>
      <c r="G348" s="584">
        <v>4259</v>
      </c>
      <c r="H348" s="584">
        <v>4747</v>
      </c>
      <c r="I348" s="584">
        <v>4867</v>
      </c>
      <c r="J348" s="404">
        <v>5105</v>
      </c>
      <c r="K348" s="96">
        <v>5732</v>
      </c>
      <c r="L348" s="21"/>
    </row>
    <row r="349" spans="1:14" x14ac:dyDescent="0.25">
      <c r="A349" s="1869"/>
      <c r="B349" s="1687"/>
      <c r="C349" s="1142" t="s">
        <v>270</v>
      </c>
      <c r="D349" s="1615"/>
      <c r="E349" s="592"/>
      <c r="F349" s="816"/>
      <c r="G349" s="525">
        <f>G348/G346*100</f>
        <v>51.085522370157136</v>
      </c>
      <c r="H349" s="525">
        <f>H348/H346*100</f>
        <v>50.147897739277411</v>
      </c>
      <c r="I349" s="525">
        <f>I348/I346*100</f>
        <v>50.703198249817696</v>
      </c>
      <c r="J349" s="525">
        <f>J348/J346*100</f>
        <v>50.948103792415168</v>
      </c>
      <c r="K349" s="525">
        <f>K348/K346*100</f>
        <v>51.929697408950894</v>
      </c>
      <c r="L349" s="53"/>
    </row>
    <row r="350" spans="1:14" ht="16.5" thickBot="1" x14ac:dyDescent="0.3">
      <c r="A350" s="338" t="s">
        <v>248</v>
      </c>
      <c r="B350" s="463" t="s">
        <v>249</v>
      </c>
      <c r="C350" s="1422"/>
      <c r="D350" s="1422"/>
      <c r="E350" s="616"/>
      <c r="F350" s="616" t="s">
        <v>443</v>
      </c>
      <c r="G350" s="616" t="s">
        <v>444</v>
      </c>
      <c r="H350" s="616" t="s">
        <v>445</v>
      </c>
      <c r="I350" s="616" t="s">
        <v>446</v>
      </c>
      <c r="J350" s="616" t="s">
        <v>447</v>
      </c>
      <c r="K350" s="616" t="s">
        <v>448</v>
      </c>
      <c r="L350" s="616" t="s">
        <v>449</v>
      </c>
    </row>
    <row r="351" spans="1:14" ht="15" customHeight="1" x14ac:dyDescent="0.25">
      <c r="A351" s="1801" t="s">
        <v>450</v>
      </c>
      <c r="B351" s="1900" t="s">
        <v>199</v>
      </c>
      <c r="C351" s="1347" t="s">
        <v>451</v>
      </c>
      <c r="D351" s="430" t="s">
        <v>435</v>
      </c>
      <c r="E351" s="195"/>
      <c r="F351" s="195">
        <v>14112</v>
      </c>
      <c r="G351" s="195">
        <v>14352</v>
      </c>
      <c r="H351" s="195">
        <v>14315</v>
      </c>
      <c r="I351" s="195">
        <v>14016</v>
      </c>
      <c r="J351" s="195">
        <v>13644</v>
      </c>
      <c r="K351" s="195">
        <v>13449</v>
      </c>
      <c r="L351" s="20"/>
    </row>
    <row r="352" spans="1:14" x14ac:dyDescent="0.25">
      <c r="A352" s="1802"/>
      <c r="B352" s="1569"/>
      <c r="C352" s="1348"/>
      <c r="D352" s="428" t="s">
        <v>436</v>
      </c>
      <c r="E352" s="96"/>
      <c r="F352" s="96">
        <v>7253</v>
      </c>
      <c r="G352" s="96">
        <v>7378</v>
      </c>
      <c r="H352" s="96">
        <v>7285</v>
      </c>
      <c r="I352" s="96">
        <v>7161</v>
      </c>
      <c r="J352" s="96">
        <v>6956</v>
      </c>
      <c r="K352" s="96">
        <v>6886</v>
      </c>
      <c r="L352" s="21"/>
    </row>
    <row r="353" spans="1:12" x14ac:dyDescent="0.25">
      <c r="A353" s="1802"/>
      <c r="B353" s="1569"/>
      <c r="C353" s="1348"/>
      <c r="D353" s="428" t="s">
        <v>437</v>
      </c>
      <c r="E353" s="96"/>
      <c r="F353" s="96">
        <v>6859</v>
      </c>
      <c r="G353" s="96">
        <v>6974</v>
      </c>
      <c r="H353" s="96">
        <v>5900</v>
      </c>
      <c r="I353" s="96">
        <v>6855</v>
      </c>
      <c r="J353" s="96">
        <v>6688</v>
      </c>
      <c r="K353" s="96">
        <v>6563</v>
      </c>
      <c r="L353" s="21"/>
    </row>
    <row r="354" spans="1:12" ht="15" customHeight="1" x14ac:dyDescent="0.25">
      <c r="A354" s="1802"/>
      <c r="B354" s="1569"/>
      <c r="C354" s="1348" t="s">
        <v>452</v>
      </c>
      <c r="D354" s="427" t="s">
        <v>435</v>
      </c>
      <c r="E354" s="157"/>
      <c r="F354" s="157">
        <f>F355+F356</f>
        <v>10263</v>
      </c>
      <c r="G354" s="157">
        <f t="shared" ref="G354:J354" si="21">G355+G356</f>
        <v>10345</v>
      </c>
      <c r="H354" s="157">
        <f t="shared" si="21"/>
        <v>9680</v>
      </c>
      <c r="I354" s="157">
        <f t="shared" si="21"/>
        <v>9447</v>
      </c>
      <c r="J354" s="157">
        <f t="shared" si="21"/>
        <v>9584</v>
      </c>
      <c r="K354" s="157">
        <f>SUM(K355:K356)</f>
        <v>9453</v>
      </c>
      <c r="L354" s="21"/>
    </row>
    <row r="355" spans="1:12" x14ac:dyDescent="0.25">
      <c r="A355" s="1802"/>
      <c r="B355" s="1569"/>
      <c r="C355" s="1348"/>
      <c r="D355" s="428" t="s">
        <v>436</v>
      </c>
      <c r="E355" s="96"/>
      <c r="F355" s="96">
        <v>5266</v>
      </c>
      <c r="G355" s="96">
        <v>5201</v>
      </c>
      <c r="H355" s="96">
        <v>4929</v>
      </c>
      <c r="I355" s="96">
        <v>4846</v>
      </c>
      <c r="J355" s="96">
        <v>4928</v>
      </c>
      <c r="K355" s="157">
        <v>4917</v>
      </c>
      <c r="L355" s="21"/>
    </row>
    <row r="356" spans="1:12" ht="16.5" thickBot="1" x14ac:dyDescent="0.3">
      <c r="A356" s="1802"/>
      <c r="B356" s="1569"/>
      <c r="C356" s="1506"/>
      <c r="D356" s="434" t="s">
        <v>437</v>
      </c>
      <c r="E356" s="360"/>
      <c r="F356" s="360">
        <v>4997</v>
      </c>
      <c r="G356" s="360">
        <v>5144</v>
      </c>
      <c r="H356" s="360">
        <v>4751</v>
      </c>
      <c r="I356" s="360">
        <v>4601</v>
      </c>
      <c r="J356" s="360">
        <v>4656</v>
      </c>
      <c r="K356" s="441">
        <v>4536</v>
      </c>
      <c r="L356" s="53"/>
    </row>
    <row r="357" spans="1:12" x14ac:dyDescent="0.25">
      <c r="A357" s="1802"/>
      <c r="B357" s="1569"/>
      <c r="C357" s="1352" t="s">
        <v>453</v>
      </c>
      <c r="D357" s="1250"/>
      <c r="E357" s="195"/>
      <c r="F357" s="37">
        <f>+(F354/F351)*100</f>
        <v>72.725340136054413</v>
      </c>
      <c r="G357" s="37">
        <f t="shared" ref="G357:J357" si="22">+(G354/G351)*100</f>
        <v>72.080546265328877</v>
      </c>
      <c r="H357" s="37">
        <f t="shared" si="22"/>
        <v>67.621376178833387</v>
      </c>
      <c r="I357" s="37">
        <f t="shared" si="22"/>
        <v>67.401541095890423</v>
      </c>
      <c r="J357" s="37">
        <f t="shared" si="22"/>
        <v>70.243330401641742</v>
      </c>
      <c r="K357" s="37">
        <f>+(K354/K351)*100</f>
        <v>70.28775373633728</v>
      </c>
      <c r="L357" s="20"/>
    </row>
    <row r="358" spans="1:12" x14ac:dyDescent="0.25">
      <c r="A358" s="1802"/>
      <c r="B358" s="1569"/>
      <c r="C358" s="1363" t="s">
        <v>454</v>
      </c>
      <c r="D358" s="1236"/>
      <c r="E358" s="28"/>
      <c r="F358" s="187">
        <f>F355/F352*100</f>
        <v>72.604439542258376</v>
      </c>
      <c r="G358" s="187">
        <f>G355/G352*100</f>
        <v>70.493358633776097</v>
      </c>
      <c r="H358" s="187">
        <f t="shared" ref="H358:I358" si="23">H355/H352*100</f>
        <v>67.659574468085111</v>
      </c>
      <c r="I358" s="187">
        <f t="shared" si="23"/>
        <v>67.672112833403148</v>
      </c>
      <c r="J358" s="187">
        <f>J355/J352*100</f>
        <v>70.845313398504885</v>
      </c>
      <c r="K358" s="187">
        <f>K355/K352*100</f>
        <v>71.405750798722039</v>
      </c>
      <c r="L358" s="21"/>
    </row>
    <row r="359" spans="1:12" x14ac:dyDescent="0.25">
      <c r="A359" s="1802"/>
      <c r="B359" s="1569"/>
      <c r="C359" s="1363" t="s">
        <v>455</v>
      </c>
      <c r="D359" s="1236"/>
      <c r="E359" s="28"/>
      <c r="F359" s="187">
        <f>F356/F353*100</f>
        <v>72.853185595567865</v>
      </c>
      <c r="G359" s="187">
        <f>G356/G353*100</f>
        <v>73.759678806997414</v>
      </c>
      <c r="H359" s="187">
        <f t="shared" ref="H359:I359" si="24">H356/H353*100</f>
        <v>80.525423728813564</v>
      </c>
      <c r="I359" s="187">
        <f t="shared" si="24"/>
        <v>67.118891320204227</v>
      </c>
      <c r="J359" s="187">
        <f>J356/J353*100</f>
        <v>69.617224880382778</v>
      </c>
      <c r="K359" s="187">
        <f>K356/K353*100</f>
        <v>69.114734115495963</v>
      </c>
      <c r="L359" s="21"/>
    </row>
    <row r="360" spans="1:12" x14ac:dyDescent="0.25">
      <c r="A360" s="1871"/>
      <c r="B360" s="1570"/>
      <c r="C360" s="1383" t="s">
        <v>354</v>
      </c>
      <c r="D360" s="1384"/>
      <c r="E360" s="336"/>
      <c r="F360" s="454">
        <f>+F359-F358</f>
        <v>0.24874605330948896</v>
      </c>
      <c r="G360" s="593">
        <f t="shared" ref="G360:I360" si="25">+G359-G358</f>
        <v>3.2663201732213167</v>
      </c>
      <c r="H360" s="593">
        <f t="shared" si="25"/>
        <v>12.865849260728453</v>
      </c>
      <c r="I360" s="349">
        <f t="shared" si="25"/>
        <v>-0.55322151319892043</v>
      </c>
      <c r="J360" s="349">
        <f>+J359-J358</f>
        <v>-1.2280885181221066</v>
      </c>
      <c r="K360" s="349">
        <f>+K359-K358</f>
        <v>-2.2910166832260757</v>
      </c>
      <c r="L360" s="53"/>
    </row>
    <row r="361" spans="1:12" ht="16.5" thickBot="1" x14ac:dyDescent="0.3">
      <c r="A361" s="338" t="s">
        <v>248</v>
      </c>
      <c r="B361" s="463" t="s">
        <v>249</v>
      </c>
      <c r="C361" s="1422"/>
      <c r="D361" s="1422"/>
      <c r="E361" s="616" t="s">
        <v>442</v>
      </c>
      <c r="F361" s="616" t="s">
        <v>443</v>
      </c>
      <c r="G361" s="616" t="s">
        <v>444</v>
      </c>
      <c r="H361" s="616" t="s">
        <v>445</v>
      </c>
      <c r="I361" s="616" t="s">
        <v>446</v>
      </c>
      <c r="J361" s="616" t="s">
        <v>447</v>
      </c>
      <c r="K361" s="616" t="s">
        <v>448</v>
      </c>
      <c r="L361" s="616" t="s">
        <v>449</v>
      </c>
    </row>
    <row r="362" spans="1:12" ht="15" customHeight="1" x14ac:dyDescent="0.25">
      <c r="A362" s="1892" t="s">
        <v>456</v>
      </c>
      <c r="B362" s="1150" t="s">
        <v>457</v>
      </c>
      <c r="C362" s="1187" t="s">
        <v>458</v>
      </c>
      <c r="D362" s="229" t="s">
        <v>459</v>
      </c>
      <c r="E362" s="195" t="s">
        <v>460</v>
      </c>
      <c r="F362" s="195">
        <v>2519</v>
      </c>
      <c r="G362" s="195">
        <v>2581</v>
      </c>
      <c r="H362" s="195">
        <v>3404</v>
      </c>
      <c r="I362" s="195">
        <v>3391</v>
      </c>
      <c r="J362" s="195">
        <v>3323</v>
      </c>
      <c r="K362" s="195">
        <v>3389</v>
      </c>
      <c r="L362" s="20"/>
    </row>
    <row r="363" spans="1:12" ht="14.1" customHeight="1" x14ac:dyDescent="0.25">
      <c r="A363" s="1776"/>
      <c r="B363" s="1151"/>
      <c r="C363" s="1173"/>
      <c r="D363" s="227" t="s">
        <v>436</v>
      </c>
      <c r="E363" s="96"/>
      <c r="F363" s="96">
        <v>1233</v>
      </c>
      <c r="G363" s="96">
        <v>1292</v>
      </c>
      <c r="H363" s="96">
        <v>1654</v>
      </c>
      <c r="I363" s="96">
        <v>1620</v>
      </c>
      <c r="J363" s="96">
        <v>1601</v>
      </c>
      <c r="K363" s="157">
        <v>1688</v>
      </c>
      <c r="L363" s="21"/>
    </row>
    <row r="364" spans="1:12" x14ac:dyDescent="0.25">
      <c r="A364" s="1776"/>
      <c r="B364" s="1151"/>
      <c r="C364" s="1173"/>
      <c r="D364" s="227" t="s">
        <v>437</v>
      </c>
      <c r="E364" s="96"/>
      <c r="F364" s="96">
        <v>1286</v>
      </c>
      <c r="G364" s="96">
        <v>1289</v>
      </c>
      <c r="H364" s="96">
        <v>1750</v>
      </c>
      <c r="I364" s="96">
        <v>1771</v>
      </c>
      <c r="J364" s="96">
        <v>1722</v>
      </c>
      <c r="K364" s="157">
        <v>1701</v>
      </c>
      <c r="L364" s="21"/>
    </row>
    <row r="365" spans="1:12" ht="15" customHeight="1" x14ac:dyDescent="0.25">
      <c r="A365" s="1776"/>
      <c r="B365" s="1151"/>
      <c r="C365" s="1173" t="s">
        <v>461</v>
      </c>
      <c r="D365" s="226" t="s">
        <v>459</v>
      </c>
      <c r="E365" s="157"/>
      <c r="F365" s="157">
        <v>1198</v>
      </c>
      <c r="G365" s="157">
        <f>673+624</f>
        <v>1297</v>
      </c>
      <c r="H365" s="157">
        <v>1528</v>
      </c>
      <c r="I365" s="157">
        <v>2040</v>
      </c>
      <c r="J365" s="157">
        <f>979+999</f>
        <v>1978</v>
      </c>
      <c r="K365" s="157">
        <v>1486</v>
      </c>
      <c r="L365" s="21"/>
    </row>
    <row r="366" spans="1:12" x14ac:dyDescent="0.25">
      <c r="A366" s="1776"/>
      <c r="B366" s="1151"/>
      <c r="C366" s="1173"/>
      <c r="D366" s="227" t="s">
        <v>436</v>
      </c>
      <c r="E366" s="96"/>
      <c r="F366" s="96">
        <v>666</v>
      </c>
      <c r="G366" s="96">
        <f>352+349</f>
        <v>701</v>
      </c>
      <c r="H366" s="96">
        <v>830</v>
      </c>
      <c r="I366" s="96">
        <v>1041</v>
      </c>
      <c r="J366" s="96">
        <f>498+525</f>
        <v>1023</v>
      </c>
      <c r="K366" s="157">
        <v>820</v>
      </c>
      <c r="L366" s="21"/>
    </row>
    <row r="367" spans="1:12" ht="16.5" thickBot="1" x14ac:dyDescent="0.3">
      <c r="A367" s="1776"/>
      <c r="B367" s="1151"/>
      <c r="C367" s="1797"/>
      <c r="D367" s="511" t="s">
        <v>437</v>
      </c>
      <c r="E367" s="360"/>
      <c r="F367" s="360">
        <v>532</v>
      </c>
      <c r="G367" s="360">
        <f>321+275</f>
        <v>596</v>
      </c>
      <c r="H367" s="360">
        <v>698</v>
      </c>
      <c r="I367" s="360">
        <v>999</v>
      </c>
      <c r="J367" s="360">
        <f>481+474</f>
        <v>955</v>
      </c>
      <c r="K367" s="441">
        <v>666</v>
      </c>
      <c r="L367" s="53"/>
    </row>
    <row r="368" spans="1:12" x14ac:dyDescent="0.25">
      <c r="A368" s="1776"/>
      <c r="B368" s="1151"/>
      <c r="C368" s="1389" t="s">
        <v>462</v>
      </c>
      <c r="D368" s="1390"/>
      <c r="E368" s="225"/>
      <c r="F368" s="283">
        <f>F366/F363*100</f>
        <v>54.014598540145982</v>
      </c>
      <c r="G368" s="283">
        <f>G366/G363*100</f>
        <v>54.256965944272451</v>
      </c>
      <c r="H368" s="283">
        <f t="shared" ref="H368:I369" si="26">H366/H363*100</f>
        <v>50.181378476420804</v>
      </c>
      <c r="I368" s="283">
        <f t="shared" si="26"/>
        <v>64.259259259259267</v>
      </c>
      <c r="J368" s="283">
        <f>J366/J363*100</f>
        <v>63.897564022485945</v>
      </c>
      <c r="K368" s="283">
        <f>K366/K363*100</f>
        <v>48.578199052132703</v>
      </c>
      <c r="L368" s="20"/>
    </row>
    <row r="369" spans="1:12" x14ac:dyDescent="0.25">
      <c r="A369" s="1776"/>
      <c r="B369" s="1151"/>
      <c r="C369" s="1123" t="s">
        <v>463</v>
      </c>
      <c r="D369" s="1124"/>
      <c r="E369" s="96"/>
      <c r="F369" s="29">
        <f>F367/F364*100</f>
        <v>41.368584758942454</v>
      </c>
      <c r="G369" s="29">
        <f>G367/G364*100</f>
        <v>46.23739332816136</v>
      </c>
      <c r="H369" s="29">
        <f t="shared" si="26"/>
        <v>39.885714285714286</v>
      </c>
      <c r="I369" s="29">
        <f t="shared" si="26"/>
        <v>56.408808582721626</v>
      </c>
      <c r="J369" s="29">
        <f>J367/J364*100</f>
        <v>55.458768873403017</v>
      </c>
      <c r="K369" s="29">
        <f>K367/K364*100</f>
        <v>39.153439153439152</v>
      </c>
      <c r="L369" s="21"/>
    </row>
    <row r="370" spans="1:12" ht="16.5" thickBot="1" x14ac:dyDescent="0.3">
      <c r="A370" s="1776"/>
      <c r="B370" s="1152"/>
      <c r="C370" s="1359" t="s">
        <v>354</v>
      </c>
      <c r="D370" s="1225"/>
      <c r="E370" s="203"/>
      <c r="F370" s="161">
        <f>+F369-F368</f>
        <v>-12.646013781203528</v>
      </c>
      <c r="G370" s="161">
        <f t="shared" ref="G370:I370" si="27">+G369-G368</f>
        <v>-8.0195726161110912</v>
      </c>
      <c r="H370" s="161">
        <f t="shared" si="27"/>
        <v>-10.295664190706518</v>
      </c>
      <c r="I370" s="161">
        <f t="shared" si="27"/>
        <v>-7.8504506765376405</v>
      </c>
      <c r="J370" s="161">
        <f>+J369-J368</f>
        <v>-8.438795149082928</v>
      </c>
      <c r="K370" s="161">
        <f>+K369-K368</f>
        <v>-9.4247598986935515</v>
      </c>
      <c r="L370" s="22"/>
    </row>
    <row r="371" spans="1:12" ht="16.5" thickBot="1" x14ac:dyDescent="0.3">
      <c r="A371" s="1775"/>
      <c r="B371" s="823" t="s">
        <v>249</v>
      </c>
      <c r="C371" s="1675"/>
      <c r="D371" s="1675"/>
      <c r="E371" s="112" t="s">
        <v>442</v>
      </c>
      <c r="F371" s="112" t="s">
        <v>443</v>
      </c>
      <c r="G371" s="112" t="s">
        <v>444</v>
      </c>
      <c r="H371" s="112" t="s">
        <v>445</v>
      </c>
      <c r="I371" s="112" t="s">
        <v>446</v>
      </c>
      <c r="J371" s="112" t="s">
        <v>447</v>
      </c>
      <c r="K371" s="112" t="s">
        <v>448</v>
      </c>
      <c r="L371" s="112" t="s">
        <v>449</v>
      </c>
    </row>
    <row r="372" spans="1:12" ht="15" customHeight="1" x14ac:dyDescent="0.25">
      <c r="A372" s="1776"/>
      <c r="B372" s="1744" t="s">
        <v>464</v>
      </c>
      <c r="C372" s="1251" t="s">
        <v>459</v>
      </c>
      <c r="D372" s="1206"/>
      <c r="E372" s="36"/>
      <c r="F372" s="195">
        <v>281</v>
      </c>
      <c r="G372" s="195">
        <v>375</v>
      </c>
      <c r="H372" s="195">
        <v>967</v>
      </c>
      <c r="I372" s="195">
        <v>1183</v>
      </c>
      <c r="J372" s="195">
        <v>2014</v>
      </c>
      <c r="K372" s="195">
        <v>2151</v>
      </c>
      <c r="L372" s="20"/>
    </row>
    <row r="373" spans="1:12" x14ac:dyDescent="0.25">
      <c r="A373" s="1776"/>
      <c r="B373" s="1678"/>
      <c r="C373" s="1123" t="s">
        <v>436</v>
      </c>
      <c r="D373" s="1124"/>
      <c r="E373" s="96"/>
      <c r="F373" s="96">
        <v>157</v>
      </c>
      <c r="G373" s="96">
        <v>196</v>
      </c>
      <c r="H373" s="96">
        <v>699</v>
      </c>
      <c r="I373" s="96">
        <v>767</v>
      </c>
      <c r="J373" s="96">
        <v>1104</v>
      </c>
      <c r="K373" s="96">
        <v>1109</v>
      </c>
      <c r="L373" s="21"/>
    </row>
    <row r="374" spans="1:12" x14ac:dyDescent="0.25">
      <c r="A374" s="1776"/>
      <c r="B374" s="1678"/>
      <c r="C374" s="1123" t="s">
        <v>437</v>
      </c>
      <c r="D374" s="1124"/>
      <c r="E374" s="96"/>
      <c r="F374" s="96">
        <v>124</v>
      </c>
      <c r="G374" s="96">
        <v>179</v>
      </c>
      <c r="H374" s="96">
        <v>268</v>
      </c>
      <c r="I374" s="96">
        <v>416</v>
      </c>
      <c r="J374" s="96">
        <v>910</v>
      </c>
      <c r="K374" s="96">
        <v>1042</v>
      </c>
      <c r="L374" s="21"/>
    </row>
    <row r="375" spans="1:12" ht="16.5" thickBot="1" x14ac:dyDescent="0.3">
      <c r="A375" s="1776"/>
      <c r="B375" s="1678"/>
      <c r="C375" s="1170" t="s">
        <v>270</v>
      </c>
      <c r="D375" s="1155"/>
      <c r="E375" s="190"/>
      <c r="F375" s="285">
        <f t="shared" ref="F375:J375" si="28">F374/F372*100</f>
        <v>44.128113879003564</v>
      </c>
      <c r="G375" s="285">
        <f t="shared" si="28"/>
        <v>47.733333333333334</v>
      </c>
      <c r="H375" s="285">
        <f t="shared" si="28"/>
        <v>27.714581178903824</v>
      </c>
      <c r="I375" s="285">
        <f t="shared" si="28"/>
        <v>35.164835164835168</v>
      </c>
      <c r="J375" s="285">
        <f t="shared" si="28"/>
        <v>45.183714001986097</v>
      </c>
      <c r="K375" s="285">
        <f>K374/K372*100</f>
        <v>48.442584844258484</v>
      </c>
      <c r="L375" s="22"/>
    </row>
    <row r="376" spans="1:12" x14ac:dyDescent="0.25">
      <c r="A376" s="1776"/>
      <c r="B376" s="1678"/>
      <c r="C376" s="1659" t="s">
        <v>466</v>
      </c>
      <c r="D376" s="241" t="s">
        <v>251</v>
      </c>
      <c r="E376" s="242"/>
      <c r="F376" s="243">
        <v>161</v>
      </c>
      <c r="G376" s="243">
        <v>159</v>
      </c>
      <c r="H376" s="243">
        <v>105</v>
      </c>
      <c r="I376" s="243">
        <v>113</v>
      </c>
      <c r="J376" s="243">
        <v>100</v>
      </c>
      <c r="K376" s="122">
        <v>109</v>
      </c>
      <c r="L376" s="87"/>
    </row>
    <row r="377" spans="1:12" x14ac:dyDescent="0.25">
      <c r="A377" s="1776"/>
      <c r="B377" s="1678"/>
      <c r="C377" s="1160"/>
      <c r="D377" s="28" t="s">
        <v>257</v>
      </c>
      <c r="E377" s="94"/>
      <c r="F377" s="80">
        <v>44</v>
      </c>
      <c r="G377" s="80">
        <v>70</v>
      </c>
      <c r="H377" s="80">
        <v>60</v>
      </c>
      <c r="I377" s="80">
        <v>60</v>
      </c>
      <c r="J377" s="80">
        <v>50</v>
      </c>
      <c r="K377" s="28">
        <v>53</v>
      </c>
      <c r="L377" s="21"/>
    </row>
    <row r="378" spans="1:12" x14ac:dyDescent="0.25">
      <c r="A378" s="1776"/>
      <c r="B378" s="1678"/>
      <c r="C378" s="1160"/>
      <c r="D378" s="28" t="s">
        <v>263</v>
      </c>
      <c r="E378" s="94"/>
      <c r="F378" s="80">
        <v>117</v>
      </c>
      <c r="G378" s="80">
        <v>89</v>
      </c>
      <c r="H378" s="80">
        <v>45</v>
      </c>
      <c r="I378" s="80">
        <v>53</v>
      </c>
      <c r="J378" s="80">
        <v>50</v>
      </c>
      <c r="K378" s="28">
        <v>56</v>
      </c>
      <c r="L378" s="21"/>
    </row>
    <row r="379" spans="1:12" ht="16.5" thickBot="1" x14ac:dyDescent="0.3">
      <c r="A379" s="1776"/>
      <c r="B379" s="1678"/>
      <c r="C379" s="1161"/>
      <c r="D379" s="203" t="s">
        <v>270</v>
      </c>
      <c r="E379" s="104"/>
      <c r="F379" s="251">
        <f>(F378/F376)*100</f>
        <v>72.67080745341616</v>
      </c>
      <c r="G379" s="252">
        <f t="shared" ref="G379:J379" si="29">(G378/G376)*100</f>
        <v>55.974842767295598</v>
      </c>
      <c r="H379" s="252">
        <f t="shared" si="29"/>
        <v>42.857142857142854</v>
      </c>
      <c r="I379" s="252">
        <f t="shared" si="29"/>
        <v>46.902654867256636</v>
      </c>
      <c r="J379" s="252">
        <f t="shared" si="29"/>
        <v>50</v>
      </c>
      <c r="K379" s="252">
        <f>(K378/K376)*100</f>
        <v>51.37614678899083</v>
      </c>
      <c r="L379" s="22"/>
    </row>
    <row r="380" spans="1:12" ht="14.85" customHeight="1" x14ac:dyDescent="0.25">
      <c r="A380" s="1776"/>
      <c r="B380" s="1678"/>
      <c r="C380" s="1159" t="s">
        <v>467</v>
      </c>
      <c r="D380" s="248" t="s">
        <v>251</v>
      </c>
      <c r="E380" s="249"/>
      <c r="F380" s="250">
        <v>67</v>
      </c>
      <c r="G380" s="250">
        <v>48</v>
      </c>
      <c r="H380" s="250">
        <v>111</v>
      </c>
      <c r="I380" s="250">
        <v>175</v>
      </c>
      <c r="J380" s="250">
        <v>190</v>
      </c>
      <c r="K380" s="36">
        <v>210</v>
      </c>
      <c r="L380" s="20"/>
    </row>
    <row r="381" spans="1:12" x14ac:dyDescent="0.25">
      <c r="A381" s="1776"/>
      <c r="B381" s="1678"/>
      <c r="C381" s="1160"/>
      <c r="D381" s="28" t="s">
        <v>257</v>
      </c>
      <c r="E381" s="94"/>
      <c r="F381" s="80">
        <v>61</v>
      </c>
      <c r="G381" s="80">
        <v>44</v>
      </c>
      <c r="H381" s="80">
        <v>104</v>
      </c>
      <c r="I381" s="80">
        <v>165</v>
      </c>
      <c r="J381" s="80">
        <v>173</v>
      </c>
      <c r="K381" s="28">
        <v>188</v>
      </c>
      <c r="L381" s="21"/>
    </row>
    <row r="382" spans="1:12" x14ac:dyDescent="0.25">
      <c r="A382" s="1776"/>
      <c r="B382" s="1678"/>
      <c r="C382" s="1160"/>
      <c r="D382" s="28" t="s">
        <v>263</v>
      </c>
      <c r="E382" s="94"/>
      <c r="F382" s="80">
        <v>6</v>
      </c>
      <c r="G382" s="80">
        <v>4</v>
      </c>
      <c r="H382" s="80">
        <v>7</v>
      </c>
      <c r="I382" s="80">
        <v>10</v>
      </c>
      <c r="J382" s="80">
        <v>17</v>
      </c>
      <c r="K382" s="28">
        <v>22</v>
      </c>
      <c r="L382" s="21"/>
    </row>
    <row r="383" spans="1:12" ht="16.5" thickBot="1" x14ac:dyDescent="0.3">
      <c r="A383" s="1776"/>
      <c r="B383" s="1678"/>
      <c r="C383" s="1161"/>
      <c r="D383" s="203" t="s">
        <v>270</v>
      </c>
      <c r="E383" s="104"/>
      <c r="F383" s="253">
        <f>(F382/F380)*100</f>
        <v>8.9552238805970141</v>
      </c>
      <c r="G383" s="253">
        <f t="shared" ref="G383:J383" si="30">(G382/G380)*100</f>
        <v>8.3333333333333321</v>
      </c>
      <c r="H383" s="253">
        <f t="shared" si="30"/>
        <v>6.3063063063063058</v>
      </c>
      <c r="I383" s="253">
        <f t="shared" si="30"/>
        <v>5.7142857142857144</v>
      </c>
      <c r="J383" s="253">
        <f t="shared" si="30"/>
        <v>8.9473684210526319</v>
      </c>
      <c r="K383" s="253">
        <f>(K382/K380)*100</f>
        <v>10.476190476190476</v>
      </c>
      <c r="L383" s="22"/>
    </row>
    <row r="384" spans="1:12" ht="14.85" customHeight="1" x14ac:dyDescent="0.25">
      <c r="A384" s="1776"/>
      <c r="B384" s="1678"/>
      <c r="C384" s="1159" t="s">
        <v>582</v>
      </c>
      <c r="D384" s="248" t="s">
        <v>251</v>
      </c>
      <c r="E384" s="249"/>
      <c r="F384" s="250">
        <v>53</v>
      </c>
      <c r="G384" s="250">
        <v>20</v>
      </c>
      <c r="H384" s="250">
        <v>325</v>
      </c>
      <c r="I384" s="250">
        <v>307</v>
      </c>
      <c r="J384" s="250">
        <v>302</v>
      </c>
      <c r="K384" s="36">
        <v>262</v>
      </c>
      <c r="L384" s="20"/>
    </row>
    <row r="385" spans="1:12" ht="14.85" customHeight="1" x14ac:dyDescent="0.25">
      <c r="A385" s="1776"/>
      <c r="B385" s="1678"/>
      <c r="C385" s="1160"/>
      <c r="D385" s="28" t="s">
        <v>257</v>
      </c>
      <c r="E385" s="94"/>
      <c r="F385" s="80">
        <v>52</v>
      </c>
      <c r="G385" s="80">
        <v>20</v>
      </c>
      <c r="H385" s="80">
        <v>309</v>
      </c>
      <c r="I385" s="80">
        <v>295</v>
      </c>
      <c r="J385" s="80">
        <v>291</v>
      </c>
      <c r="K385" s="28">
        <v>252</v>
      </c>
      <c r="L385" s="21"/>
    </row>
    <row r="386" spans="1:12" x14ac:dyDescent="0.25">
      <c r="A386" s="1776"/>
      <c r="B386" s="1678"/>
      <c r="C386" s="1160"/>
      <c r="D386" s="28" t="s">
        <v>263</v>
      </c>
      <c r="E386" s="94"/>
      <c r="F386" s="80">
        <v>1</v>
      </c>
      <c r="G386" s="80">
        <v>0</v>
      </c>
      <c r="H386" s="80">
        <v>16</v>
      </c>
      <c r="I386" s="80">
        <v>12</v>
      </c>
      <c r="J386" s="80">
        <v>11</v>
      </c>
      <c r="K386" s="28">
        <v>10</v>
      </c>
      <c r="L386" s="21"/>
    </row>
    <row r="387" spans="1:12" ht="16.5" thickBot="1" x14ac:dyDescent="0.3">
      <c r="A387" s="1776"/>
      <c r="B387" s="1678"/>
      <c r="C387" s="1161"/>
      <c r="D387" s="203" t="s">
        <v>270</v>
      </c>
      <c r="E387" s="106"/>
      <c r="F387" s="253">
        <f>(F386/F384)*100</f>
        <v>1.8867924528301887</v>
      </c>
      <c r="G387" s="253">
        <f t="shared" ref="G387:J387" si="31">(G386/G384)*100</f>
        <v>0</v>
      </c>
      <c r="H387" s="253">
        <f t="shared" si="31"/>
        <v>4.9230769230769234</v>
      </c>
      <c r="I387" s="253">
        <f t="shared" si="31"/>
        <v>3.9087947882736152</v>
      </c>
      <c r="J387" s="253">
        <f t="shared" si="31"/>
        <v>3.6423841059602649</v>
      </c>
      <c r="K387" s="253">
        <f>(K386/K384)*100</f>
        <v>3.8167938931297711</v>
      </c>
      <c r="L387" s="22"/>
    </row>
    <row r="388" spans="1:12" ht="14.85" customHeight="1" x14ac:dyDescent="0.25">
      <c r="A388" s="1776"/>
      <c r="B388" s="1678"/>
      <c r="C388" s="1159" t="s">
        <v>541</v>
      </c>
      <c r="D388" s="248" t="s">
        <v>251</v>
      </c>
      <c r="E388" s="249"/>
      <c r="F388" s="250"/>
      <c r="G388" s="250">
        <v>95</v>
      </c>
      <c r="H388" s="250">
        <v>219</v>
      </c>
      <c r="I388" s="250">
        <v>207</v>
      </c>
      <c r="J388" s="250">
        <v>206</v>
      </c>
      <c r="K388" s="36">
        <v>177</v>
      </c>
      <c r="L388" s="20"/>
    </row>
    <row r="389" spans="1:12" ht="14.85" customHeight="1" x14ac:dyDescent="0.25">
      <c r="A389" s="1776"/>
      <c r="B389" s="1678"/>
      <c r="C389" s="1160"/>
      <c r="D389" s="28" t="s">
        <v>257</v>
      </c>
      <c r="E389" s="94"/>
      <c r="F389" s="80"/>
      <c r="G389" s="80">
        <v>54</v>
      </c>
      <c r="H389" s="80">
        <v>176</v>
      </c>
      <c r="I389" s="80">
        <v>161</v>
      </c>
      <c r="J389" s="80">
        <v>160</v>
      </c>
      <c r="K389" s="28">
        <v>137</v>
      </c>
      <c r="L389" s="21"/>
    </row>
    <row r="390" spans="1:12" x14ac:dyDescent="0.25">
      <c r="A390" s="1776"/>
      <c r="B390" s="1678"/>
      <c r="C390" s="1160"/>
      <c r="D390" s="28" t="s">
        <v>263</v>
      </c>
      <c r="E390" s="94"/>
      <c r="F390" s="80"/>
      <c r="G390" s="80">
        <v>41</v>
      </c>
      <c r="H390" s="80">
        <v>43</v>
      </c>
      <c r="I390" s="80">
        <v>46</v>
      </c>
      <c r="J390" s="80">
        <v>46</v>
      </c>
      <c r="K390" s="28">
        <v>40</v>
      </c>
      <c r="L390" s="21"/>
    </row>
    <row r="391" spans="1:12" ht="16.5" thickBot="1" x14ac:dyDescent="0.3">
      <c r="A391" s="1776"/>
      <c r="B391" s="1678"/>
      <c r="C391" s="1161"/>
      <c r="D391" s="203" t="s">
        <v>270</v>
      </c>
      <c r="E391" s="104"/>
      <c r="F391" s="104"/>
      <c r="G391" s="252">
        <f t="shared" ref="G391" si="32">(G390/G388)*100</f>
        <v>43.15789473684211</v>
      </c>
      <c r="H391" s="253">
        <f>(H390/H388)*100</f>
        <v>19.634703196347029</v>
      </c>
      <c r="I391" s="253">
        <f t="shared" ref="I391:J391" si="33">(I390/I388)*100</f>
        <v>22.222222222222221</v>
      </c>
      <c r="J391" s="253">
        <f t="shared" si="33"/>
        <v>22.330097087378643</v>
      </c>
      <c r="K391" s="253">
        <f>(K390/K388)*100</f>
        <v>22.598870056497177</v>
      </c>
      <c r="L391" s="22"/>
    </row>
    <row r="392" spans="1:12" ht="14.85" customHeight="1" x14ac:dyDescent="0.25">
      <c r="A392" s="1776"/>
      <c r="B392" s="1678"/>
      <c r="C392" s="1659" t="s">
        <v>465</v>
      </c>
      <c r="D392" s="241" t="s">
        <v>251</v>
      </c>
      <c r="E392" s="242"/>
      <c r="F392" s="243"/>
      <c r="G392" s="243"/>
      <c r="H392" s="243">
        <v>186</v>
      </c>
      <c r="I392" s="243">
        <v>314</v>
      </c>
      <c r="J392" s="243">
        <v>1082</v>
      </c>
      <c r="K392" s="220">
        <v>1212</v>
      </c>
      <c r="L392" s="87"/>
    </row>
    <row r="393" spans="1:12" ht="14.85" customHeight="1" x14ac:dyDescent="0.25">
      <c r="A393" s="1776"/>
      <c r="B393" s="1678"/>
      <c r="C393" s="1160"/>
      <c r="D393" s="28" t="s">
        <v>257</v>
      </c>
      <c r="E393" s="94"/>
      <c r="F393" s="80"/>
      <c r="G393" s="80"/>
      <c r="H393" s="80">
        <v>37</v>
      </c>
      <c r="I393" s="80">
        <v>53</v>
      </c>
      <c r="J393" s="80">
        <v>350</v>
      </c>
      <c r="K393" s="28">
        <v>375</v>
      </c>
      <c r="L393" s="21"/>
    </row>
    <row r="394" spans="1:12" x14ac:dyDescent="0.25">
      <c r="A394" s="1776"/>
      <c r="B394" s="1678"/>
      <c r="C394" s="1160"/>
      <c r="D394" s="28" t="s">
        <v>263</v>
      </c>
      <c r="E394" s="94"/>
      <c r="F394" s="80"/>
      <c r="G394" s="80"/>
      <c r="H394" s="80">
        <v>149</v>
      </c>
      <c r="I394" s="80">
        <v>261</v>
      </c>
      <c r="J394" s="80">
        <v>732</v>
      </c>
      <c r="K394" s="28">
        <v>837</v>
      </c>
      <c r="L394" s="21"/>
    </row>
    <row r="395" spans="1:12" ht="16.5" thickBot="1" x14ac:dyDescent="0.3">
      <c r="A395" s="1776"/>
      <c r="B395" s="1678"/>
      <c r="C395" s="1161"/>
      <c r="D395" s="203" t="s">
        <v>270</v>
      </c>
      <c r="E395" s="104"/>
      <c r="F395" s="104"/>
      <c r="G395" s="106"/>
      <c r="H395" s="251">
        <f>(H394/H392)*100</f>
        <v>80.107526881720432</v>
      </c>
      <c r="I395" s="251">
        <f>I394/I392*100</f>
        <v>83.121019108280265</v>
      </c>
      <c r="J395" s="251">
        <f>J394/J392*100</f>
        <v>67.65249537892791</v>
      </c>
      <c r="K395" s="251">
        <f>K394/K392*100</f>
        <v>69.059405940594047</v>
      </c>
      <c r="L395" s="22"/>
    </row>
    <row r="396" spans="1:12" ht="14.85" customHeight="1" x14ac:dyDescent="0.25">
      <c r="A396" s="1776"/>
      <c r="B396" s="1678"/>
      <c r="C396" s="1159" t="s">
        <v>469</v>
      </c>
      <c r="D396" s="248" t="s">
        <v>251</v>
      </c>
      <c r="E396" s="249"/>
      <c r="F396" s="250"/>
      <c r="G396" s="250"/>
      <c r="H396" s="250">
        <v>21</v>
      </c>
      <c r="I396" s="250">
        <v>40</v>
      </c>
      <c r="J396" s="250">
        <v>87</v>
      </c>
      <c r="K396" s="36">
        <v>132</v>
      </c>
      <c r="L396" s="20"/>
    </row>
    <row r="397" spans="1:12" ht="14.85" customHeight="1" x14ac:dyDescent="0.25">
      <c r="A397" s="1776"/>
      <c r="B397" s="1678"/>
      <c r="C397" s="1160"/>
      <c r="D397" s="28" t="s">
        <v>257</v>
      </c>
      <c r="E397" s="94"/>
      <c r="F397" s="80"/>
      <c r="G397" s="80"/>
      <c r="H397" s="80">
        <v>13</v>
      </c>
      <c r="I397" s="80">
        <v>30</v>
      </c>
      <c r="J397" s="80">
        <v>76</v>
      </c>
      <c r="K397" s="28">
        <v>100</v>
      </c>
      <c r="L397" s="21"/>
    </row>
    <row r="398" spans="1:12" x14ac:dyDescent="0.25">
      <c r="A398" s="1776"/>
      <c r="B398" s="1678"/>
      <c r="C398" s="1160"/>
      <c r="D398" s="28" t="s">
        <v>263</v>
      </c>
      <c r="E398" s="94"/>
      <c r="F398" s="80"/>
      <c r="G398" s="80"/>
      <c r="H398" s="80">
        <v>8</v>
      </c>
      <c r="I398" s="80">
        <v>10</v>
      </c>
      <c r="J398" s="80">
        <v>11</v>
      </c>
      <c r="K398" s="28">
        <v>32</v>
      </c>
      <c r="L398" s="21"/>
    </row>
    <row r="399" spans="1:12" ht="16.5" thickBot="1" x14ac:dyDescent="0.3">
      <c r="A399" s="1776"/>
      <c r="B399" s="1678"/>
      <c r="C399" s="1161"/>
      <c r="D399" s="203" t="s">
        <v>270</v>
      </c>
      <c r="E399" s="104"/>
      <c r="F399" s="104"/>
      <c r="G399" s="106"/>
      <c r="H399" s="253">
        <f>(H398/H396)*100</f>
        <v>38.095238095238095</v>
      </c>
      <c r="I399" s="253">
        <f t="shared" ref="I399:J399" si="34">(I398/I396)*100</f>
        <v>25</v>
      </c>
      <c r="J399" s="253">
        <f t="shared" si="34"/>
        <v>12.643678160919542</v>
      </c>
      <c r="K399" s="253">
        <f>(K398/K396)*100</f>
        <v>24.242424242424242</v>
      </c>
      <c r="L399" s="22"/>
    </row>
    <row r="400" spans="1:12" ht="14.85" customHeight="1" x14ac:dyDescent="0.25">
      <c r="A400" s="1776"/>
      <c r="B400" s="1678"/>
      <c r="C400" s="1159" t="s">
        <v>470</v>
      </c>
      <c r="D400" s="248" t="s">
        <v>251</v>
      </c>
      <c r="E400" s="249"/>
      <c r="F400" s="250"/>
      <c r="G400" s="250"/>
      <c r="H400" s="250"/>
      <c r="I400" s="250">
        <v>27</v>
      </c>
      <c r="J400" s="250">
        <v>47</v>
      </c>
      <c r="K400" s="36">
        <v>49</v>
      </c>
      <c r="L400" s="20"/>
    </row>
    <row r="401" spans="1:12" ht="14.85" customHeight="1" x14ac:dyDescent="0.25">
      <c r="A401" s="1776"/>
      <c r="B401" s="1678"/>
      <c r="C401" s="1160"/>
      <c r="D401" s="28" t="s">
        <v>257</v>
      </c>
      <c r="E401" s="94"/>
      <c r="F401" s="80"/>
      <c r="G401" s="80"/>
      <c r="H401" s="80"/>
      <c r="I401" s="80">
        <v>3</v>
      </c>
      <c r="J401" s="80">
        <v>4</v>
      </c>
      <c r="K401" s="28">
        <v>1</v>
      </c>
      <c r="L401" s="21"/>
    </row>
    <row r="402" spans="1:12" x14ac:dyDescent="0.25">
      <c r="A402" s="1776"/>
      <c r="B402" s="1678"/>
      <c r="C402" s="1160"/>
      <c r="D402" s="28" t="s">
        <v>263</v>
      </c>
      <c r="E402" s="94"/>
      <c r="F402" s="80"/>
      <c r="G402" s="80"/>
      <c r="H402" s="80"/>
      <c r="I402" s="80">
        <v>24</v>
      </c>
      <c r="J402" s="80">
        <v>43</v>
      </c>
      <c r="K402" s="28">
        <v>48</v>
      </c>
      <c r="L402" s="21"/>
    </row>
    <row r="403" spans="1:12" ht="16.5" thickBot="1" x14ac:dyDescent="0.3">
      <c r="A403" s="1776"/>
      <c r="B403" s="1678"/>
      <c r="C403" s="1161"/>
      <c r="D403" s="203" t="s">
        <v>270</v>
      </c>
      <c r="E403" s="104"/>
      <c r="F403" s="104"/>
      <c r="G403" s="104"/>
      <c r="H403" s="106"/>
      <c r="I403" s="251">
        <f t="shared" ref="I403:J403" si="35">(I402/I400)*100</f>
        <v>88.888888888888886</v>
      </c>
      <c r="J403" s="251">
        <f t="shared" si="35"/>
        <v>91.489361702127653</v>
      </c>
      <c r="K403" s="251">
        <f>(K402/K400)*100</f>
        <v>97.959183673469383</v>
      </c>
      <c r="L403" s="22"/>
    </row>
    <row r="404" spans="1:12" ht="14.85" customHeight="1" x14ac:dyDescent="0.25">
      <c r="A404" s="1776"/>
      <c r="B404" s="1678"/>
      <c r="C404" s="1159" t="s">
        <v>583</v>
      </c>
      <c r="D404" s="248" t="s">
        <v>251</v>
      </c>
      <c r="E404" s="249"/>
      <c r="F404" s="344"/>
      <c r="G404" s="80">
        <v>53</v>
      </c>
      <c r="H404" s="344"/>
      <c r="I404" s="250"/>
      <c r="J404" s="250"/>
      <c r="K404" s="36"/>
      <c r="L404" s="20"/>
    </row>
    <row r="405" spans="1:12" ht="14.85" customHeight="1" x14ac:dyDescent="0.25">
      <c r="A405" s="1776"/>
      <c r="B405" s="1678"/>
      <c r="C405" s="1160"/>
      <c r="D405" s="28" t="s">
        <v>257</v>
      </c>
      <c r="E405" s="94"/>
      <c r="F405" s="181"/>
      <c r="G405" s="80">
        <v>8</v>
      </c>
      <c r="H405" s="181"/>
      <c r="I405" s="80"/>
      <c r="J405" s="80"/>
      <c r="K405" s="28"/>
      <c r="L405" s="21"/>
    </row>
    <row r="406" spans="1:12" x14ac:dyDescent="0.25">
      <c r="A406" s="1776"/>
      <c r="B406" s="1678"/>
      <c r="C406" s="1160"/>
      <c r="D406" s="28" t="s">
        <v>263</v>
      </c>
      <c r="E406" s="94"/>
      <c r="F406" s="181"/>
      <c r="G406" s="80">
        <v>45</v>
      </c>
      <c r="H406" s="181"/>
      <c r="I406" s="80"/>
      <c r="J406" s="80"/>
      <c r="K406" s="28"/>
      <c r="L406" s="21"/>
    </row>
    <row r="407" spans="1:12" ht="16.5" thickBot="1" x14ac:dyDescent="0.3">
      <c r="A407" s="1776"/>
      <c r="B407" s="1678"/>
      <c r="C407" s="1161"/>
      <c r="D407" s="203" t="s">
        <v>270</v>
      </c>
      <c r="E407" s="106"/>
      <c r="F407" s="106"/>
      <c r="G407" s="251">
        <f t="shared" ref="G407" si="36">(G406/G404)*100</f>
        <v>84.905660377358487</v>
      </c>
      <c r="H407" s="106"/>
      <c r="I407" s="106"/>
      <c r="J407" s="106"/>
      <c r="K407" s="33"/>
      <c r="L407" s="22"/>
    </row>
    <row r="408" spans="1:12" x14ac:dyDescent="0.25">
      <c r="A408" s="1776"/>
      <c r="B408" s="1893"/>
      <c r="C408" s="1809" t="s">
        <v>472</v>
      </c>
      <c r="D408" s="254" t="s">
        <v>473</v>
      </c>
      <c r="E408" s="129"/>
      <c r="F408" s="255">
        <f>2/3*100</f>
        <v>66.666666666666657</v>
      </c>
      <c r="G408" s="255">
        <f>2/5*100</f>
        <v>40</v>
      </c>
      <c r="H408" s="255">
        <f>4/6*100</f>
        <v>66.666666666666657</v>
      </c>
      <c r="I408" s="255">
        <f>4/7*100</f>
        <v>57.142857142857139</v>
      </c>
      <c r="J408" s="255">
        <f>4/7*100</f>
        <v>57.142857142857139</v>
      </c>
      <c r="K408" s="255">
        <f>4/7*100</f>
        <v>57.142857142857139</v>
      </c>
      <c r="L408" s="87"/>
    </row>
    <row r="409" spans="1:12" x14ac:dyDescent="0.25">
      <c r="A409" s="1776"/>
      <c r="B409" s="1893"/>
      <c r="C409" s="1810"/>
      <c r="D409" s="232" t="s">
        <v>474</v>
      </c>
      <c r="E409" s="92"/>
      <c r="F409" s="234">
        <f>1/3*100</f>
        <v>33.333333333333329</v>
      </c>
      <c r="G409" s="234">
        <f>1/5*100</f>
        <v>20</v>
      </c>
      <c r="H409" s="234">
        <f>1/6*100</f>
        <v>16.666666666666664</v>
      </c>
      <c r="I409" s="234">
        <f>2/7*100</f>
        <v>28.571428571428569</v>
      </c>
      <c r="J409" s="234">
        <f>2/7*100</f>
        <v>28.571428571428569</v>
      </c>
      <c r="K409" s="234">
        <f>2/7*100</f>
        <v>28.571428571428569</v>
      </c>
      <c r="L409" s="21"/>
    </row>
    <row r="410" spans="1:12" ht="16.5" thickBot="1" x14ac:dyDescent="0.3">
      <c r="A410" s="1776"/>
      <c r="B410" s="1894"/>
      <c r="C410" s="1895"/>
      <c r="D410" s="311" t="s">
        <v>475</v>
      </c>
      <c r="E410" s="106"/>
      <c r="F410" s="312">
        <f>0/3*100</f>
        <v>0</v>
      </c>
      <c r="G410" s="312">
        <f>2/5*100</f>
        <v>40</v>
      </c>
      <c r="H410" s="312">
        <f>1/6*100</f>
        <v>16.666666666666664</v>
      </c>
      <c r="I410" s="312">
        <f>1/7*100</f>
        <v>14.285714285714285</v>
      </c>
      <c r="J410" s="312">
        <f>1/7*100</f>
        <v>14.285714285714285</v>
      </c>
      <c r="K410" s="312">
        <f>1/7*100</f>
        <v>14.285714285714285</v>
      </c>
      <c r="L410" s="22"/>
    </row>
    <row r="411" spans="1:12" ht="16.5" thickBot="1" x14ac:dyDescent="0.3">
      <c r="A411" s="1775"/>
      <c r="B411" s="823" t="s">
        <v>249</v>
      </c>
      <c r="C411" s="1675"/>
      <c r="D411" s="1675"/>
      <c r="E411" s="112" t="s">
        <v>442</v>
      </c>
      <c r="F411" s="112" t="s">
        <v>443</v>
      </c>
      <c r="G411" s="112" t="s">
        <v>444</v>
      </c>
      <c r="H411" s="112" t="s">
        <v>445</v>
      </c>
      <c r="I411" s="112" t="s">
        <v>446</v>
      </c>
      <c r="J411" s="112" t="s">
        <v>447</v>
      </c>
      <c r="K411" s="112" t="s">
        <v>448</v>
      </c>
      <c r="L411" s="112" t="s">
        <v>449</v>
      </c>
    </row>
    <row r="412" spans="1:12" ht="15" customHeight="1" x14ac:dyDescent="0.25">
      <c r="A412" s="1776"/>
      <c r="B412" s="1150" t="s">
        <v>476</v>
      </c>
      <c r="C412" s="1205" t="s">
        <v>459</v>
      </c>
      <c r="D412" s="1206"/>
      <c r="E412" s="40"/>
      <c r="F412" s="195">
        <v>527</v>
      </c>
      <c r="G412" s="195">
        <v>844</v>
      </c>
      <c r="H412" s="195">
        <v>1864</v>
      </c>
      <c r="I412" s="195">
        <v>1761</v>
      </c>
      <c r="J412" s="195">
        <v>1923</v>
      </c>
      <c r="K412" s="195">
        <v>1936</v>
      </c>
      <c r="L412" s="20"/>
    </row>
    <row r="413" spans="1:12" x14ac:dyDescent="0.25">
      <c r="A413" s="1776"/>
      <c r="B413" s="1151"/>
      <c r="C413" s="1148" t="s">
        <v>436</v>
      </c>
      <c r="D413" s="1124"/>
      <c r="E413" s="96"/>
      <c r="F413" s="96">
        <v>301</v>
      </c>
      <c r="G413" s="96">
        <v>598</v>
      </c>
      <c r="H413" s="96">
        <v>1129</v>
      </c>
      <c r="I413" s="96">
        <v>1016</v>
      </c>
      <c r="J413" s="96">
        <v>1097</v>
      </c>
      <c r="K413" s="96">
        <v>1082</v>
      </c>
      <c r="L413" s="21"/>
    </row>
    <row r="414" spans="1:12" x14ac:dyDescent="0.25">
      <c r="A414" s="1776"/>
      <c r="B414" s="1151"/>
      <c r="C414" s="1148" t="s">
        <v>437</v>
      </c>
      <c r="D414" s="1124"/>
      <c r="E414" s="96"/>
      <c r="F414" s="96">
        <v>226</v>
      </c>
      <c r="G414" s="96">
        <v>246</v>
      </c>
      <c r="H414" s="96">
        <v>735</v>
      </c>
      <c r="I414" s="96">
        <v>745</v>
      </c>
      <c r="J414" s="96">
        <v>826</v>
      </c>
      <c r="K414" s="96">
        <v>854</v>
      </c>
      <c r="L414" s="21"/>
    </row>
    <row r="415" spans="1:12" ht="16.5" thickBot="1" x14ac:dyDescent="0.3">
      <c r="A415" s="1776"/>
      <c r="B415" s="1151"/>
      <c r="C415" s="1154" t="s">
        <v>270</v>
      </c>
      <c r="D415" s="1155"/>
      <c r="E415" s="190"/>
      <c r="F415" s="285">
        <f t="shared" ref="F415:K415" si="37">F414/F412*100</f>
        <v>42.8842504743833</v>
      </c>
      <c r="G415" s="285">
        <f t="shared" si="37"/>
        <v>29.14691943127962</v>
      </c>
      <c r="H415" s="285">
        <f t="shared" si="37"/>
        <v>39.431330472103006</v>
      </c>
      <c r="I415" s="285">
        <f t="shared" si="37"/>
        <v>42.30550823395798</v>
      </c>
      <c r="J415" s="285">
        <f t="shared" si="37"/>
        <v>42.953718148725947</v>
      </c>
      <c r="K415" s="285">
        <f t="shared" si="37"/>
        <v>44.111570247933884</v>
      </c>
      <c r="L415" s="22"/>
    </row>
    <row r="416" spans="1:12" x14ac:dyDescent="0.25">
      <c r="A416" s="1776"/>
      <c r="B416" s="1151"/>
      <c r="C416" s="1159" t="s">
        <v>541</v>
      </c>
      <c r="D416" s="248" t="s">
        <v>251</v>
      </c>
      <c r="E416" s="249"/>
      <c r="F416" s="250">
        <v>132</v>
      </c>
      <c r="G416" s="250">
        <v>467</v>
      </c>
      <c r="H416" s="250">
        <v>862</v>
      </c>
      <c r="I416" s="250">
        <v>759</v>
      </c>
      <c r="J416" s="250">
        <v>766</v>
      </c>
      <c r="K416" s="36">
        <v>656</v>
      </c>
      <c r="L416" s="20"/>
    </row>
    <row r="417" spans="1:12" x14ac:dyDescent="0.25">
      <c r="A417" s="1776"/>
      <c r="B417" s="1151"/>
      <c r="C417" s="1160"/>
      <c r="D417" s="28" t="s">
        <v>257</v>
      </c>
      <c r="E417" s="94"/>
      <c r="F417" s="80">
        <v>73</v>
      </c>
      <c r="G417" s="80">
        <v>353</v>
      </c>
      <c r="H417" s="80">
        <v>598</v>
      </c>
      <c r="I417" s="80">
        <v>504</v>
      </c>
      <c r="J417" s="80">
        <v>510</v>
      </c>
      <c r="K417" s="28">
        <v>447</v>
      </c>
      <c r="L417" s="21"/>
    </row>
    <row r="418" spans="1:12" x14ac:dyDescent="0.25">
      <c r="A418" s="1776"/>
      <c r="B418" s="1151"/>
      <c r="C418" s="1160"/>
      <c r="D418" s="28" t="s">
        <v>263</v>
      </c>
      <c r="E418" s="94"/>
      <c r="F418" s="80">
        <v>59</v>
      </c>
      <c r="G418" s="80">
        <v>114</v>
      </c>
      <c r="H418" s="80">
        <v>264</v>
      </c>
      <c r="I418" s="80">
        <v>255</v>
      </c>
      <c r="J418" s="80">
        <v>256</v>
      </c>
      <c r="K418" s="28">
        <v>209</v>
      </c>
      <c r="L418" s="21"/>
    </row>
    <row r="419" spans="1:12" ht="16.5" thickBot="1" x14ac:dyDescent="0.3">
      <c r="A419" s="1776"/>
      <c r="B419" s="1151"/>
      <c r="C419" s="1161"/>
      <c r="D419" s="203" t="s">
        <v>270</v>
      </c>
      <c r="E419" s="104"/>
      <c r="F419" s="252">
        <f>(F418/F416)*100</f>
        <v>44.696969696969695</v>
      </c>
      <c r="G419" s="253">
        <f>(G418/G416)*100</f>
        <v>24.411134903640257</v>
      </c>
      <c r="H419" s="253">
        <f>(H418/H416)*100</f>
        <v>30.626450116009281</v>
      </c>
      <c r="I419" s="253">
        <f>I418/I416*100</f>
        <v>33.596837944664031</v>
      </c>
      <c r="J419" s="253">
        <f>J418/J416*100</f>
        <v>33.420365535248045</v>
      </c>
      <c r="K419" s="253">
        <f>K418/K416*100</f>
        <v>31.859756097560975</v>
      </c>
      <c r="L419" s="22"/>
    </row>
    <row r="420" spans="1:12" x14ac:dyDescent="0.25">
      <c r="A420" s="1776"/>
      <c r="B420" s="1151"/>
      <c r="C420" s="1159" t="s">
        <v>465</v>
      </c>
      <c r="D420" s="248" t="s">
        <v>251</v>
      </c>
      <c r="E420" s="249"/>
      <c r="F420" s="250"/>
      <c r="G420" s="250"/>
      <c r="H420" s="250"/>
      <c r="I420" s="250">
        <v>60</v>
      </c>
      <c r="J420" s="250">
        <v>339</v>
      </c>
      <c r="K420" s="36">
        <v>399</v>
      </c>
      <c r="L420" s="20"/>
    </row>
    <row r="421" spans="1:12" x14ac:dyDescent="0.25">
      <c r="A421" s="1776"/>
      <c r="B421" s="1151"/>
      <c r="C421" s="1160"/>
      <c r="D421" s="28" t="s">
        <v>257</v>
      </c>
      <c r="E421" s="94"/>
      <c r="F421" s="80"/>
      <c r="G421" s="80"/>
      <c r="H421" s="80"/>
      <c r="I421" s="80">
        <v>9</v>
      </c>
      <c r="J421" s="80">
        <v>69</v>
      </c>
      <c r="K421" s="28">
        <v>65</v>
      </c>
      <c r="L421" s="21"/>
    </row>
    <row r="422" spans="1:12" x14ac:dyDescent="0.25">
      <c r="A422" s="1776"/>
      <c r="B422" s="1151"/>
      <c r="C422" s="1160"/>
      <c r="D422" s="28" t="s">
        <v>263</v>
      </c>
      <c r="E422" s="94"/>
      <c r="F422" s="80"/>
      <c r="G422" s="80"/>
      <c r="H422" s="80"/>
      <c r="I422" s="80">
        <v>51</v>
      </c>
      <c r="J422" s="80">
        <v>270</v>
      </c>
      <c r="K422" s="28">
        <v>334</v>
      </c>
      <c r="L422" s="21"/>
    </row>
    <row r="423" spans="1:12" ht="16.5" thickBot="1" x14ac:dyDescent="0.3">
      <c r="A423" s="1776"/>
      <c r="B423" s="1151"/>
      <c r="C423" s="1161"/>
      <c r="D423" s="203" t="s">
        <v>270</v>
      </c>
      <c r="E423" s="104"/>
      <c r="F423" s="104"/>
      <c r="G423" s="104"/>
      <c r="H423" s="104"/>
      <c r="I423" s="251">
        <f t="shared" ref="I423:K423" si="38">(I422/I420)*100</f>
        <v>85</v>
      </c>
      <c r="J423" s="251">
        <f t="shared" si="38"/>
        <v>79.646017699115049</v>
      </c>
      <c r="K423" s="251">
        <f t="shared" si="38"/>
        <v>83.709273182957389</v>
      </c>
      <c r="L423" s="22"/>
    </row>
    <row r="424" spans="1:12" ht="14.85" customHeight="1" x14ac:dyDescent="0.25">
      <c r="A424" s="1776"/>
      <c r="B424" s="1151"/>
      <c r="C424" s="1159" t="s">
        <v>469</v>
      </c>
      <c r="D424" s="248" t="s">
        <v>251</v>
      </c>
      <c r="E424" s="249"/>
      <c r="F424" s="250">
        <v>94</v>
      </c>
      <c r="G424" s="250">
        <v>148</v>
      </c>
      <c r="H424" s="250">
        <v>302</v>
      </c>
      <c r="I424" s="250">
        <v>280</v>
      </c>
      <c r="J424" s="250">
        <v>276</v>
      </c>
      <c r="K424" s="36">
        <v>253</v>
      </c>
      <c r="L424" s="20"/>
    </row>
    <row r="425" spans="1:12" x14ac:dyDescent="0.25">
      <c r="A425" s="1776"/>
      <c r="B425" s="1151"/>
      <c r="C425" s="1160"/>
      <c r="D425" s="28" t="s">
        <v>257</v>
      </c>
      <c r="E425" s="94"/>
      <c r="F425" s="80">
        <v>79</v>
      </c>
      <c r="G425" s="80">
        <v>126</v>
      </c>
      <c r="H425" s="80">
        <v>231</v>
      </c>
      <c r="I425" s="80">
        <v>210</v>
      </c>
      <c r="J425" s="80">
        <v>206</v>
      </c>
      <c r="K425" s="28">
        <v>207</v>
      </c>
      <c r="L425" s="21"/>
    </row>
    <row r="426" spans="1:12" x14ac:dyDescent="0.25">
      <c r="A426" s="1776"/>
      <c r="B426" s="1151"/>
      <c r="C426" s="1160"/>
      <c r="D426" s="28" t="s">
        <v>263</v>
      </c>
      <c r="E426" s="94"/>
      <c r="F426" s="80">
        <v>15</v>
      </c>
      <c r="G426" s="80">
        <v>22</v>
      </c>
      <c r="H426" s="80">
        <v>71</v>
      </c>
      <c r="I426" s="80">
        <v>70</v>
      </c>
      <c r="J426" s="80">
        <v>70</v>
      </c>
      <c r="K426" s="28">
        <v>28</v>
      </c>
      <c r="L426" s="21"/>
    </row>
    <row r="427" spans="1:12" ht="16.5" thickBot="1" x14ac:dyDescent="0.3">
      <c r="A427" s="1776"/>
      <c r="B427" s="1151"/>
      <c r="C427" s="1161"/>
      <c r="D427" s="203" t="s">
        <v>270</v>
      </c>
      <c r="E427" s="104"/>
      <c r="F427" s="253">
        <f>(F426/F424)*100</f>
        <v>15.957446808510639</v>
      </c>
      <c r="G427" s="253">
        <f t="shared" ref="G427:K427" si="39">(G426/G424)*100</f>
        <v>14.864864864864865</v>
      </c>
      <c r="H427" s="253">
        <f t="shared" si="39"/>
        <v>23.509933774834437</v>
      </c>
      <c r="I427" s="253">
        <f t="shared" si="39"/>
        <v>25</v>
      </c>
      <c r="J427" s="253">
        <f t="shared" si="39"/>
        <v>25.362318840579711</v>
      </c>
      <c r="K427" s="253">
        <f t="shared" si="39"/>
        <v>11.067193675889328</v>
      </c>
      <c r="L427" s="22"/>
    </row>
    <row r="428" spans="1:12" ht="14.85" customHeight="1" x14ac:dyDescent="0.25">
      <c r="A428" s="1776"/>
      <c r="B428" s="1151"/>
      <c r="C428" s="1159" t="s">
        <v>467</v>
      </c>
      <c r="D428" s="248" t="s">
        <v>251</v>
      </c>
      <c r="E428" s="249"/>
      <c r="F428" s="250">
        <v>66</v>
      </c>
      <c r="G428" s="250">
        <v>34</v>
      </c>
      <c r="H428" s="250">
        <v>194</v>
      </c>
      <c r="I428" s="250">
        <v>203</v>
      </c>
      <c r="J428" s="250">
        <v>231</v>
      </c>
      <c r="K428" s="36">
        <v>235</v>
      </c>
      <c r="L428" s="20"/>
    </row>
    <row r="429" spans="1:12" ht="14.85" customHeight="1" x14ac:dyDescent="0.25">
      <c r="A429" s="1776"/>
      <c r="B429" s="1151"/>
      <c r="C429" s="1160"/>
      <c r="D429" s="28" t="s">
        <v>257</v>
      </c>
      <c r="E429" s="94"/>
      <c r="F429" s="80">
        <v>53</v>
      </c>
      <c r="G429" s="80">
        <v>29</v>
      </c>
      <c r="H429" s="80">
        <v>168</v>
      </c>
      <c r="I429" s="80">
        <v>176</v>
      </c>
      <c r="J429" s="80">
        <v>198</v>
      </c>
      <c r="K429" s="28">
        <v>207</v>
      </c>
      <c r="L429" s="21"/>
    </row>
    <row r="430" spans="1:12" x14ac:dyDescent="0.25">
      <c r="A430" s="1776"/>
      <c r="B430" s="1151"/>
      <c r="C430" s="1160"/>
      <c r="D430" s="28" t="s">
        <v>263</v>
      </c>
      <c r="E430" s="94"/>
      <c r="F430" s="80">
        <v>13</v>
      </c>
      <c r="G430" s="80">
        <v>5</v>
      </c>
      <c r="H430" s="80">
        <v>26</v>
      </c>
      <c r="I430" s="80">
        <v>27</v>
      </c>
      <c r="J430" s="80">
        <v>33</v>
      </c>
      <c r="K430" s="28">
        <v>28</v>
      </c>
      <c r="L430" s="21"/>
    </row>
    <row r="431" spans="1:12" ht="16.5" thickBot="1" x14ac:dyDescent="0.3">
      <c r="A431" s="1776"/>
      <c r="B431" s="1151"/>
      <c r="C431" s="1161"/>
      <c r="D431" s="203" t="s">
        <v>270</v>
      </c>
      <c r="E431" s="104"/>
      <c r="F431" s="253">
        <f>(F430/F428)*100</f>
        <v>19.696969696969695</v>
      </c>
      <c r="G431" s="253">
        <f t="shared" ref="G431:K431" si="40">(G430/G428)*100</f>
        <v>14.705882352941178</v>
      </c>
      <c r="H431" s="253">
        <f t="shared" si="40"/>
        <v>13.402061855670103</v>
      </c>
      <c r="I431" s="253">
        <f t="shared" si="40"/>
        <v>13.300492610837439</v>
      </c>
      <c r="J431" s="253">
        <f t="shared" si="40"/>
        <v>14.285714285714285</v>
      </c>
      <c r="K431" s="253">
        <f t="shared" si="40"/>
        <v>11.914893617021278</v>
      </c>
      <c r="L431" s="22"/>
    </row>
    <row r="432" spans="1:12" ht="14.85" customHeight="1" x14ac:dyDescent="0.25">
      <c r="A432" s="1776"/>
      <c r="B432" s="1151"/>
      <c r="C432" s="1159" t="s">
        <v>583</v>
      </c>
      <c r="D432" s="248" t="s">
        <v>251</v>
      </c>
      <c r="E432" s="249"/>
      <c r="F432" s="250"/>
      <c r="G432" s="250">
        <v>68</v>
      </c>
      <c r="H432" s="250">
        <v>299</v>
      </c>
      <c r="I432" s="250">
        <v>243</v>
      </c>
      <c r="J432" s="250">
        <v>135</v>
      </c>
      <c r="K432" s="36">
        <v>143</v>
      </c>
      <c r="L432" s="20"/>
    </row>
    <row r="433" spans="1:12" ht="14.85" customHeight="1" x14ac:dyDescent="0.25">
      <c r="A433" s="1776"/>
      <c r="B433" s="1151"/>
      <c r="C433" s="1160"/>
      <c r="D433" s="28" t="s">
        <v>257</v>
      </c>
      <c r="E433" s="94"/>
      <c r="F433" s="80"/>
      <c r="G433" s="80">
        <v>3</v>
      </c>
      <c r="H433" s="80">
        <v>27</v>
      </c>
      <c r="I433" s="80">
        <v>19</v>
      </c>
      <c r="J433" s="80">
        <v>8</v>
      </c>
      <c r="K433" s="28">
        <v>15</v>
      </c>
      <c r="L433" s="21"/>
    </row>
    <row r="434" spans="1:12" x14ac:dyDescent="0.25">
      <c r="A434" s="1776"/>
      <c r="B434" s="1151"/>
      <c r="C434" s="1160"/>
      <c r="D434" s="28" t="s">
        <v>263</v>
      </c>
      <c r="E434" s="94"/>
      <c r="F434" s="80"/>
      <c r="G434" s="80">
        <v>65</v>
      </c>
      <c r="H434" s="80">
        <v>272</v>
      </c>
      <c r="I434" s="80">
        <v>224</v>
      </c>
      <c r="J434" s="80">
        <v>127</v>
      </c>
      <c r="K434" s="28">
        <v>128</v>
      </c>
      <c r="L434" s="21"/>
    </row>
    <row r="435" spans="1:12" ht="16.5" thickBot="1" x14ac:dyDescent="0.3">
      <c r="A435" s="1776"/>
      <c r="B435" s="1151"/>
      <c r="C435" s="1161"/>
      <c r="D435" s="203" t="s">
        <v>270</v>
      </c>
      <c r="E435" s="106"/>
      <c r="F435" s="106"/>
      <c r="G435" s="251">
        <f>(G434/G432)*100</f>
        <v>95.588235294117652</v>
      </c>
      <c r="H435" s="251">
        <f t="shared" ref="H435:K435" si="41">(H434/H432)*100</f>
        <v>90.969899665551836</v>
      </c>
      <c r="I435" s="251">
        <f t="shared" si="41"/>
        <v>92.181069958847743</v>
      </c>
      <c r="J435" s="251">
        <f t="shared" si="41"/>
        <v>94.074074074074076</v>
      </c>
      <c r="K435" s="251">
        <f t="shared" si="41"/>
        <v>89.510489510489506</v>
      </c>
      <c r="L435" s="22"/>
    </row>
    <row r="436" spans="1:12" ht="14.85" customHeight="1" x14ac:dyDescent="0.25">
      <c r="A436" s="1776"/>
      <c r="B436" s="1151"/>
      <c r="C436" s="1159" t="s">
        <v>466</v>
      </c>
      <c r="D436" s="248" t="s">
        <v>251</v>
      </c>
      <c r="E436" s="249"/>
      <c r="F436" s="250">
        <v>92</v>
      </c>
      <c r="G436" s="250">
        <v>74</v>
      </c>
      <c r="H436" s="250">
        <v>89</v>
      </c>
      <c r="I436" s="250">
        <v>83</v>
      </c>
      <c r="J436" s="250">
        <v>81</v>
      </c>
      <c r="K436" s="36">
        <v>90</v>
      </c>
      <c r="L436" s="20"/>
    </row>
    <row r="437" spans="1:12" ht="14.85" customHeight="1" x14ac:dyDescent="0.25">
      <c r="A437" s="1776"/>
      <c r="B437" s="1151"/>
      <c r="C437" s="1160"/>
      <c r="D437" s="28" t="s">
        <v>257</v>
      </c>
      <c r="E437" s="94"/>
      <c r="F437" s="80">
        <v>37</v>
      </c>
      <c r="G437" s="80">
        <v>42</v>
      </c>
      <c r="H437" s="80">
        <v>35</v>
      </c>
      <c r="I437" s="80">
        <v>32</v>
      </c>
      <c r="J437" s="80">
        <v>38</v>
      </c>
      <c r="K437" s="28">
        <v>47</v>
      </c>
      <c r="L437" s="21"/>
    </row>
    <row r="438" spans="1:12" x14ac:dyDescent="0.25">
      <c r="A438" s="1776"/>
      <c r="B438" s="1151"/>
      <c r="C438" s="1160"/>
      <c r="D438" s="28" t="s">
        <v>263</v>
      </c>
      <c r="E438" s="94"/>
      <c r="F438" s="80">
        <v>55</v>
      </c>
      <c r="G438" s="80">
        <v>32</v>
      </c>
      <c r="H438" s="80">
        <v>54</v>
      </c>
      <c r="I438" s="80">
        <v>51</v>
      </c>
      <c r="J438" s="80">
        <v>43</v>
      </c>
      <c r="K438" s="28">
        <v>43</v>
      </c>
      <c r="L438" s="21"/>
    </row>
    <row r="439" spans="1:12" ht="16.5" thickBot="1" x14ac:dyDescent="0.3">
      <c r="A439" s="1776"/>
      <c r="B439" s="1151"/>
      <c r="C439" s="1161"/>
      <c r="D439" s="203" t="s">
        <v>270</v>
      </c>
      <c r="E439" s="106"/>
      <c r="F439" s="252">
        <f>(F438/F436)*100</f>
        <v>59.782608695652172</v>
      </c>
      <c r="G439" s="252">
        <f t="shared" ref="G439:K439" si="42">(G438/G436)*100</f>
        <v>43.243243243243242</v>
      </c>
      <c r="H439" s="251">
        <f t="shared" si="42"/>
        <v>60.674157303370791</v>
      </c>
      <c r="I439" s="251">
        <f t="shared" si="42"/>
        <v>61.445783132530117</v>
      </c>
      <c r="J439" s="252">
        <f t="shared" si="42"/>
        <v>53.086419753086425</v>
      </c>
      <c r="K439" s="252">
        <f t="shared" si="42"/>
        <v>47.777777777777779</v>
      </c>
      <c r="L439" s="22"/>
    </row>
    <row r="440" spans="1:12" ht="14.85" customHeight="1" x14ac:dyDescent="0.25">
      <c r="A440" s="1776"/>
      <c r="B440" s="1151"/>
      <c r="C440" s="1159" t="s">
        <v>582</v>
      </c>
      <c r="D440" s="248" t="s">
        <v>251</v>
      </c>
      <c r="E440" s="249"/>
      <c r="F440" s="250">
        <v>57</v>
      </c>
      <c r="G440" s="250">
        <v>43</v>
      </c>
      <c r="H440" s="250">
        <v>60</v>
      </c>
      <c r="I440" s="250">
        <v>51</v>
      </c>
      <c r="J440" s="250">
        <v>51</v>
      </c>
      <c r="K440" s="36">
        <v>57</v>
      </c>
      <c r="L440" s="20"/>
    </row>
    <row r="441" spans="1:12" ht="14.85" customHeight="1" x14ac:dyDescent="0.25">
      <c r="A441" s="1776"/>
      <c r="B441" s="1151"/>
      <c r="C441" s="1160"/>
      <c r="D441" s="28" t="s">
        <v>257</v>
      </c>
      <c r="E441" s="94"/>
      <c r="F441" s="80">
        <v>56</v>
      </c>
      <c r="G441" s="80">
        <v>42</v>
      </c>
      <c r="H441" s="80">
        <v>55</v>
      </c>
      <c r="I441" s="80">
        <v>46</v>
      </c>
      <c r="J441" s="80">
        <v>47</v>
      </c>
      <c r="K441" s="28">
        <v>53</v>
      </c>
      <c r="L441" s="21"/>
    </row>
    <row r="442" spans="1:12" x14ac:dyDescent="0.25">
      <c r="A442" s="1776"/>
      <c r="B442" s="1151"/>
      <c r="C442" s="1160"/>
      <c r="D442" s="28" t="s">
        <v>263</v>
      </c>
      <c r="E442" s="94"/>
      <c r="F442" s="80">
        <v>1</v>
      </c>
      <c r="G442" s="80">
        <v>1</v>
      </c>
      <c r="H442" s="80">
        <v>5</v>
      </c>
      <c r="I442" s="80">
        <v>5</v>
      </c>
      <c r="J442" s="80">
        <v>4</v>
      </c>
      <c r="K442" s="28">
        <v>4</v>
      </c>
      <c r="L442" s="21"/>
    </row>
    <row r="443" spans="1:12" ht="16.5" thickBot="1" x14ac:dyDescent="0.3">
      <c r="A443" s="1776"/>
      <c r="B443" s="1151"/>
      <c r="C443" s="1161"/>
      <c r="D443" s="203" t="s">
        <v>270</v>
      </c>
      <c r="E443" s="106"/>
      <c r="F443" s="253">
        <f>(F442/F440)*100</f>
        <v>1.7543859649122806</v>
      </c>
      <c r="G443" s="253">
        <f>(G442/G440)*100</f>
        <v>2.3255813953488373</v>
      </c>
      <c r="H443" s="253">
        <f>(H442/H440)*100</f>
        <v>8.3333333333333321</v>
      </c>
      <c r="I443" s="253">
        <f t="shared" ref="I443:K443" si="43">(I442/I440)*100</f>
        <v>9.8039215686274517</v>
      </c>
      <c r="J443" s="253">
        <f t="shared" si="43"/>
        <v>7.8431372549019605</v>
      </c>
      <c r="K443" s="253">
        <f t="shared" si="43"/>
        <v>7.0175438596491224</v>
      </c>
      <c r="L443" s="22"/>
    </row>
    <row r="444" spans="1:12" ht="14.85" customHeight="1" x14ac:dyDescent="0.25">
      <c r="A444" s="1776"/>
      <c r="B444" s="1151"/>
      <c r="C444" s="1159" t="s">
        <v>471</v>
      </c>
      <c r="D444" s="248" t="s">
        <v>251</v>
      </c>
      <c r="E444" s="249"/>
      <c r="F444" s="250"/>
      <c r="G444" s="250"/>
      <c r="H444" s="250"/>
      <c r="I444" s="250">
        <v>14</v>
      </c>
      <c r="J444" s="250">
        <v>44</v>
      </c>
      <c r="K444" s="36">
        <v>45</v>
      </c>
      <c r="L444" s="20"/>
    </row>
    <row r="445" spans="1:12" ht="14.85" customHeight="1" x14ac:dyDescent="0.25">
      <c r="A445" s="1776"/>
      <c r="B445" s="1151"/>
      <c r="C445" s="1160"/>
      <c r="D445" s="28" t="s">
        <v>257</v>
      </c>
      <c r="E445" s="94"/>
      <c r="F445" s="80"/>
      <c r="G445" s="80"/>
      <c r="H445" s="80"/>
      <c r="I445" s="80">
        <v>4</v>
      </c>
      <c r="J445" s="80">
        <v>21</v>
      </c>
      <c r="K445" s="28">
        <v>21</v>
      </c>
      <c r="L445" s="21"/>
    </row>
    <row r="446" spans="1:12" x14ac:dyDescent="0.25">
      <c r="A446" s="1776"/>
      <c r="B446" s="1151"/>
      <c r="C446" s="1160"/>
      <c r="D446" s="28" t="s">
        <v>263</v>
      </c>
      <c r="E446" s="94"/>
      <c r="F446" s="80"/>
      <c r="G446" s="80"/>
      <c r="H446" s="80"/>
      <c r="I446" s="80">
        <v>10</v>
      </c>
      <c r="J446" s="80">
        <v>23</v>
      </c>
      <c r="K446" s="28">
        <v>24</v>
      </c>
      <c r="L446" s="21"/>
    </row>
    <row r="447" spans="1:12" ht="16.5" thickBot="1" x14ac:dyDescent="0.3">
      <c r="A447" s="1776"/>
      <c r="B447" s="1151"/>
      <c r="C447" s="1161"/>
      <c r="D447" s="203" t="s">
        <v>270</v>
      </c>
      <c r="E447" s="106"/>
      <c r="F447" s="106"/>
      <c r="G447" s="106"/>
      <c r="H447" s="106"/>
      <c r="I447" s="251">
        <f t="shared" ref="I447:K447" si="44">(I446/I444)*100</f>
        <v>71.428571428571431</v>
      </c>
      <c r="J447" s="252">
        <f t="shared" si="44"/>
        <v>52.272727272727273</v>
      </c>
      <c r="K447" s="252">
        <f t="shared" si="44"/>
        <v>53.333333333333336</v>
      </c>
      <c r="L447" s="22"/>
    </row>
    <row r="448" spans="1:12" ht="14.85" customHeight="1" x14ac:dyDescent="0.25">
      <c r="A448" s="1776"/>
      <c r="B448" s="1151"/>
      <c r="C448" s="1159" t="s">
        <v>585</v>
      </c>
      <c r="D448" s="248" t="s">
        <v>251</v>
      </c>
      <c r="E448" s="249"/>
      <c r="F448" s="344"/>
      <c r="G448" s="344">
        <v>10</v>
      </c>
      <c r="H448" s="344">
        <v>58</v>
      </c>
      <c r="I448" s="344"/>
      <c r="J448" s="250"/>
      <c r="K448" s="36"/>
      <c r="L448" s="20"/>
    </row>
    <row r="449" spans="1:12" ht="14.85" customHeight="1" x14ac:dyDescent="0.25">
      <c r="A449" s="1776"/>
      <c r="B449" s="1151"/>
      <c r="C449" s="1160"/>
      <c r="D449" s="28" t="s">
        <v>257</v>
      </c>
      <c r="E449" s="94"/>
      <c r="F449" s="181"/>
      <c r="G449" s="181">
        <v>3</v>
      </c>
      <c r="H449" s="181">
        <v>15</v>
      </c>
      <c r="I449" s="181"/>
      <c r="J449" s="80"/>
      <c r="K449" s="28"/>
      <c r="L449" s="21"/>
    </row>
    <row r="450" spans="1:12" x14ac:dyDescent="0.25">
      <c r="A450" s="1776"/>
      <c r="B450" s="1151"/>
      <c r="C450" s="1160"/>
      <c r="D450" s="28" t="s">
        <v>263</v>
      </c>
      <c r="E450" s="94"/>
      <c r="F450" s="181"/>
      <c r="G450" s="181">
        <v>7</v>
      </c>
      <c r="H450" s="181">
        <v>43</v>
      </c>
      <c r="I450" s="181"/>
      <c r="J450" s="80"/>
      <c r="K450" s="28"/>
      <c r="L450" s="21"/>
    </row>
    <row r="451" spans="1:12" ht="16.5" thickBot="1" x14ac:dyDescent="0.3">
      <c r="A451" s="1776"/>
      <c r="B451" s="1151"/>
      <c r="C451" s="1161"/>
      <c r="D451" s="203" t="s">
        <v>270</v>
      </c>
      <c r="E451" s="106"/>
      <c r="F451" s="106"/>
      <c r="G451" s="251">
        <f t="shared" ref="G451:H451" si="45">(G450/G448)*100</f>
        <v>70</v>
      </c>
      <c r="H451" s="251">
        <f t="shared" si="45"/>
        <v>74.137931034482762</v>
      </c>
      <c r="I451" s="104"/>
      <c r="J451" s="104"/>
      <c r="K451" s="33"/>
      <c r="L451" s="22"/>
    </row>
    <row r="452" spans="1:12" ht="14.85" customHeight="1" x14ac:dyDescent="0.25">
      <c r="A452" s="1776"/>
      <c r="B452" s="1151"/>
      <c r="C452" s="1535" t="s">
        <v>470</v>
      </c>
      <c r="D452" s="241" t="s">
        <v>251</v>
      </c>
      <c r="E452" s="242"/>
      <c r="F452" s="827">
        <v>86</v>
      </c>
      <c r="G452" s="827"/>
      <c r="H452" s="243"/>
      <c r="I452" s="243"/>
      <c r="J452" s="243"/>
      <c r="K452" s="122">
        <v>29</v>
      </c>
      <c r="L452" s="87"/>
    </row>
    <row r="453" spans="1:12" ht="14.85" customHeight="1" x14ac:dyDescent="0.25">
      <c r="A453" s="1776"/>
      <c r="B453" s="1151"/>
      <c r="C453" s="1117"/>
      <c r="D453" s="28" t="s">
        <v>257</v>
      </c>
      <c r="E453" s="94"/>
      <c r="F453" s="181">
        <v>3</v>
      </c>
      <c r="G453" s="181"/>
      <c r="H453" s="80"/>
      <c r="I453" s="80"/>
      <c r="J453" s="80"/>
      <c r="K453" s="28">
        <v>3</v>
      </c>
      <c r="L453" s="21"/>
    </row>
    <row r="454" spans="1:12" x14ac:dyDescent="0.25">
      <c r="A454" s="1776"/>
      <c r="B454" s="1151"/>
      <c r="C454" s="1117"/>
      <c r="D454" s="28" t="s">
        <v>263</v>
      </c>
      <c r="E454" s="94"/>
      <c r="F454" s="181">
        <v>83</v>
      </c>
      <c r="G454" s="181"/>
      <c r="H454" s="80"/>
      <c r="I454" s="80"/>
      <c r="J454" s="80"/>
      <c r="K454" s="28">
        <v>26</v>
      </c>
      <c r="L454" s="21"/>
    </row>
    <row r="455" spans="1:12" ht="16.5" thickBot="1" x14ac:dyDescent="0.3">
      <c r="A455" s="1776"/>
      <c r="B455" s="1151"/>
      <c r="C455" s="1274"/>
      <c r="D455" s="336" t="s">
        <v>270</v>
      </c>
      <c r="E455" s="128"/>
      <c r="F455" s="594">
        <f t="shared" ref="F455:K455" si="46">(F454/F452)*100</f>
        <v>96.511627906976756</v>
      </c>
      <c r="G455" s="1019"/>
      <c r="H455" s="1019"/>
      <c r="I455" s="1019"/>
      <c r="J455" s="1019"/>
      <c r="K455" s="594">
        <f t="shared" si="46"/>
        <v>89.65517241379311</v>
      </c>
      <c r="L455" s="53"/>
    </row>
    <row r="456" spans="1:12" x14ac:dyDescent="0.25">
      <c r="A456" s="1776"/>
      <c r="B456" s="1151"/>
      <c r="C456" s="1885" t="s">
        <v>472</v>
      </c>
      <c r="D456" s="308" t="s">
        <v>473</v>
      </c>
      <c r="E456" s="249"/>
      <c r="F456" s="261">
        <v>50</v>
      </c>
      <c r="G456" s="261">
        <f>4/7*100</f>
        <v>57.142857142857139</v>
      </c>
      <c r="H456" s="261">
        <f>4/7*100</f>
        <v>57.142857142857139</v>
      </c>
      <c r="I456" s="261">
        <v>50</v>
      </c>
      <c r="J456" s="261">
        <v>50</v>
      </c>
      <c r="K456" s="234">
        <f>3/9*100</f>
        <v>33.333333333333329</v>
      </c>
      <c r="L456" s="20"/>
    </row>
    <row r="457" spans="1:12" x14ac:dyDescent="0.25">
      <c r="A457" s="1776"/>
      <c r="B457" s="1151"/>
      <c r="C457" s="1886"/>
      <c r="D457" s="232" t="s">
        <v>474</v>
      </c>
      <c r="E457" s="94"/>
      <c r="F457" s="234">
        <f>2/6*100</f>
        <v>33.333333333333329</v>
      </c>
      <c r="G457" s="234">
        <f>2/7*100</f>
        <v>28.571428571428569</v>
      </c>
      <c r="H457" s="234">
        <f>3/7*100</f>
        <v>42.857142857142854</v>
      </c>
      <c r="I457" s="234">
        <v>50</v>
      </c>
      <c r="J457" s="234">
        <f>2/8*100</f>
        <v>25</v>
      </c>
      <c r="K457" s="234">
        <f>4/9*100</f>
        <v>44.444444444444443</v>
      </c>
      <c r="L457" s="21"/>
    </row>
    <row r="458" spans="1:12" ht="16.5" thickBot="1" x14ac:dyDescent="0.3">
      <c r="A458" s="1776"/>
      <c r="B458" s="1152"/>
      <c r="C458" s="1887"/>
      <c r="D458" s="311" t="s">
        <v>475</v>
      </c>
      <c r="E458" s="104"/>
      <c r="F458" s="312">
        <f>2/6*100</f>
        <v>33.333333333333329</v>
      </c>
      <c r="G458" s="312">
        <f>1/7*100</f>
        <v>14.285714285714285</v>
      </c>
      <c r="H458" s="312">
        <v>0</v>
      </c>
      <c r="I458" s="312">
        <v>0</v>
      </c>
      <c r="J458" s="312">
        <v>25</v>
      </c>
      <c r="K458" s="312">
        <f>2/9*100</f>
        <v>22.222222222222221</v>
      </c>
      <c r="L458" s="22"/>
    </row>
    <row r="459" spans="1:12" ht="16.5" thickBot="1" x14ac:dyDescent="0.3">
      <c r="A459" s="1775"/>
      <c r="B459" s="823" t="s">
        <v>249</v>
      </c>
      <c r="C459" s="1675"/>
      <c r="D459" s="1675"/>
      <c r="E459" s="112" t="s">
        <v>442</v>
      </c>
      <c r="F459" s="112" t="s">
        <v>443</v>
      </c>
      <c r="G459" s="112" t="s">
        <v>444</v>
      </c>
      <c r="H459" s="112" t="s">
        <v>445</v>
      </c>
      <c r="I459" s="112" t="s">
        <v>446</v>
      </c>
      <c r="J459" s="112" t="s">
        <v>447</v>
      </c>
      <c r="K459" s="112" t="s">
        <v>448</v>
      </c>
      <c r="L459" s="112" t="s">
        <v>449</v>
      </c>
    </row>
    <row r="460" spans="1:12" x14ac:dyDescent="0.25">
      <c r="A460" s="1776"/>
      <c r="B460" s="1744" t="s">
        <v>219</v>
      </c>
      <c r="C460" s="1251" t="s">
        <v>459</v>
      </c>
      <c r="D460" s="1206"/>
      <c r="E460" s="36"/>
      <c r="F460" s="259"/>
      <c r="G460" s="259"/>
      <c r="H460" s="359">
        <v>146</v>
      </c>
      <c r="I460" s="359">
        <v>481</v>
      </c>
      <c r="J460" s="359">
        <v>631</v>
      </c>
      <c r="K460" s="359">
        <v>491</v>
      </c>
      <c r="L460" s="20"/>
    </row>
    <row r="461" spans="1:12" x14ac:dyDescent="0.25">
      <c r="A461" s="1776"/>
      <c r="B461" s="1678"/>
      <c r="C461" s="1123" t="s">
        <v>436</v>
      </c>
      <c r="D461" s="1124"/>
      <c r="E461" s="28"/>
      <c r="F461" s="187"/>
      <c r="G461" s="187"/>
      <c r="H461" s="358">
        <v>66</v>
      </c>
      <c r="I461" s="358">
        <v>291</v>
      </c>
      <c r="J461" s="358">
        <v>373</v>
      </c>
      <c r="K461" s="358">
        <v>300</v>
      </c>
      <c r="L461" s="21"/>
    </row>
    <row r="462" spans="1:12" x14ac:dyDescent="0.25">
      <c r="A462" s="1776"/>
      <c r="B462" s="1678"/>
      <c r="C462" s="1123" t="s">
        <v>437</v>
      </c>
      <c r="D462" s="1124"/>
      <c r="E462" s="96"/>
      <c r="F462" s="96"/>
      <c r="G462" s="96"/>
      <c r="H462" s="358">
        <v>80</v>
      </c>
      <c r="I462" s="358">
        <v>190</v>
      </c>
      <c r="J462" s="358">
        <v>258</v>
      </c>
      <c r="K462" s="358">
        <v>191</v>
      </c>
      <c r="L462" s="21"/>
    </row>
    <row r="463" spans="1:12" x14ac:dyDescent="0.25">
      <c r="A463" s="1776"/>
      <c r="B463" s="1678"/>
      <c r="C463" s="1111" t="s">
        <v>353</v>
      </c>
      <c r="D463" s="1112"/>
      <c r="E463" s="157"/>
      <c r="F463" s="157"/>
      <c r="G463" s="157"/>
      <c r="H463" s="157">
        <f>H462-H461</f>
        <v>14</v>
      </c>
      <c r="I463" s="157">
        <f>I462-I461</f>
        <v>-101</v>
      </c>
      <c r="J463" s="157">
        <f>J462-J461</f>
        <v>-115</v>
      </c>
      <c r="K463" s="157">
        <f>K462-K461</f>
        <v>-109</v>
      </c>
      <c r="L463" s="21"/>
    </row>
    <row r="464" spans="1:12" ht="16.5" thickBot="1" x14ac:dyDescent="0.3">
      <c r="A464" s="1776"/>
      <c r="B464" s="1678"/>
      <c r="C464" s="1125" t="s">
        <v>270</v>
      </c>
      <c r="D464" s="1126"/>
      <c r="E464" s="190"/>
      <c r="F464" s="190"/>
      <c r="G464" s="190"/>
      <c r="H464" s="285">
        <f>H462/H460*100</f>
        <v>54.794520547945204</v>
      </c>
      <c r="I464" s="34">
        <f>I462/I460*100</f>
        <v>39.5010395010395</v>
      </c>
      <c r="J464" s="34">
        <f>J462/J460*100</f>
        <v>40.887480190174323</v>
      </c>
      <c r="K464" s="34">
        <f>K462/K460*100</f>
        <v>38.900203665987782</v>
      </c>
      <c r="L464" s="22"/>
    </row>
    <row r="465" spans="1:12" x14ac:dyDescent="0.25">
      <c r="A465" s="1776"/>
      <c r="B465" s="1151"/>
      <c r="C465" s="1792" t="s">
        <v>484</v>
      </c>
      <c r="D465" s="1793"/>
      <c r="E465" s="220"/>
      <c r="F465" s="220"/>
      <c r="G465" s="220"/>
      <c r="H465" s="255">
        <v>16.666666666666664</v>
      </c>
      <c r="I465" s="255">
        <f>11/15*100</f>
        <v>73.333333333333329</v>
      </c>
      <c r="J465" s="255">
        <f>10/16*100</f>
        <v>62.5</v>
      </c>
      <c r="K465" s="851">
        <v>72.727272727272734</v>
      </c>
      <c r="L465" s="87"/>
    </row>
    <row r="466" spans="1:12" x14ac:dyDescent="0.25">
      <c r="A466" s="1776"/>
      <c r="B466" s="1151"/>
      <c r="C466" s="1190" t="s">
        <v>485</v>
      </c>
      <c r="D466" s="1112"/>
      <c r="E466" s="96"/>
      <c r="F466" s="96"/>
      <c r="G466" s="96"/>
      <c r="H466" s="235">
        <v>16.666666666666664</v>
      </c>
      <c r="I466" s="235">
        <f>1/15*100</f>
        <v>6.666666666666667</v>
      </c>
      <c r="J466" s="235">
        <f>2/16*100</f>
        <v>12.5</v>
      </c>
      <c r="K466" s="237">
        <v>18.181818181818183</v>
      </c>
      <c r="L466" s="21"/>
    </row>
    <row r="467" spans="1:12" ht="16.5" thickBot="1" x14ac:dyDescent="0.3">
      <c r="A467" s="1777"/>
      <c r="B467" s="1152"/>
      <c r="C467" s="1141" t="s">
        <v>486</v>
      </c>
      <c r="D467" s="1142"/>
      <c r="E467" s="360"/>
      <c r="F467" s="360"/>
      <c r="G467" s="360"/>
      <c r="H467" s="356">
        <v>66.666666666666657</v>
      </c>
      <c r="I467" s="356">
        <f>3/15*100</f>
        <v>20</v>
      </c>
      <c r="J467" s="356">
        <f>4/16*100</f>
        <v>25</v>
      </c>
      <c r="K467" s="361">
        <v>9.0909090909090917</v>
      </c>
      <c r="L467" s="53"/>
    </row>
    <row r="468" spans="1:12" ht="16.5" thickBot="1" x14ac:dyDescent="0.3">
      <c r="A468" s="338" t="s">
        <v>248</v>
      </c>
      <c r="B468" s="822" t="s">
        <v>249</v>
      </c>
      <c r="C468" s="1422"/>
      <c r="D468" s="1422"/>
      <c r="E468" s="616">
        <v>2005</v>
      </c>
      <c r="F468" s="616">
        <v>2010</v>
      </c>
      <c r="G468" s="616">
        <v>2015</v>
      </c>
      <c r="H468" s="616">
        <v>2020</v>
      </c>
      <c r="I468" s="616">
        <v>2021</v>
      </c>
      <c r="J468" s="616">
        <v>2022</v>
      </c>
      <c r="K468" s="616">
        <v>2023</v>
      </c>
      <c r="L468" s="616">
        <v>2024</v>
      </c>
    </row>
    <row r="469" spans="1:12" ht="15" customHeight="1" x14ac:dyDescent="0.25">
      <c r="A469" s="1735" t="s">
        <v>487</v>
      </c>
      <c r="B469" s="1572" t="s">
        <v>227</v>
      </c>
      <c r="C469" s="1205" t="s">
        <v>435</v>
      </c>
      <c r="D469" s="1206"/>
      <c r="E469" s="36"/>
      <c r="F469" s="36"/>
      <c r="G469" s="36"/>
      <c r="H469" s="36"/>
      <c r="I469" s="36"/>
      <c r="J469" s="36"/>
      <c r="K469" s="195">
        <v>907</v>
      </c>
      <c r="L469" s="325">
        <v>944</v>
      </c>
    </row>
    <row r="470" spans="1:12" x14ac:dyDescent="0.25">
      <c r="A470" s="1736"/>
      <c r="B470" s="1573"/>
      <c r="C470" s="1148" t="s">
        <v>533</v>
      </c>
      <c r="D470" s="1124"/>
      <c r="E470" s="28"/>
      <c r="F470" s="28"/>
      <c r="G470" s="28"/>
      <c r="H470" s="28"/>
      <c r="I470" s="28"/>
      <c r="J470" s="28"/>
      <c r="K470" s="28">
        <v>324</v>
      </c>
      <c r="L470" s="21">
        <v>328</v>
      </c>
    </row>
    <row r="471" spans="1:12" x14ac:dyDescent="0.25">
      <c r="A471" s="1736"/>
      <c r="B471" s="1573"/>
      <c r="C471" s="1148" t="s">
        <v>534</v>
      </c>
      <c r="D471" s="1124"/>
      <c r="E471" s="28"/>
      <c r="F471" s="28"/>
      <c r="G471" s="28"/>
      <c r="H471" s="28"/>
      <c r="I471" s="28"/>
      <c r="J471" s="28"/>
      <c r="K471" s="28">
        <v>583</v>
      </c>
      <c r="L471" s="21">
        <v>616</v>
      </c>
    </row>
    <row r="472" spans="1:12" x14ac:dyDescent="0.25">
      <c r="A472" s="1736"/>
      <c r="B472" s="1573"/>
      <c r="C472" s="1561" t="s">
        <v>353</v>
      </c>
      <c r="D472" s="1128"/>
      <c r="E472" s="28"/>
      <c r="F472" s="28"/>
      <c r="G472" s="28"/>
      <c r="H472" s="28"/>
      <c r="I472" s="28"/>
      <c r="J472" s="28"/>
      <c r="K472" s="262">
        <f t="shared" ref="K472" si="47">K471-K470</f>
        <v>259</v>
      </c>
      <c r="L472" s="317">
        <v>288</v>
      </c>
    </row>
    <row r="473" spans="1:12" ht="16.5" thickBot="1" x14ac:dyDescent="0.3">
      <c r="A473" s="1736"/>
      <c r="B473" s="1901"/>
      <c r="C473" s="1169" t="s">
        <v>270</v>
      </c>
      <c r="D473" s="1126"/>
      <c r="E473" s="197"/>
      <c r="F473" s="197"/>
      <c r="G473" s="197"/>
      <c r="H473" s="197"/>
      <c r="I473" s="197"/>
      <c r="J473" s="197"/>
      <c r="K473" s="161">
        <f t="shared" ref="K473" si="48">K471/K469*100</f>
        <v>64.277839029768472</v>
      </c>
      <c r="L473" s="162">
        <v>65.254237288135599</v>
      </c>
    </row>
    <row r="474" spans="1:12" x14ac:dyDescent="0.25">
      <c r="A474" s="1736"/>
      <c r="B474" s="1572" t="s">
        <v>488</v>
      </c>
      <c r="C474" s="1665" t="s">
        <v>489</v>
      </c>
      <c r="D474" s="1405"/>
      <c r="E474" s="40"/>
      <c r="F474" s="40">
        <v>73</v>
      </c>
      <c r="G474" s="40">
        <v>83</v>
      </c>
      <c r="H474" s="40">
        <v>102</v>
      </c>
      <c r="I474" s="40"/>
      <c r="J474" s="40"/>
      <c r="K474" s="40">
        <v>123</v>
      </c>
      <c r="L474" s="1072">
        <v>49</v>
      </c>
    </row>
    <row r="475" spans="1:12" x14ac:dyDescent="0.25">
      <c r="A475" s="1736"/>
      <c r="B475" s="1573"/>
      <c r="C475" s="1190" t="s">
        <v>490</v>
      </c>
      <c r="D475" s="1112"/>
      <c r="E475" s="157"/>
      <c r="F475" s="44">
        <v>3</v>
      </c>
      <c r="G475" s="44">
        <v>3</v>
      </c>
      <c r="H475" s="44">
        <v>4</v>
      </c>
      <c r="I475" s="44"/>
      <c r="J475" s="44"/>
      <c r="K475" s="44">
        <v>5</v>
      </c>
      <c r="L475" s="1072">
        <v>3</v>
      </c>
    </row>
    <row r="476" spans="1:12" ht="16.5" thickBot="1" x14ac:dyDescent="0.3">
      <c r="A476" s="1737"/>
      <c r="B476" s="1574"/>
      <c r="C476" s="1224" t="s">
        <v>491</v>
      </c>
      <c r="D476" s="1225"/>
      <c r="E476" s="203"/>
      <c r="F476" s="161">
        <f>F475/F474*100</f>
        <v>4.10958904109589</v>
      </c>
      <c r="G476" s="161">
        <f t="shared" ref="G476:H476" si="49">G475/G474*100</f>
        <v>3.6144578313253009</v>
      </c>
      <c r="H476" s="161">
        <f t="shared" si="49"/>
        <v>3.9215686274509802</v>
      </c>
      <c r="I476" s="203"/>
      <c r="J476" s="203"/>
      <c r="K476" s="161">
        <f>K475/K474*100</f>
        <v>4.0650406504065035</v>
      </c>
      <c r="L476" s="859">
        <v>6.1224489795918364</v>
      </c>
    </row>
    <row r="477" spans="1:12" ht="16.5" thickBot="1" x14ac:dyDescent="0.3">
      <c r="A477" s="767" t="s">
        <v>248</v>
      </c>
      <c r="B477" s="852" t="s">
        <v>249</v>
      </c>
      <c r="C477" s="1681"/>
      <c r="D477" s="1681"/>
      <c r="E477" s="774">
        <v>2005</v>
      </c>
      <c r="F477" s="774">
        <v>2010</v>
      </c>
      <c r="G477" s="774">
        <v>2015</v>
      </c>
      <c r="H477" s="774">
        <v>2020</v>
      </c>
      <c r="I477" s="774">
        <v>2021</v>
      </c>
      <c r="J477" s="774">
        <v>2022</v>
      </c>
      <c r="K477" s="774">
        <v>2023</v>
      </c>
      <c r="L477" s="112">
        <v>2024</v>
      </c>
    </row>
    <row r="478" spans="1:12" ht="15" customHeight="1" x14ac:dyDescent="0.25">
      <c r="A478" s="1621" t="s">
        <v>492</v>
      </c>
      <c r="B478" s="1624" t="s">
        <v>493</v>
      </c>
      <c r="C478" s="1251" t="s">
        <v>459</v>
      </c>
      <c r="D478" s="1206"/>
      <c r="E478" s="36"/>
      <c r="F478" s="195">
        <v>811</v>
      </c>
      <c r="G478" s="195">
        <v>1040</v>
      </c>
      <c r="H478" s="195">
        <v>1508</v>
      </c>
      <c r="I478" s="195">
        <v>1557</v>
      </c>
      <c r="J478" s="195">
        <v>1759</v>
      </c>
      <c r="K478" s="195">
        <v>1848</v>
      </c>
      <c r="L478" s="195">
        <v>1813</v>
      </c>
    </row>
    <row r="479" spans="1:12" x14ac:dyDescent="0.25">
      <c r="A479" s="1622"/>
      <c r="B479" s="1625"/>
      <c r="C479" s="1160" t="s">
        <v>436</v>
      </c>
      <c r="D479" s="28" t="s">
        <v>494</v>
      </c>
      <c r="E479" s="28"/>
      <c r="F479" s="96">
        <v>336</v>
      </c>
      <c r="G479" s="96">
        <v>433</v>
      </c>
      <c r="H479" s="96">
        <v>717</v>
      </c>
      <c r="I479" s="96">
        <v>750</v>
      </c>
      <c r="J479" s="96">
        <v>829</v>
      </c>
      <c r="K479" s="96">
        <v>834</v>
      </c>
      <c r="L479" s="96">
        <v>816</v>
      </c>
    </row>
    <row r="480" spans="1:12" x14ac:dyDescent="0.25">
      <c r="A480" s="1622"/>
      <c r="B480" s="1625"/>
      <c r="C480" s="1160"/>
      <c r="D480" s="28" t="s">
        <v>495</v>
      </c>
      <c r="E480" s="28"/>
      <c r="F480" s="96">
        <v>73</v>
      </c>
      <c r="G480" s="96">
        <v>65</v>
      </c>
      <c r="H480" s="96">
        <v>93</v>
      </c>
      <c r="I480" s="96">
        <v>67</v>
      </c>
      <c r="J480" s="96">
        <v>74</v>
      </c>
      <c r="K480" s="96">
        <v>125</v>
      </c>
      <c r="L480" s="96">
        <v>115</v>
      </c>
    </row>
    <row r="481" spans="1:12" x14ac:dyDescent="0.25">
      <c r="A481" s="1622"/>
      <c r="B481" s="1625"/>
      <c r="C481" s="1160" t="s">
        <v>437</v>
      </c>
      <c r="D481" s="28" t="s">
        <v>496</v>
      </c>
      <c r="E481" s="28"/>
      <c r="F481" s="96">
        <v>134</v>
      </c>
      <c r="G481" s="96">
        <v>182</v>
      </c>
      <c r="H481" s="96">
        <v>324</v>
      </c>
      <c r="I481" s="96">
        <v>325</v>
      </c>
      <c r="J481" s="96">
        <v>393</v>
      </c>
      <c r="K481" s="96">
        <v>405</v>
      </c>
      <c r="L481" s="96">
        <v>404</v>
      </c>
    </row>
    <row r="482" spans="1:12" ht="16.5" thickBot="1" x14ac:dyDescent="0.3">
      <c r="A482" s="1622"/>
      <c r="B482" s="1625"/>
      <c r="C482" s="1519"/>
      <c r="D482" s="110" t="s">
        <v>497</v>
      </c>
      <c r="E482" s="110"/>
      <c r="F482" s="360">
        <v>65</v>
      </c>
      <c r="G482" s="360">
        <v>116</v>
      </c>
      <c r="H482" s="360">
        <v>87</v>
      </c>
      <c r="I482" s="360">
        <v>106</v>
      </c>
      <c r="J482" s="360">
        <v>117</v>
      </c>
      <c r="K482" s="360">
        <v>148</v>
      </c>
      <c r="L482" s="360">
        <v>160</v>
      </c>
    </row>
    <row r="483" spans="1:12" x14ac:dyDescent="0.25">
      <c r="A483" s="1622"/>
      <c r="B483" s="1625"/>
      <c r="C483" s="1263" t="s">
        <v>353</v>
      </c>
      <c r="D483" s="40" t="s">
        <v>498</v>
      </c>
      <c r="E483" s="40"/>
      <c r="F483" s="81">
        <f t="shared" ref="F483:L483" si="50">+F481-F479</f>
        <v>-202</v>
      </c>
      <c r="G483" s="81">
        <f t="shared" si="50"/>
        <v>-251</v>
      </c>
      <c r="H483" s="81">
        <f t="shared" si="50"/>
        <v>-393</v>
      </c>
      <c r="I483" s="81">
        <f t="shared" si="50"/>
        <v>-425</v>
      </c>
      <c r="J483" s="81">
        <f t="shared" si="50"/>
        <v>-436</v>
      </c>
      <c r="K483" s="81">
        <f t="shared" si="50"/>
        <v>-429</v>
      </c>
      <c r="L483" s="81">
        <f t="shared" si="50"/>
        <v>-412</v>
      </c>
    </row>
    <row r="484" spans="1:12" x14ac:dyDescent="0.25">
      <c r="A484" s="1622"/>
      <c r="B484" s="1625"/>
      <c r="C484" s="1256"/>
      <c r="D484" s="44" t="s">
        <v>499</v>
      </c>
      <c r="E484" s="44"/>
      <c r="F484" s="79">
        <f t="shared" ref="F484:L484" si="51">F482-F480</f>
        <v>-8</v>
      </c>
      <c r="G484" s="79">
        <f t="shared" si="51"/>
        <v>51</v>
      </c>
      <c r="H484" s="79">
        <f t="shared" si="51"/>
        <v>-6</v>
      </c>
      <c r="I484" s="79">
        <f t="shared" si="51"/>
        <v>39</v>
      </c>
      <c r="J484" s="79">
        <f t="shared" si="51"/>
        <v>43</v>
      </c>
      <c r="K484" s="79">
        <f t="shared" si="51"/>
        <v>23</v>
      </c>
      <c r="L484" s="79">
        <f t="shared" si="51"/>
        <v>45</v>
      </c>
    </row>
    <row r="485" spans="1:12" ht="16.5" customHeight="1" x14ac:dyDescent="0.25">
      <c r="A485" s="1622"/>
      <c r="B485" s="1625"/>
      <c r="C485" s="1256" t="s">
        <v>270</v>
      </c>
      <c r="D485" s="44" t="s">
        <v>500</v>
      </c>
      <c r="E485" s="44"/>
      <c r="F485" s="263">
        <f>+F481/(F481+F479)*100</f>
        <v>28.510638297872344</v>
      </c>
      <c r="G485" s="263">
        <f t="shared" ref="G485:L486" si="52">+G481/(G481+G479)*100</f>
        <v>29.593495934959353</v>
      </c>
      <c r="H485" s="263">
        <f t="shared" si="52"/>
        <v>31.123919308357351</v>
      </c>
      <c r="I485" s="263">
        <f t="shared" si="52"/>
        <v>30.232558139534881</v>
      </c>
      <c r="J485" s="263">
        <f t="shared" si="52"/>
        <v>32.160392798690673</v>
      </c>
      <c r="K485" s="263">
        <f t="shared" si="52"/>
        <v>32.687651331719131</v>
      </c>
      <c r="L485" s="263">
        <f t="shared" si="52"/>
        <v>33.114754098360656</v>
      </c>
    </row>
    <row r="486" spans="1:12" ht="16.5" thickBot="1" x14ac:dyDescent="0.3">
      <c r="A486" s="1623"/>
      <c r="B486" s="1626"/>
      <c r="C486" s="1257"/>
      <c r="D486" s="203" t="s">
        <v>501</v>
      </c>
      <c r="E486" s="203"/>
      <c r="F486" s="230">
        <f>+F482/(F482+F480)*100</f>
        <v>47.10144927536232</v>
      </c>
      <c r="G486" s="230">
        <f t="shared" si="52"/>
        <v>64.088397790055254</v>
      </c>
      <c r="H486" s="230">
        <f t="shared" si="52"/>
        <v>48.333333333333336</v>
      </c>
      <c r="I486" s="230">
        <f t="shared" si="52"/>
        <v>61.271676300578036</v>
      </c>
      <c r="J486" s="230">
        <f t="shared" si="52"/>
        <v>61.256544502617807</v>
      </c>
      <c r="K486" s="230">
        <f t="shared" si="52"/>
        <v>54.212454212454212</v>
      </c>
      <c r="L486" s="230">
        <f t="shared" si="52"/>
        <v>58.18181818181818</v>
      </c>
    </row>
  </sheetData>
  <mergeCells count="232">
    <mergeCell ref="C485:C486"/>
    <mergeCell ref="B478:B486"/>
    <mergeCell ref="A478:A486"/>
    <mergeCell ref="B460:B467"/>
    <mergeCell ref="C460:D460"/>
    <mergeCell ref="C461:D461"/>
    <mergeCell ref="C462:D462"/>
    <mergeCell ref="C464:D464"/>
    <mergeCell ref="C465:D465"/>
    <mergeCell ref="C466:D466"/>
    <mergeCell ref="C467:D467"/>
    <mergeCell ref="C479:C480"/>
    <mergeCell ref="C481:C482"/>
    <mergeCell ref="C483:C484"/>
    <mergeCell ref="C459:D459"/>
    <mergeCell ref="C478:D478"/>
    <mergeCell ref="C468:D468"/>
    <mergeCell ref="A469:A476"/>
    <mergeCell ref="B469:B473"/>
    <mergeCell ref="C469:D469"/>
    <mergeCell ref="C470:D470"/>
    <mergeCell ref="C471:D471"/>
    <mergeCell ref="C473:D473"/>
    <mergeCell ref="B474:B476"/>
    <mergeCell ref="C474:D474"/>
    <mergeCell ref="C476:D476"/>
    <mergeCell ref="C472:D472"/>
    <mergeCell ref="C463:D463"/>
    <mergeCell ref="C475:D475"/>
    <mergeCell ref="A317:A340"/>
    <mergeCell ref="B317:B321"/>
    <mergeCell ref="C317:D317"/>
    <mergeCell ref="C318:D318"/>
    <mergeCell ref="C319:D319"/>
    <mergeCell ref="C320:D320"/>
    <mergeCell ref="C321:D321"/>
    <mergeCell ref="C322:D322"/>
    <mergeCell ref="C477:D477"/>
    <mergeCell ref="C350:D350"/>
    <mergeCell ref="C358:D358"/>
    <mergeCell ref="C359:D359"/>
    <mergeCell ref="C360:D360"/>
    <mergeCell ref="C351:C353"/>
    <mergeCell ref="A351:A360"/>
    <mergeCell ref="B351:B360"/>
    <mergeCell ref="C354:C356"/>
    <mergeCell ref="C361:D361"/>
    <mergeCell ref="A362:A467"/>
    <mergeCell ref="B362:B370"/>
    <mergeCell ref="C362:C364"/>
    <mergeCell ref="C365:C367"/>
    <mergeCell ref="C368:D368"/>
    <mergeCell ref="C369:D369"/>
    <mergeCell ref="A342:A349"/>
    <mergeCell ref="B342:B345"/>
    <mergeCell ref="C342:D342"/>
    <mergeCell ref="C343:D343"/>
    <mergeCell ref="C344:D344"/>
    <mergeCell ref="C345:D345"/>
    <mergeCell ref="B346:B349"/>
    <mergeCell ref="C346:D346"/>
    <mergeCell ref="C347:D347"/>
    <mergeCell ref="C348:D348"/>
    <mergeCell ref="C349:D349"/>
    <mergeCell ref="B336:B340"/>
    <mergeCell ref="C336:D336"/>
    <mergeCell ref="C337:D337"/>
    <mergeCell ref="C338:D338"/>
    <mergeCell ref="C339:D339"/>
    <mergeCell ref="C340:D340"/>
    <mergeCell ref="B322:B325"/>
    <mergeCell ref="C316:D316"/>
    <mergeCell ref="C341:D341"/>
    <mergeCell ref="B326:B335"/>
    <mergeCell ref="C326:C330"/>
    <mergeCell ref="C324:D324"/>
    <mergeCell ref="C325:D325"/>
    <mergeCell ref="C331:C335"/>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 ref="C376:C379"/>
    <mergeCell ref="C408:C410"/>
    <mergeCell ref="C293:C296"/>
    <mergeCell ref="C297:C300"/>
    <mergeCell ref="C301:C304"/>
    <mergeCell ref="C305:C308"/>
    <mergeCell ref="C309:C312"/>
    <mergeCell ref="C313:D313"/>
    <mergeCell ref="C314:D314"/>
    <mergeCell ref="C315:D315"/>
    <mergeCell ref="C323:D323"/>
    <mergeCell ref="C380:C383"/>
    <mergeCell ref="C384:C387"/>
    <mergeCell ref="C392:C395"/>
    <mergeCell ref="C396:C399"/>
    <mergeCell ref="C400:C403"/>
    <mergeCell ref="C404:C407"/>
    <mergeCell ref="C357:D357"/>
    <mergeCell ref="C371:D371"/>
    <mergeCell ref="B372:B410"/>
    <mergeCell ref="C456:C458"/>
    <mergeCell ref="B412:B458"/>
    <mergeCell ref="C370:D370"/>
    <mergeCell ref="C411:D411"/>
    <mergeCell ref="C388:C391"/>
    <mergeCell ref="C416:C419"/>
    <mergeCell ref="C420:C423"/>
    <mergeCell ref="C424:C427"/>
    <mergeCell ref="C428:C431"/>
    <mergeCell ref="C432:C435"/>
    <mergeCell ref="C436:C439"/>
    <mergeCell ref="C440:C443"/>
    <mergeCell ref="C444:C447"/>
    <mergeCell ref="C448:C451"/>
    <mergeCell ref="C452:C455"/>
    <mergeCell ref="C372:D372"/>
    <mergeCell ref="C373:D373"/>
    <mergeCell ref="C374:D374"/>
    <mergeCell ref="C375:D375"/>
    <mergeCell ref="C412:D412"/>
    <mergeCell ref="C413:D413"/>
    <mergeCell ref="C414:D414"/>
    <mergeCell ref="C415:D415"/>
  </mergeCells>
  <conditionalFormatting sqref="E349:F349">
    <cfRule type="cellIs" dxfId="388" priority="79" operator="greaterThan">
      <formula>0</formula>
    </cfRule>
    <cfRule type="cellIs" dxfId="387" priority="78" operator="lessThan">
      <formula>0</formula>
    </cfRule>
  </conditionalFormatting>
  <conditionalFormatting sqref="E39:L39">
    <cfRule type="cellIs" dxfId="386" priority="385" operator="greaterThan">
      <formula>1</formula>
    </cfRule>
    <cfRule type="cellIs" dxfId="385" priority="384" operator="lessThan">
      <formula>1</formula>
    </cfRule>
    <cfRule type="cellIs" dxfId="384" priority="383" operator="greaterThan">
      <formula>1</formula>
    </cfRule>
    <cfRule type="cellIs" dxfId="383" priority="382" operator="greaterThan">
      <formula>1</formula>
    </cfRule>
  </conditionalFormatting>
  <conditionalFormatting sqref="E40:L40">
    <cfRule type="cellIs" dxfId="382" priority="386" operator="lessThan">
      <formula>50</formula>
    </cfRule>
    <cfRule type="cellIs" dxfId="381" priority="381" operator="greaterThan">
      <formula>50</formula>
    </cfRule>
    <cfRule type="cellIs" dxfId="380" priority="387" operator="greaterThan">
      <formula>50</formula>
    </cfRule>
  </conditionalFormatting>
  <conditionalFormatting sqref="E44:L44">
    <cfRule type="cellIs" dxfId="379" priority="380" operator="greaterThan">
      <formula>1</formula>
    </cfRule>
    <cfRule type="cellIs" dxfId="378" priority="379" operator="lessThan">
      <formula>1</formula>
    </cfRule>
    <cfRule type="cellIs" dxfId="377" priority="378" operator="greaterThan">
      <formula>1</formula>
    </cfRule>
    <cfRule type="cellIs" dxfId="376" priority="377" operator="greaterThan">
      <formula>1</formula>
    </cfRule>
  </conditionalFormatting>
  <conditionalFormatting sqref="E45:L45">
    <cfRule type="cellIs" dxfId="375" priority="376" operator="greaterThan">
      <formula>50</formula>
    </cfRule>
    <cfRule type="cellIs" dxfId="374" priority="375" operator="lessThan">
      <formula>50</formula>
    </cfRule>
    <cfRule type="cellIs" dxfId="373" priority="374" operator="greaterThan">
      <formula>50</formula>
    </cfRule>
  </conditionalFormatting>
  <conditionalFormatting sqref="E50:L50">
    <cfRule type="cellIs" dxfId="372" priority="181" operator="greaterThan">
      <formula>1</formula>
    </cfRule>
    <cfRule type="cellIs" dxfId="371" priority="179" operator="greaterThan">
      <formula>1</formula>
    </cfRule>
    <cfRule type="cellIs" dxfId="370" priority="178" operator="greaterThan">
      <formula>1</formula>
    </cfRule>
    <cfRule type="cellIs" dxfId="369" priority="177" operator="lessThan">
      <formula>1</formula>
    </cfRule>
    <cfRule type="cellIs" dxfId="368" priority="180" operator="lessThan">
      <formula>1</formula>
    </cfRule>
  </conditionalFormatting>
  <conditionalFormatting sqref="E51:L51">
    <cfRule type="cellIs" dxfId="367" priority="188" operator="greaterThan">
      <formula>50</formula>
    </cfRule>
    <cfRule type="cellIs" dxfId="366" priority="189" operator="lessThan">
      <formula>50</formula>
    </cfRule>
  </conditionalFormatting>
  <conditionalFormatting sqref="F370:K370">
    <cfRule type="cellIs" dxfId="365" priority="74" operator="lessThan">
      <formula>0</formula>
    </cfRule>
  </conditionalFormatting>
  <conditionalFormatting sqref="F320:L321">
    <cfRule type="cellIs" dxfId="364" priority="94" operator="lessThan">
      <formula>1</formula>
    </cfRule>
  </conditionalFormatting>
  <conditionalFormatting sqref="F483:L483">
    <cfRule type="cellIs" dxfId="363" priority="12" operator="lessThan">
      <formula>0</formula>
    </cfRule>
  </conditionalFormatting>
  <conditionalFormatting sqref="F484:L486">
    <cfRule type="cellIs" dxfId="362" priority="10" operator="greaterThan">
      <formula>0</formula>
    </cfRule>
  </conditionalFormatting>
  <conditionalFormatting sqref="F486:L486">
    <cfRule type="cellIs" dxfId="361" priority="14" operator="greaterThan">
      <formula>0</formula>
    </cfRule>
    <cfRule type="cellIs" dxfId="360" priority="15" operator="lessThan">
      <formula>0</formula>
    </cfRule>
  </conditionalFormatting>
  <conditionalFormatting sqref="G325:L325">
    <cfRule type="cellIs" dxfId="359" priority="100" operator="lessThan">
      <formula>1</formula>
    </cfRule>
    <cfRule type="cellIs" dxfId="358" priority="99" operator="greaterThan">
      <formula>0</formula>
    </cfRule>
  </conditionalFormatting>
  <conditionalFormatting sqref="H463:J463">
    <cfRule type="cellIs" dxfId="357" priority="3" operator="greaterThan">
      <formula>0</formula>
    </cfRule>
  </conditionalFormatting>
  <conditionalFormatting sqref="H59:K59">
    <cfRule type="cellIs" dxfId="356" priority="184" operator="greaterThan">
      <formula>0</formula>
    </cfRule>
  </conditionalFormatting>
  <conditionalFormatting sqref="H60:K60">
    <cfRule type="cellIs" dxfId="355" priority="183" operator="greaterThan">
      <formula>50</formula>
    </cfRule>
    <cfRule type="cellIs" dxfId="354" priority="185" operator="lessThan">
      <formula>50</formula>
    </cfRule>
    <cfRule type="cellIs" dxfId="353" priority="186" operator="greaterThan">
      <formula>50</formula>
    </cfRule>
    <cfRule type="cellIs" dxfId="352" priority="182" operator="lessThan">
      <formula>50</formula>
    </cfRule>
  </conditionalFormatting>
  <conditionalFormatting sqref="H339:K339">
    <cfRule type="cellIs" dxfId="351" priority="106" operator="greaterThan">
      <formula>0</formula>
    </cfRule>
    <cfRule type="cellIs" dxfId="350" priority="107" operator="lessThan">
      <formula>0</formula>
    </cfRule>
    <cfRule type="cellIs" dxfId="349" priority="108" operator="greaterThan">
      <formula>0</formula>
    </cfRule>
    <cfRule type="cellIs" dxfId="348" priority="102" operator="lessThan">
      <formula>0</formula>
    </cfRule>
  </conditionalFormatting>
  <conditionalFormatting sqref="H340:K340">
    <cfRule type="cellIs" dxfId="347" priority="101" operator="lessThan">
      <formula>50</formula>
    </cfRule>
    <cfRule type="cellIs" dxfId="346" priority="105" operator="greaterThan">
      <formula>50</formula>
    </cfRule>
    <cfRule type="cellIs" dxfId="345" priority="83" operator="greaterThan">
      <formula>50</formula>
    </cfRule>
  </conditionalFormatting>
  <conditionalFormatting sqref="H463:K463">
    <cfRule type="cellIs" dxfId="344" priority="2" operator="lessThan">
      <formula>0</formula>
    </cfRule>
  </conditionalFormatting>
  <conditionalFormatting sqref="H55:L55">
    <cfRule type="cellIs" dxfId="343" priority="187" operator="greaterThan">
      <formula>0</formula>
    </cfRule>
  </conditionalFormatting>
  <conditionalFormatting sqref="I360:K360">
    <cfRule type="cellIs" dxfId="342" priority="21" operator="greaterThan">
      <formula>0</formula>
    </cfRule>
    <cfRule type="cellIs" dxfId="341" priority="20" operator="lessThan">
      <formula>0</formula>
    </cfRule>
  </conditionalFormatting>
  <conditionalFormatting sqref="I464:K464">
    <cfRule type="cellIs" dxfId="340" priority="1" operator="lessThan">
      <formula>50</formula>
    </cfRule>
  </conditionalFormatting>
  <conditionalFormatting sqref="I329:L329">
    <cfRule type="cellIs" dxfId="339" priority="96" operator="lessThan">
      <formula>0</formula>
    </cfRule>
    <cfRule type="cellIs" dxfId="338" priority="89" operator="greaterThan">
      <formula>0</formula>
    </cfRule>
  </conditionalFormatting>
  <conditionalFormatting sqref="I330:L330">
    <cfRule type="cellIs" dxfId="337" priority="97" operator="lessThan">
      <formula>50</formula>
    </cfRule>
    <cfRule type="cellIs" dxfId="336" priority="95" operator="greaterThan">
      <formula>50</formula>
    </cfRule>
    <cfRule type="cellIs" dxfId="335" priority="88" operator="greaterThan">
      <formula>50</formula>
    </cfRule>
  </conditionalFormatting>
  <conditionalFormatting sqref="I334:L334">
    <cfRule type="cellIs" dxfId="334" priority="104" operator="lessThan">
      <formula>1</formula>
    </cfRule>
    <cfRule type="cellIs" dxfId="333" priority="86" operator="greaterThan">
      <formula>0</formula>
    </cfRule>
    <cfRule type="cellIs" dxfId="332" priority="103" operator="greaterThan">
      <formula>0</formula>
    </cfRule>
  </conditionalFormatting>
  <conditionalFormatting sqref="I335:L335">
    <cfRule type="cellIs" dxfId="331" priority="84" operator="greaterThan">
      <formula>50</formula>
    </cfRule>
  </conditionalFormatting>
  <conditionalFormatting sqref="K473">
    <cfRule type="cellIs" dxfId="330" priority="7" operator="lessThan">
      <formula>50</formula>
    </cfRule>
    <cfRule type="cellIs" dxfId="329" priority="8" operator="lessThan">
      <formula>50</formula>
    </cfRule>
    <cfRule type="cellIs" dxfId="328" priority="9" operator="greaterThan">
      <formula>50</formula>
    </cfRule>
  </conditionalFormatting>
  <hyperlinks>
    <hyperlink ref="M1" location="INDICADORES!A1" display="INDICADORES" xr:uid="{70427739-6E68-46E2-A04D-F5B24E18F544}"/>
    <hyperlink ref="O1" location="DISTRITOS!A1" display="DISTRITOS" xr:uid="{7E394A7C-8842-4D16-AA5A-3CDA522907B0}"/>
  </hyperlinks>
  <pageMargins left="0.7" right="0.7" top="0.75" bottom="0.75" header="0.3" footer="0.3"/>
  <pageSetup paperSize="9" orientation="portrait" r:id="rId1"/>
  <ignoredErrors>
    <ignoredError sqref="L47:L4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499FA-37CC-45B7-94B4-6359D62AE708}">
  <sheetPr codeName="Hoja2">
    <tabColor theme="8" tint="0.39997558519241921"/>
  </sheetPr>
  <dimension ref="A1:D22"/>
  <sheetViews>
    <sheetView zoomScale="50" zoomScaleNormal="50" workbookViewId="0">
      <selection sqref="A1:B1"/>
    </sheetView>
  </sheetViews>
  <sheetFormatPr baseColWidth="10" defaultColWidth="11.42578125" defaultRowHeight="15.75" x14ac:dyDescent="0.25"/>
  <cols>
    <col min="1" max="1" width="11.42578125" style="11"/>
    <col min="2" max="2" width="54.42578125" style="957" customWidth="1"/>
    <col min="3" max="3" width="11.42578125" style="11"/>
    <col min="4" max="4" width="22.140625" style="11" customWidth="1"/>
    <col min="5" max="16384" width="11.42578125" style="11"/>
  </cols>
  <sheetData>
    <row r="1" spans="1:4" ht="23.1" customHeight="1" thickBot="1" x14ac:dyDescent="0.3">
      <c r="A1" s="1087" t="s">
        <v>81</v>
      </c>
      <c r="B1" s="1088"/>
      <c r="C1" s="957"/>
      <c r="D1" s="957"/>
    </row>
    <row r="2" spans="1:4" ht="18" customHeight="1" thickBot="1" x14ac:dyDescent="0.3">
      <c r="A2" s="958">
        <v>1</v>
      </c>
      <c r="B2" s="959" t="s">
        <v>82</v>
      </c>
    </row>
    <row r="3" spans="1:4" ht="18" customHeight="1" thickBot="1" x14ac:dyDescent="0.3">
      <c r="A3" s="960">
        <v>2</v>
      </c>
      <c r="B3" s="961" t="s">
        <v>83</v>
      </c>
    </row>
    <row r="4" spans="1:4" ht="18" customHeight="1" thickBot="1" x14ac:dyDescent="0.3">
      <c r="A4" s="958">
        <v>3</v>
      </c>
      <c r="B4" s="959" t="s">
        <v>84</v>
      </c>
    </row>
    <row r="5" spans="1:4" ht="18" customHeight="1" thickBot="1" x14ac:dyDescent="0.3">
      <c r="A5" s="960">
        <v>4</v>
      </c>
      <c r="B5" s="961" t="s">
        <v>85</v>
      </c>
    </row>
    <row r="6" spans="1:4" ht="18" customHeight="1" thickBot="1" x14ac:dyDescent="0.3">
      <c r="A6" s="958">
        <v>5</v>
      </c>
      <c r="B6" s="959" t="s">
        <v>86</v>
      </c>
    </row>
    <row r="7" spans="1:4" ht="18" customHeight="1" thickBot="1" x14ac:dyDescent="0.3">
      <c r="A7" s="960">
        <v>6</v>
      </c>
      <c r="B7" s="961" t="s">
        <v>87</v>
      </c>
    </row>
    <row r="8" spans="1:4" ht="18" customHeight="1" thickBot="1" x14ac:dyDescent="0.3">
      <c r="A8" s="958">
        <v>7</v>
      </c>
      <c r="B8" s="959" t="s">
        <v>88</v>
      </c>
    </row>
    <row r="9" spans="1:4" ht="18" customHeight="1" thickBot="1" x14ac:dyDescent="0.3">
      <c r="A9" s="960">
        <v>8</v>
      </c>
      <c r="B9" s="961" t="s">
        <v>89</v>
      </c>
    </row>
    <row r="10" spans="1:4" ht="18" customHeight="1" thickBot="1" x14ac:dyDescent="0.3">
      <c r="A10" s="958">
        <v>9</v>
      </c>
      <c r="B10" s="959" t="s">
        <v>90</v>
      </c>
    </row>
    <row r="11" spans="1:4" ht="18" customHeight="1" thickBot="1" x14ac:dyDescent="0.3">
      <c r="A11" s="960">
        <v>10</v>
      </c>
      <c r="B11" s="961" t="s">
        <v>91</v>
      </c>
    </row>
    <row r="12" spans="1:4" ht="18" customHeight="1" thickBot="1" x14ac:dyDescent="0.3">
      <c r="A12" s="958">
        <v>11</v>
      </c>
      <c r="B12" s="959" t="s">
        <v>92</v>
      </c>
    </row>
    <row r="13" spans="1:4" ht="18" customHeight="1" thickBot="1" x14ac:dyDescent="0.3">
      <c r="A13" s="960">
        <v>12</v>
      </c>
      <c r="B13" s="961" t="s">
        <v>93</v>
      </c>
    </row>
    <row r="14" spans="1:4" ht="18" customHeight="1" thickBot="1" x14ac:dyDescent="0.3">
      <c r="A14" s="958">
        <v>13</v>
      </c>
      <c r="B14" s="959" t="s">
        <v>94</v>
      </c>
    </row>
    <row r="15" spans="1:4" ht="18" customHeight="1" thickBot="1" x14ac:dyDescent="0.3">
      <c r="A15" s="960">
        <v>14</v>
      </c>
      <c r="B15" s="961" t="s">
        <v>95</v>
      </c>
    </row>
    <row r="16" spans="1:4" ht="18" customHeight="1" thickBot="1" x14ac:dyDescent="0.3">
      <c r="A16" s="958">
        <v>15</v>
      </c>
      <c r="B16" s="959" t="s">
        <v>96</v>
      </c>
    </row>
    <row r="17" spans="1:2" ht="18" customHeight="1" thickBot="1" x14ac:dyDescent="0.3">
      <c r="A17" s="960">
        <v>16</v>
      </c>
      <c r="B17" s="961" t="s">
        <v>97</v>
      </c>
    </row>
    <row r="18" spans="1:2" ht="18" customHeight="1" thickBot="1" x14ac:dyDescent="0.3">
      <c r="A18" s="958">
        <v>17</v>
      </c>
      <c r="B18" s="959" t="s">
        <v>98</v>
      </c>
    </row>
    <row r="19" spans="1:2" ht="18" customHeight="1" thickBot="1" x14ac:dyDescent="0.3">
      <c r="A19" s="960">
        <v>18</v>
      </c>
      <c r="B19" s="961" t="s">
        <v>99</v>
      </c>
    </row>
    <row r="20" spans="1:2" ht="18" customHeight="1" thickBot="1" x14ac:dyDescent="0.3">
      <c r="A20" s="958">
        <v>19</v>
      </c>
      <c r="B20" s="959" t="s">
        <v>100</v>
      </c>
    </row>
    <row r="21" spans="1:2" ht="18" customHeight="1" thickBot="1" x14ac:dyDescent="0.3">
      <c r="A21" s="960">
        <v>20</v>
      </c>
      <c r="B21" s="961" t="s">
        <v>101</v>
      </c>
    </row>
    <row r="22" spans="1:2" ht="18" customHeight="1" thickBot="1" x14ac:dyDescent="0.3">
      <c r="A22" s="958">
        <v>21</v>
      </c>
      <c r="B22" s="959" t="s">
        <v>102</v>
      </c>
    </row>
  </sheetData>
  <mergeCells count="1">
    <mergeCell ref="A1:B1"/>
  </mergeCells>
  <hyperlinks>
    <hyperlink ref="B2" location="CENTRO!A1" display="CENTRO" xr:uid="{35E5516A-A603-43F5-88BC-0917886ECAC0}"/>
    <hyperlink ref="B21" location="'SAN BLAS-CANILLAJAS'!A1" display="SAN BLAS - CANILLEJAS" xr:uid="{36681B62-F733-4081-81C2-8C92655F2CD6}"/>
    <hyperlink ref="B22" location="BARAJAS!A1" display="BARAJAS" xr:uid="{83DDAA90-58FF-4CE6-B95B-03415F6743B5}"/>
    <hyperlink ref="B20" location="VICÁLVARO!A1" display="VICÁLVARO" xr:uid="{FC00B77A-418D-4702-8DAE-3CC97B3E4BBD}"/>
    <hyperlink ref="B3" location="ARGANZUELA!A1" display="ARGANZUELA" xr:uid="{B9A5C848-289A-43C8-98DD-B15D632EA5CB}"/>
    <hyperlink ref="B4" location="RETIRO!A1" display="RETIRO" xr:uid="{9F7A9C15-EF79-42FA-B87F-03CEEAAD9FC9}"/>
    <hyperlink ref="B5" location="SALAMANCA!A1" display="SALAMANCA" xr:uid="{FBB5DD91-C939-4BD7-A66E-0DE24B3F795F}"/>
    <hyperlink ref="B6" location="CHAMARTÍN!A1" display="CHAMARTÍN" xr:uid="{165AEC1E-14CD-4EA4-970B-81D8B06AB70D}"/>
    <hyperlink ref="B7" location="TETUÁN!A1" display="TETUÁN" xr:uid="{3FC0CFD8-5227-4C07-ACD1-695BB2285D29}"/>
    <hyperlink ref="B8" location="CHAMBERÍ!A1" display="CHAMBERÍ" xr:uid="{5BFDA456-CA47-433F-8578-2EB1572ED02D}"/>
    <hyperlink ref="B9" location="'FUENCARRAL-EL PARDO'!A1" display="FUENCARRAL - EL PARDO" xr:uid="{F1D58146-F636-4A24-9C0A-2E56DE82CD05}"/>
    <hyperlink ref="B10" location="'MONCLOA-ARAVACA'!A1" display="MONCLOA - ARAVACA" xr:uid="{4D3892BF-F901-40FF-B547-256115D675D4}"/>
    <hyperlink ref="B11" location="LATINA!A1" display="LATINA" xr:uid="{83057EED-E708-4B56-869B-32C9C6FB5D1D}"/>
    <hyperlink ref="B12" location="CARABANCHEL!A1" display="CARABANCHEL" xr:uid="{EA14CEE9-C5CB-446B-9009-72C9DB3E0FC0}"/>
    <hyperlink ref="B13" location="USERA!A1" display="USERA" xr:uid="{53D2A99F-3A5F-41C0-9B1E-DC603E5526E8}"/>
    <hyperlink ref="B14" location="'PUENTE DE VALLECAS'!A1" display="PUENTE DE VALLECAS" xr:uid="{0A682EE6-7C2A-49E2-B6F3-87D52782C4B4}"/>
    <hyperlink ref="B15" location="MORATALAZ!A1" display="MORATALAZ" xr:uid="{4FD24F90-31A6-488C-A2F3-29669B883D34}"/>
    <hyperlink ref="B16" location="'CIUDAD LINEAL'!A1" display="CIUDAD LINEAL" xr:uid="{DC5E0A15-A295-4256-A20D-B11D452CE7EE}"/>
    <hyperlink ref="B17" location="HORTALEZA!A1" display="HORTALEZA" xr:uid="{3C7520F9-5753-46EB-A9D3-B65F6F1D145E}"/>
    <hyperlink ref="B18" location="VILLAVERDE!A1" display="VILLAVERDE" xr:uid="{687C2332-6E22-4225-9C13-DC9120EE3C21}"/>
    <hyperlink ref="B19" location="'VILLA DE VALLECAS'!A1" display="VILLA DE VALLECAS" xr:uid="{043A7C4C-0453-4C72-A28C-7A6C4D5574DE}"/>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C423-15D8-4C69-AB61-59842DE715C6}">
  <sheetPr codeName="Hoja20">
    <tabColor theme="8" tint="-0.249977111117893"/>
  </sheetPr>
  <dimension ref="A1:O454"/>
  <sheetViews>
    <sheetView showGridLines="0" topLeftCell="C1" zoomScale="80" zoomScaleNormal="80" workbookViewId="0">
      <pane ySplit="2" topLeftCell="A435" activePane="bottomLeft" state="frozen"/>
      <selection activeCell="C3" activeCellId="1" sqref="K60 C3:K3"/>
      <selection pane="bottomLeft" activeCell="L441" sqref="L441"/>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4.5703125" style="11" customWidth="1"/>
    <col min="14" max="14" width="6.7109375" style="11" customWidth="1"/>
    <col min="15" max="15" width="14.5703125" style="11" customWidth="1"/>
    <col min="16" max="16384" width="11.42578125" style="11"/>
  </cols>
  <sheetData>
    <row r="1" spans="1:15" ht="30" customHeight="1" thickTop="1" thickBot="1" x14ac:dyDescent="0.3">
      <c r="A1" s="1020" t="s">
        <v>597</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row>
    <row r="3" spans="1:15" x14ac:dyDescent="0.25">
      <c r="A3" s="1878" t="s">
        <v>26</v>
      </c>
      <c r="B3" s="1194" t="s">
        <v>568</v>
      </c>
      <c r="C3" s="1210" t="s">
        <v>251</v>
      </c>
      <c r="D3" s="1211"/>
      <c r="E3" s="81">
        <v>143356</v>
      </c>
      <c r="F3" s="81">
        <v>149736</v>
      </c>
      <c r="G3" s="81">
        <v>140599</v>
      </c>
      <c r="H3" s="81">
        <v>154318</v>
      </c>
      <c r="I3" s="81">
        <v>154808</v>
      </c>
      <c r="J3" s="81">
        <v>153829</v>
      </c>
      <c r="K3" s="81">
        <v>159038</v>
      </c>
      <c r="L3" s="82">
        <v>167952</v>
      </c>
    </row>
    <row r="4" spans="1:15" x14ac:dyDescent="0.25">
      <c r="A4" s="1817"/>
      <c r="B4" s="1195"/>
      <c r="C4" s="1212" t="s">
        <v>257</v>
      </c>
      <c r="D4" s="1213"/>
      <c r="E4" s="80">
        <v>70280</v>
      </c>
      <c r="F4" s="80">
        <v>73688</v>
      </c>
      <c r="G4" s="80">
        <v>67542</v>
      </c>
      <c r="H4" s="80">
        <v>73639</v>
      </c>
      <c r="I4" s="80">
        <v>73947</v>
      </c>
      <c r="J4" s="80">
        <v>73598</v>
      </c>
      <c r="K4" s="80">
        <v>76131</v>
      </c>
      <c r="L4" s="83">
        <v>80563</v>
      </c>
    </row>
    <row r="5" spans="1:15" x14ac:dyDescent="0.25">
      <c r="A5" s="1817"/>
      <c r="B5" s="1195"/>
      <c r="C5" s="1212" t="s">
        <v>263</v>
      </c>
      <c r="D5" s="1213"/>
      <c r="E5" s="80">
        <v>73076</v>
      </c>
      <c r="F5" s="80">
        <v>76048</v>
      </c>
      <c r="G5" s="80">
        <v>73057</v>
      </c>
      <c r="H5" s="80">
        <v>80679</v>
      </c>
      <c r="I5" s="80">
        <v>80861</v>
      </c>
      <c r="J5" s="80">
        <v>80231</v>
      </c>
      <c r="K5" s="80">
        <v>82907</v>
      </c>
      <c r="L5" s="83">
        <v>87389</v>
      </c>
    </row>
    <row r="6" spans="1:15" x14ac:dyDescent="0.25">
      <c r="A6" s="1817"/>
      <c r="B6" s="1196"/>
      <c r="C6" s="1214" t="s">
        <v>269</v>
      </c>
      <c r="D6" s="1215"/>
      <c r="E6" s="363">
        <f>+E5-E4</f>
        <v>2796</v>
      </c>
      <c r="F6" s="363">
        <f t="shared" ref="F6:L6" si="0">+F5-F4</f>
        <v>2360</v>
      </c>
      <c r="G6" s="363">
        <f t="shared" si="0"/>
        <v>5515</v>
      </c>
      <c r="H6" s="363">
        <f t="shared" si="0"/>
        <v>7040</v>
      </c>
      <c r="I6" s="363">
        <f t="shared" si="0"/>
        <v>6914</v>
      </c>
      <c r="J6" s="363">
        <f t="shared" si="0"/>
        <v>6633</v>
      </c>
      <c r="K6" s="363">
        <f t="shared" si="0"/>
        <v>6776</v>
      </c>
      <c r="L6" s="365">
        <f t="shared" si="0"/>
        <v>6826</v>
      </c>
    </row>
    <row r="7" spans="1:15" ht="16.5" thickBot="1" x14ac:dyDescent="0.3">
      <c r="A7" s="1817"/>
      <c r="B7" s="1197"/>
      <c r="C7" s="1169" t="s">
        <v>270</v>
      </c>
      <c r="D7" s="1126"/>
      <c r="E7" s="366">
        <f>E5/E3*100</f>
        <v>50.975194620385608</v>
      </c>
      <c r="F7" s="366">
        <f t="shared" ref="F7:L7" si="1">F5/F3*100</f>
        <v>50.78805364107496</v>
      </c>
      <c r="G7" s="366">
        <f t="shared" si="1"/>
        <v>51.961251502500019</v>
      </c>
      <c r="H7" s="366">
        <f t="shared" si="1"/>
        <v>52.281004160240542</v>
      </c>
      <c r="I7" s="366">
        <f t="shared" si="1"/>
        <v>52.233088729264644</v>
      </c>
      <c r="J7" s="366">
        <f t="shared" si="1"/>
        <v>52.155965390140999</v>
      </c>
      <c r="K7" s="366">
        <f t="shared" si="1"/>
        <v>52.130308479734403</v>
      </c>
      <c r="L7" s="367">
        <f t="shared" si="1"/>
        <v>52.032128227112509</v>
      </c>
    </row>
    <row r="8" spans="1:15" x14ac:dyDescent="0.25">
      <c r="A8" s="1783"/>
      <c r="B8" s="1896" t="s">
        <v>569</v>
      </c>
      <c r="C8" s="1300" t="s">
        <v>257</v>
      </c>
      <c r="D8" s="168" t="s">
        <v>272</v>
      </c>
      <c r="E8" s="81">
        <v>70280</v>
      </c>
      <c r="F8" s="81">
        <v>73688</v>
      </c>
      <c r="G8" s="81">
        <v>67542</v>
      </c>
      <c r="H8" s="81">
        <v>73639</v>
      </c>
      <c r="I8" s="81">
        <v>73947</v>
      </c>
      <c r="J8" s="81">
        <v>73598</v>
      </c>
      <c r="K8" s="81">
        <v>76131</v>
      </c>
      <c r="L8" s="82">
        <v>80563</v>
      </c>
    </row>
    <row r="9" spans="1:15" x14ac:dyDescent="0.25">
      <c r="A9" s="1783"/>
      <c r="B9" s="1760"/>
      <c r="C9" s="1301"/>
      <c r="D9" s="164" t="s">
        <v>275</v>
      </c>
      <c r="E9" s="80">
        <v>11250</v>
      </c>
      <c r="F9" s="80">
        <v>12812</v>
      </c>
      <c r="G9" s="80">
        <v>12256</v>
      </c>
      <c r="H9" s="80">
        <v>12988</v>
      </c>
      <c r="I9" s="80">
        <v>12742</v>
      </c>
      <c r="J9" s="80">
        <v>12471</v>
      </c>
      <c r="K9" s="80">
        <v>12617</v>
      </c>
      <c r="L9" s="83">
        <v>11920</v>
      </c>
    </row>
    <row r="10" spans="1:15" x14ac:dyDescent="0.25">
      <c r="A10" s="1783"/>
      <c r="B10" s="1760"/>
      <c r="C10" s="1301"/>
      <c r="D10" s="164" t="s">
        <v>282</v>
      </c>
      <c r="E10" s="80">
        <v>48818</v>
      </c>
      <c r="F10" s="80">
        <v>50454</v>
      </c>
      <c r="G10" s="80">
        <v>44772</v>
      </c>
      <c r="H10" s="80">
        <v>50151</v>
      </c>
      <c r="I10" s="80">
        <v>50886</v>
      </c>
      <c r="J10" s="80">
        <v>50879</v>
      </c>
      <c r="K10" s="80">
        <v>53075</v>
      </c>
      <c r="L10" s="83">
        <v>57792</v>
      </c>
    </row>
    <row r="11" spans="1:15" x14ac:dyDescent="0.25">
      <c r="A11" s="1783"/>
      <c r="B11" s="1760"/>
      <c r="C11" s="1301"/>
      <c r="D11" s="164" t="s">
        <v>288</v>
      </c>
      <c r="E11" s="80">
        <v>10212</v>
      </c>
      <c r="F11" s="80">
        <v>10422</v>
      </c>
      <c r="G11" s="80">
        <v>10514</v>
      </c>
      <c r="H11" s="80">
        <v>10500</v>
      </c>
      <c r="I11" s="80">
        <v>10319</v>
      </c>
      <c r="J11" s="80">
        <v>10248</v>
      </c>
      <c r="K11" s="80">
        <v>10439</v>
      </c>
      <c r="L11" s="83">
        <v>10851</v>
      </c>
    </row>
    <row r="12" spans="1:15" x14ac:dyDescent="0.25">
      <c r="A12" s="1783"/>
      <c r="B12" s="1760"/>
      <c r="C12" s="1301"/>
      <c r="D12" s="164" t="s">
        <v>295</v>
      </c>
      <c r="E12" s="80">
        <v>1579</v>
      </c>
      <c r="F12" s="80">
        <v>2254</v>
      </c>
      <c r="G12" s="80">
        <v>3271</v>
      </c>
      <c r="H12" s="80">
        <v>3654</v>
      </c>
      <c r="I12" s="80">
        <v>3575</v>
      </c>
      <c r="J12" s="80">
        <v>3428</v>
      </c>
      <c r="K12" s="80">
        <v>3410</v>
      </c>
      <c r="L12" s="83">
        <v>3495</v>
      </c>
    </row>
    <row r="13" spans="1:15" ht="16.5" thickBot="1" x14ac:dyDescent="0.3">
      <c r="A13" s="1783"/>
      <c r="B13" s="1760"/>
      <c r="C13" s="1302"/>
      <c r="D13" s="169" t="s">
        <v>296</v>
      </c>
      <c r="E13" s="267">
        <v>0</v>
      </c>
      <c r="F13" s="267">
        <v>0</v>
      </c>
      <c r="G13" s="267">
        <v>0</v>
      </c>
      <c r="H13" s="267">
        <v>0</v>
      </c>
      <c r="I13" s="267">
        <v>0</v>
      </c>
      <c r="J13" s="267">
        <v>0</v>
      </c>
      <c r="K13" s="267">
        <v>0</v>
      </c>
      <c r="L13" s="268">
        <v>0</v>
      </c>
    </row>
    <row r="14" spans="1:15" x14ac:dyDescent="0.25">
      <c r="A14" s="1783"/>
      <c r="B14" s="1760"/>
      <c r="C14" s="1300" t="s">
        <v>263</v>
      </c>
      <c r="D14" s="168" t="s">
        <v>272</v>
      </c>
      <c r="E14" s="81">
        <v>73076</v>
      </c>
      <c r="F14" s="81">
        <v>76048</v>
      </c>
      <c r="G14" s="81">
        <v>73057</v>
      </c>
      <c r="H14" s="81">
        <v>80679</v>
      </c>
      <c r="I14" s="81">
        <v>80861</v>
      </c>
      <c r="J14" s="81">
        <v>80231</v>
      </c>
      <c r="K14" s="81">
        <v>82907</v>
      </c>
      <c r="L14" s="82">
        <v>87389</v>
      </c>
    </row>
    <row r="15" spans="1:15" x14ac:dyDescent="0.25">
      <c r="A15" s="1783"/>
      <c r="B15" s="1760"/>
      <c r="C15" s="1301"/>
      <c r="D15" s="164" t="s">
        <v>275</v>
      </c>
      <c r="E15" s="80">
        <v>11053</v>
      </c>
      <c r="F15" s="80">
        <v>12038</v>
      </c>
      <c r="G15" s="80">
        <v>11593</v>
      </c>
      <c r="H15" s="80">
        <v>12203</v>
      </c>
      <c r="I15" s="80">
        <v>12013</v>
      </c>
      <c r="J15" s="80">
        <v>11747</v>
      </c>
      <c r="K15" s="80">
        <v>11917</v>
      </c>
      <c r="L15" s="83">
        <v>11395</v>
      </c>
    </row>
    <row r="16" spans="1:15" x14ac:dyDescent="0.25">
      <c r="A16" s="1783"/>
      <c r="B16" s="1760"/>
      <c r="C16" s="1301"/>
      <c r="D16" s="164" t="s">
        <v>282</v>
      </c>
      <c r="E16" s="80">
        <v>48110</v>
      </c>
      <c r="F16" s="80">
        <v>49279</v>
      </c>
      <c r="G16" s="80">
        <v>46188</v>
      </c>
      <c r="H16" s="80">
        <v>52913</v>
      </c>
      <c r="I16" s="80">
        <v>53409</v>
      </c>
      <c r="J16" s="80">
        <v>53070</v>
      </c>
      <c r="K16" s="80">
        <v>55426</v>
      </c>
      <c r="L16" s="83">
        <v>59952</v>
      </c>
    </row>
    <row r="17" spans="1:13" x14ac:dyDescent="0.25">
      <c r="A17" s="1783"/>
      <c r="B17" s="1760"/>
      <c r="C17" s="1301"/>
      <c r="D17" s="164" t="s">
        <v>288</v>
      </c>
      <c r="E17" s="80">
        <v>13913</v>
      </c>
      <c r="F17" s="80">
        <v>14730</v>
      </c>
      <c r="G17" s="80">
        <v>15276</v>
      </c>
      <c r="H17" s="80">
        <v>15563</v>
      </c>
      <c r="I17" s="80">
        <v>15439</v>
      </c>
      <c r="J17" s="80">
        <v>15414</v>
      </c>
      <c r="K17" s="80">
        <v>15564</v>
      </c>
      <c r="L17" s="83">
        <v>16042</v>
      </c>
    </row>
    <row r="18" spans="1:13" x14ac:dyDescent="0.25">
      <c r="A18" s="1783"/>
      <c r="B18" s="1760"/>
      <c r="C18" s="1301"/>
      <c r="D18" s="164" t="s">
        <v>295</v>
      </c>
      <c r="E18" s="80">
        <v>3022</v>
      </c>
      <c r="F18" s="80">
        <v>3977</v>
      </c>
      <c r="G18" s="80">
        <v>5413</v>
      </c>
      <c r="H18" s="80">
        <v>6151</v>
      </c>
      <c r="I18" s="80">
        <v>6231</v>
      </c>
      <c r="J18" s="80">
        <v>6187</v>
      </c>
      <c r="K18" s="80">
        <v>6156</v>
      </c>
      <c r="L18" s="83">
        <v>6322</v>
      </c>
    </row>
    <row r="19" spans="1:13" ht="16.5" thickBot="1" x14ac:dyDescent="0.3">
      <c r="A19" s="1783"/>
      <c r="B19" s="1760"/>
      <c r="C19" s="1302"/>
      <c r="D19" s="169" t="s">
        <v>296</v>
      </c>
      <c r="E19" s="267">
        <v>0</v>
      </c>
      <c r="F19" s="267">
        <v>1</v>
      </c>
      <c r="G19" s="267">
        <v>0</v>
      </c>
      <c r="H19" s="267">
        <v>0</v>
      </c>
      <c r="I19" s="267">
        <v>0</v>
      </c>
      <c r="J19" s="267">
        <v>0</v>
      </c>
      <c r="K19" s="267">
        <v>0</v>
      </c>
      <c r="L19" s="268">
        <v>0</v>
      </c>
    </row>
    <row r="20" spans="1:13" x14ac:dyDescent="0.25">
      <c r="A20" s="1783"/>
      <c r="B20" s="1760"/>
      <c r="C20" s="1306" t="s">
        <v>269</v>
      </c>
      <c r="D20" s="535" t="s">
        <v>272</v>
      </c>
      <c r="E20" s="375">
        <f>E14-E8</f>
        <v>2796</v>
      </c>
      <c r="F20" s="375">
        <f t="shared" ref="F20:L20" si="2">F14-F8</f>
        <v>2360</v>
      </c>
      <c r="G20" s="375">
        <f t="shared" si="2"/>
        <v>5515</v>
      </c>
      <c r="H20" s="375">
        <f t="shared" si="2"/>
        <v>7040</v>
      </c>
      <c r="I20" s="375">
        <f t="shared" si="2"/>
        <v>6914</v>
      </c>
      <c r="J20" s="375">
        <f t="shared" si="2"/>
        <v>6633</v>
      </c>
      <c r="K20" s="375">
        <f t="shared" si="2"/>
        <v>6776</v>
      </c>
      <c r="L20" s="376">
        <f t="shared" si="2"/>
        <v>6826</v>
      </c>
    </row>
    <row r="21" spans="1:13" x14ac:dyDescent="0.25">
      <c r="A21" s="1783"/>
      <c r="B21" s="1760"/>
      <c r="C21" s="1307"/>
      <c r="D21" s="527" t="s">
        <v>275</v>
      </c>
      <c r="E21" s="157">
        <f t="shared" ref="E21:L24" si="3">E15-E9</f>
        <v>-197</v>
      </c>
      <c r="F21" s="157">
        <f t="shared" si="3"/>
        <v>-774</v>
      </c>
      <c r="G21" s="157">
        <f t="shared" si="3"/>
        <v>-663</v>
      </c>
      <c r="H21" s="157">
        <f t="shared" si="3"/>
        <v>-785</v>
      </c>
      <c r="I21" s="157">
        <f t="shared" si="3"/>
        <v>-729</v>
      </c>
      <c r="J21" s="157">
        <f t="shared" si="3"/>
        <v>-724</v>
      </c>
      <c r="K21" s="157">
        <f t="shared" si="3"/>
        <v>-700</v>
      </c>
      <c r="L21" s="160">
        <f t="shared" si="3"/>
        <v>-525</v>
      </c>
    </row>
    <row r="22" spans="1:13" x14ac:dyDescent="0.25">
      <c r="A22" s="1783"/>
      <c r="B22" s="1760"/>
      <c r="C22" s="1307"/>
      <c r="D22" s="527" t="s">
        <v>282</v>
      </c>
      <c r="E22" s="157">
        <f t="shared" si="3"/>
        <v>-708</v>
      </c>
      <c r="F22" s="157">
        <f t="shared" si="3"/>
        <v>-1175</v>
      </c>
      <c r="G22" s="363">
        <f t="shared" si="3"/>
        <v>1416</v>
      </c>
      <c r="H22" s="363">
        <f t="shared" si="3"/>
        <v>2762</v>
      </c>
      <c r="I22" s="363">
        <f t="shared" si="3"/>
        <v>2523</v>
      </c>
      <c r="J22" s="363">
        <f t="shared" si="3"/>
        <v>2191</v>
      </c>
      <c r="K22" s="363">
        <f t="shared" si="3"/>
        <v>2351</v>
      </c>
      <c r="L22" s="365">
        <f t="shared" si="3"/>
        <v>2160</v>
      </c>
    </row>
    <row r="23" spans="1:13" x14ac:dyDescent="0.25">
      <c r="A23" s="1783"/>
      <c r="B23" s="1760"/>
      <c r="C23" s="1307"/>
      <c r="D23" s="527" t="s">
        <v>288</v>
      </c>
      <c r="E23" s="363">
        <f t="shared" si="3"/>
        <v>3701</v>
      </c>
      <c r="F23" s="363">
        <f t="shared" si="3"/>
        <v>4308</v>
      </c>
      <c r="G23" s="363">
        <f t="shared" si="3"/>
        <v>4762</v>
      </c>
      <c r="H23" s="363">
        <f t="shared" si="3"/>
        <v>5063</v>
      </c>
      <c r="I23" s="363">
        <f t="shared" si="3"/>
        <v>5120</v>
      </c>
      <c r="J23" s="363">
        <f t="shared" si="3"/>
        <v>5166</v>
      </c>
      <c r="K23" s="363">
        <f t="shared" si="3"/>
        <v>5125</v>
      </c>
      <c r="L23" s="365">
        <f t="shared" si="3"/>
        <v>5191</v>
      </c>
    </row>
    <row r="24" spans="1:13" ht="16.5" thickBot="1" x14ac:dyDescent="0.3">
      <c r="A24" s="1783"/>
      <c r="B24" s="1760"/>
      <c r="C24" s="1308"/>
      <c r="D24" s="538" t="s">
        <v>295</v>
      </c>
      <c r="E24" s="382">
        <f t="shared" si="3"/>
        <v>1443</v>
      </c>
      <c r="F24" s="382">
        <f t="shared" si="3"/>
        <v>1723</v>
      </c>
      <c r="G24" s="382">
        <f t="shared" si="3"/>
        <v>2142</v>
      </c>
      <c r="H24" s="382">
        <f t="shared" si="3"/>
        <v>2497</v>
      </c>
      <c r="I24" s="382">
        <f t="shared" si="3"/>
        <v>2656</v>
      </c>
      <c r="J24" s="382">
        <f t="shared" si="3"/>
        <v>2759</v>
      </c>
      <c r="K24" s="382">
        <f t="shared" si="3"/>
        <v>2746</v>
      </c>
      <c r="L24" s="383">
        <f t="shared" si="3"/>
        <v>2827</v>
      </c>
    </row>
    <row r="25" spans="1:13" x14ac:dyDescent="0.25">
      <c r="A25" s="1783"/>
      <c r="B25" s="1760"/>
      <c r="C25" s="1265" t="s">
        <v>270</v>
      </c>
      <c r="D25" s="535" t="s">
        <v>272</v>
      </c>
      <c r="E25" s="384">
        <f>E14/E3*100</f>
        <v>50.975194620385608</v>
      </c>
      <c r="F25" s="384">
        <f t="shared" ref="F25:L25" si="4">F14/F3*100</f>
        <v>50.78805364107496</v>
      </c>
      <c r="G25" s="384">
        <f t="shared" si="4"/>
        <v>51.961251502500019</v>
      </c>
      <c r="H25" s="384">
        <f t="shared" si="4"/>
        <v>52.281004160240542</v>
      </c>
      <c r="I25" s="384">
        <f t="shared" si="4"/>
        <v>52.233088729264644</v>
      </c>
      <c r="J25" s="384">
        <f t="shared" si="4"/>
        <v>52.155965390140999</v>
      </c>
      <c r="K25" s="384">
        <f t="shared" si="4"/>
        <v>52.130308479734403</v>
      </c>
      <c r="L25" s="385">
        <f t="shared" si="4"/>
        <v>52.032128227112509</v>
      </c>
    </row>
    <row r="26" spans="1:13" x14ac:dyDescent="0.25">
      <c r="A26" s="1783"/>
      <c r="B26" s="1760"/>
      <c r="C26" s="1360"/>
      <c r="D26" s="527" t="s">
        <v>275</v>
      </c>
      <c r="E26" s="158">
        <f>(E15/(E15+E9))*100</f>
        <v>49.55835537820024</v>
      </c>
      <c r="F26" s="158">
        <f t="shared" ref="F26:L27" si="5">(F15/(F15+F9))*100</f>
        <v>48.442655935613679</v>
      </c>
      <c r="G26" s="158">
        <f t="shared" si="5"/>
        <v>48.610004612352718</v>
      </c>
      <c r="H26" s="158">
        <f t="shared" si="5"/>
        <v>48.441903854551228</v>
      </c>
      <c r="I26" s="158">
        <f t="shared" si="5"/>
        <v>48.527570187840837</v>
      </c>
      <c r="J26" s="158">
        <f t="shared" si="5"/>
        <v>48.505244033363617</v>
      </c>
      <c r="K26" s="158">
        <f t="shared" si="5"/>
        <v>48.573408331295347</v>
      </c>
      <c r="L26" s="330">
        <f t="shared" si="5"/>
        <v>48.874115376367143</v>
      </c>
    </row>
    <row r="27" spans="1:13" x14ac:dyDescent="0.25">
      <c r="A27" s="1783"/>
      <c r="B27" s="1760"/>
      <c r="C27" s="1360"/>
      <c r="D27" s="527" t="s">
        <v>282</v>
      </c>
      <c r="E27" s="158">
        <f>(E16/(E16+E10))*100</f>
        <v>49.634780455595909</v>
      </c>
      <c r="F27" s="158">
        <f t="shared" si="5"/>
        <v>49.410927175558747</v>
      </c>
      <c r="G27" s="364">
        <f t="shared" si="5"/>
        <v>50.778364116094984</v>
      </c>
      <c r="H27" s="364">
        <f t="shared" si="5"/>
        <v>51.339944112396182</v>
      </c>
      <c r="I27" s="364">
        <f t="shared" si="5"/>
        <v>51.209549834603777</v>
      </c>
      <c r="J27" s="364">
        <f t="shared" si="5"/>
        <v>51.053882192228883</v>
      </c>
      <c r="K27" s="364">
        <f t="shared" si="5"/>
        <v>51.083400152993988</v>
      </c>
      <c r="L27" s="386">
        <f t="shared" si="5"/>
        <v>50.917244190786789</v>
      </c>
    </row>
    <row r="28" spans="1:13" x14ac:dyDescent="0.25">
      <c r="A28" s="1783"/>
      <c r="B28" s="1760"/>
      <c r="C28" s="1360"/>
      <c r="D28" s="527" t="s">
        <v>288</v>
      </c>
      <c r="E28" s="364">
        <f t="shared" ref="E28:L29" si="6">(E17/(E17+E11))*100</f>
        <v>57.670466321243516</v>
      </c>
      <c r="F28" s="364">
        <f t="shared" si="6"/>
        <v>58.563931297709928</v>
      </c>
      <c r="G28" s="364">
        <f t="shared" si="6"/>
        <v>59.232260566110895</v>
      </c>
      <c r="H28" s="364">
        <f t="shared" si="6"/>
        <v>59.713003107854043</v>
      </c>
      <c r="I28" s="364">
        <f t="shared" si="6"/>
        <v>59.938659833838024</v>
      </c>
      <c r="J28" s="364">
        <f t="shared" si="6"/>
        <v>60.065466448445171</v>
      </c>
      <c r="K28" s="364">
        <f t="shared" si="6"/>
        <v>59.85463215782795</v>
      </c>
      <c r="L28" s="386">
        <f t="shared" si="6"/>
        <v>59.651210352136239</v>
      </c>
    </row>
    <row r="29" spans="1:13" ht="16.5" thickBot="1" x14ac:dyDescent="0.3">
      <c r="A29" s="1783"/>
      <c r="B29" s="1902"/>
      <c r="C29" s="1361"/>
      <c r="D29" s="538" t="s">
        <v>295</v>
      </c>
      <c r="E29" s="366">
        <f t="shared" si="6"/>
        <v>65.681373614431649</v>
      </c>
      <c r="F29" s="366">
        <f t="shared" si="6"/>
        <v>63.826031134649327</v>
      </c>
      <c r="G29" s="366">
        <f t="shared" si="6"/>
        <v>62.333026255181942</v>
      </c>
      <c r="H29" s="366">
        <f t="shared" si="6"/>
        <v>62.733299337072921</v>
      </c>
      <c r="I29" s="366">
        <f t="shared" si="6"/>
        <v>63.542728941464411</v>
      </c>
      <c r="J29" s="366">
        <f t="shared" si="6"/>
        <v>64.347373894955794</v>
      </c>
      <c r="K29" s="366">
        <f t="shared" si="6"/>
        <v>64.352916579552584</v>
      </c>
      <c r="L29" s="367">
        <f t="shared" si="6"/>
        <v>64.39849241112357</v>
      </c>
    </row>
    <row r="30" spans="1:13" ht="17.25" thickTop="1" thickBot="1" x14ac:dyDescent="0.3">
      <c r="A30" s="1783"/>
      <c r="B30" s="823" t="s">
        <v>249</v>
      </c>
      <c r="C30" s="1675"/>
      <c r="D30" s="1675"/>
      <c r="E30" s="112">
        <v>2005</v>
      </c>
      <c r="F30" s="112">
        <v>2010</v>
      </c>
      <c r="G30" s="112">
        <v>2015</v>
      </c>
      <c r="H30" s="112">
        <v>2020</v>
      </c>
      <c r="I30" s="112">
        <v>2021</v>
      </c>
      <c r="J30" s="112">
        <v>2022</v>
      </c>
      <c r="K30" s="112">
        <v>2023</v>
      </c>
      <c r="L30" s="112">
        <v>2024</v>
      </c>
      <c r="M30" s="482"/>
    </row>
    <row r="31" spans="1:13" x14ac:dyDescent="0.25">
      <c r="A31" s="1817"/>
      <c r="B31" s="1194" t="s">
        <v>570</v>
      </c>
      <c r="C31" s="1211" t="s">
        <v>272</v>
      </c>
      <c r="D31" s="1541"/>
      <c r="E31" s="81">
        <v>25421</v>
      </c>
      <c r="F31" s="81">
        <v>35670</v>
      </c>
      <c r="G31" s="81">
        <v>22669</v>
      </c>
      <c r="H31" s="81">
        <v>32745</v>
      </c>
      <c r="I31" s="81">
        <v>33784</v>
      </c>
      <c r="J31" s="81">
        <v>33207</v>
      </c>
      <c r="K31" s="81">
        <v>37603</v>
      </c>
      <c r="L31" s="82">
        <f>L32+L33</f>
        <v>44142</v>
      </c>
    </row>
    <row r="32" spans="1:13" x14ac:dyDescent="0.25">
      <c r="A32" s="1817"/>
      <c r="B32" s="1195"/>
      <c r="C32" s="1124" t="s">
        <v>257</v>
      </c>
      <c r="D32" s="1124"/>
      <c r="E32" s="80">
        <v>13272</v>
      </c>
      <c r="F32" s="80">
        <v>18887</v>
      </c>
      <c r="G32" s="80">
        <v>11368</v>
      </c>
      <c r="H32" s="80">
        <v>15934</v>
      </c>
      <c r="I32" s="80">
        <v>16571</v>
      </c>
      <c r="J32" s="80">
        <v>16400</v>
      </c>
      <c r="K32" s="80">
        <v>18530</v>
      </c>
      <c r="L32" s="83">
        <v>21887</v>
      </c>
    </row>
    <row r="33" spans="1:12" x14ac:dyDescent="0.25">
      <c r="A33" s="1817"/>
      <c r="B33" s="1195"/>
      <c r="C33" s="1124" t="s">
        <v>263</v>
      </c>
      <c r="D33" s="1124"/>
      <c r="E33" s="80">
        <v>12149</v>
      </c>
      <c r="F33" s="80">
        <v>16783</v>
      </c>
      <c r="G33" s="80">
        <v>11301</v>
      </c>
      <c r="H33" s="80">
        <v>16811</v>
      </c>
      <c r="I33" s="80">
        <v>17213</v>
      </c>
      <c r="J33" s="80">
        <v>16807</v>
      </c>
      <c r="K33" s="80">
        <v>19073</v>
      </c>
      <c r="L33" s="83">
        <v>22255</v>
      </c>
    </row>
    <row r="34" spans="1:12" x14ac:dyDescent="0.25">
      <c r="A34" s="1817"/>
      <c r="B34" s="1195"/>
      <c r="C34" s="1112" t="s">
        <v>269</v>
      </c>
      <c r="D34" s="1112"/>
      <c r="E34" s="157">
        <f>+E33-E32</f>
        <v>-1123</v>
      </c>
      <c r="F34" s="157">
        <f t="shared" ref="F34:L34" si="7">+F33-F32</f>
        <v>-2104</v>
      </c>
      <c r="G34" s="157">
        <f t="shared" si="7"/>
        <v>-67</v>
      </c>
      <c r="H34" s="363">
        <f t="shared" si="7"/>
        <v>877</v>
      </c>
      <c r="I34" s="363">
        <f t="shared" si="7"/>
        <v>642</v>
      </c>
      <c r="J34" s="363">
        <f t="shared" si="7"/>
        <v>407</v>
      </c>
      <c r="K34" s="363">
        <f t="shared" si="7"/>
        <v>543</v>
      </c>
      <c r="L34" s="365">
        <f t="shared" si="7"/>
        <v>368</v>
      </c>
    </row>
    <row r="35" spans="1:12" ht="16.5" thickBot="1" x14ac:dyDescent="0.3">
      <c r="A35" s="1817"/>
      <c r="B35" s="1595"/>
      <c r="C35" s="1126" t="s">
        <v>270</v>
      </c>
      <c r="D35" s="1126"/>
      <c r="E35" s="161">
        <f>E33/E31*100</f>
        <v>47.791196255064712</v>
      </c>
      <c r="F35" s="161">
        <f t="shared" ref="F35:L35" si="8">F33/F31*100</f>
        <v>47.050742921222316</v>
      </c>
      <c r="G35" s="161">
        <f t="shared" si="8"/>
        <v>49.852221094887291</v>
      </c>
      <c r="H35" s="366">
        <f t="shared" si="8"/>
        <v>51.339135745915407</v>
      </c>
      <c r="I35" s="366">
        <f t="shared" si="8"/>
        <v>50.950153919014916</v>
      </c>
      <c r="J35" s="366">
        <f t="shared" si="8"/>
        <v>50.612822597645078</v>
      </c>
      <c r="K35" s="366">
        <f t="shared" si="8"/>
        <v>50.722016860356888</v>
      </c>
      <c r="L35" s="367">
        <f t="shared" si="8"/>
        <v>50.416836572878445</v>
      </c>
    </row>
    <row r="36" spans="1:12" ht="15" customHeight="1" x14ac:dyDescent="0.25">
      <c r="A36" s="1817"/>
      <c r="B36" s="1194" t="s">
        <v>342</v>
      </c>
      <c r="C36" s="1147" t="s">
        <v>343</v>
      </c>
      <c r="D36" s="1147"/>
      <c r="E36" s="195">
        <f>E37+E38</f>
        <v>4499</v>
      </c>
      <c r="F36" s="195">
        <f t="shared" ref="F36:L36" si="9">F37+F38</f>
        <v>5246</v>
      </c>
      <c r="G36" s="195">
        <f t="shared" si="9"/>
        <v>5847</v>
      </c>
      <c r="H36" s="195">
        <f t="shared" si="9"/>
        <v>6014</v>
      </c>
      <c r="I36" s="195">
        <f t="shared" si="9"/>
        <v>6081</v>
      </c>
      <c r="J36" s="195">
        <f t="shared" si="9"/>
        <v>6205</v>
      </c>
      <c r="K36" s="195">
        <f t="shared" si="9"/>
        <v>6302</v>
      </c>
      <c r="L36" s="196">
        <f t="shared" si="9"/>
        <v>6563</v>
      </c>
    </row>
    <row r="37" spans="1:12" x14ac:dyDescent="0.25">
      <c r="A37" s="1817"/>
      <c r="B37" s="1195"/>
      <c r="C37" s="1124" t="s">
        <v>344</v>
      </c>
      <c r="D37" s="1124"/>
      <c r="E37" s="181">
        <v>883</v>
      </c>
      <c r="F37" s="80">
        <v>1074</v>
      </c>
      <c r="G37" s="80">
        <v>1270</v>
      </c>
      <c r="H37" s="80">
        <v>1308</v>
      </c>
      <c r="I37" s="80">
        <v>1313</v>
      </c>
      <c r="J37" s="80">
        <v>1359</v>
      </c>
      <c r="K37" s="80">
        <v>1433</v>
      </c>
      <c r="L37" s="83">
        <v>1561</v>
      </c>
    </row>
    <row r="38" spans="1:12" x14ac:dyDescent="0.25">
      <c r="A38" s="1817"/>
      <c r="B38" s="1195"/>
      <c r="C38" s="1124" t="s">
        <v>345</v>
      </c>
      <c r="D38" s="1124"/>
      <c r="E38" s="80">
        <v>3616</v>
      </c>
      <c r="F38" s="80">
        <v>4172</v>
      </c>
      <c r="G38" s="80">
        <v>4577</v>
      </c>
      <c r="H38" s="80">
        <v>4706</v>
      </c>
      <c r="I38" s="80">
        <v>4768</v>
      </c>
      <c r="J38" s="80">
        <v>4846</v>
      </c>
      <c r="K38" s="80">
        <v>4869</v>
      </c>
      <c r="L38" s="83">
        <v>5002</v>
      </c>
    </row>
    <row r="39" spans="1:12" x14ac:dyDescent="0.25">
      <c r="A39" s="1817"/>
      <c r="B39" s="1195"/>
      <c r="C39" s="1112" t="s">
        <v>269</v>
      </c>
      <c r="D39" s="1112"/>
      <c r="E39" s="157">
        <f>E38-E37</f>
        <v>2733</v>
      </c>
      <c r="F39" s="157">
        <f t="shared" ref="F39:L39" si="10">F38-F37</f>
        <v>3098</v>
      </c>
      <c r="G39" s="157">
        <f t="shared" si="10"/>
        <v>3307</v>
      </c>
      <c r="H39" s="157">
        <f t="shared" si="10"/>
        <v>3398</v>
      </c>
      <c r="I39" s="157">
        <f t="shared" si="10"/>
        <v>3455</v>
      </c>
      <c r="J39" s="157">
        <f t="shared" si="10"/>
        <v>3487</v>
      </c>
      <c r="K39" s="157">
        <f t="shared" si="10"/>
        <v>3436</v>
      </c>
      <c r="L39" s="160">
        <f t="shared" si="10"/>
        <v>3441</v>
      </c>
    </row>
    <row r="40" spans="1:12" ht="16.5" thickBot="1" x14ac:dyDescent="0.3">
      <c r="A40" s="1817"/>
      <c r="B40" s="1755"/>
      <c r="C40" s="1178" t="s">
        <v>346</v>
      </c>
      <c r="D40" s="1178"/>
      <c r="E40" s="165">
        <f t="shared" ref="E40:L40" si="11">E38/E36*100</f>
        <v>80.373416314736616</v>
      </c>
      <c r="F40" s="165">
        <f t="shared" si="11"/>
        <v>79.527258863896293</v>
      </c>
      <c r="G40" s="165">
        <f t="shared" si="11"/>
        <v>78.279459551906967</v>
      </c>
      <c r="H40" s="165">
        <f t="shared" si="11"/>
        <v>78.250748254073827</v>
      </c>
      <c r="I40" s="165">
        <f t="shared" si="11"/>
        <v>78.408156553198481</v>
      </c>
      <c r="J40" s="165">
        <f t="shared" si="11"/>
        <v>78.098307816277185</v>
      </c>
      <c r="K40" s="165">
        <f t="shared" si="11"/>
        <v>77.26118692478579</v>
      </c>
      <c r="L40" s="166">
        <f t="shared" si="11"/>
        <v>76.215145512722842</v>
      </c>
    </row>
    <row r="41" spans="1:12" ht="15" customHeight="1" x14ac:dyDescent="0.25">
      <c r="A41" s="1817"/>
      <c r="B41" s="1194" t="s">
        <v>134</v>
      </c>
      <c r="C41" s="1206" t="s">
        <v>348</v>
      </c>
      <c r="D41" s="1206"/>
      <c r="E41" s="195">
        <f>E42+E43</f>
        <v>825</v>
      </c>
      <c r="F41" s="195">
        <f t="shared" ref="F41:L41" si="12">F42+F43</f>
        <v>1138</v>
      </c>
      <c r="G41" s="195">
        <f t="shared" si="12"/>
        <v>1424</v>
      </c>
      <c r="H41" s="195">
        <f t="shared" si="12"/>
        <v>1517</v>
      </c>
      <c r="I41" s="195">
        <f t="shared" si="12"/>
        <v>1495</v>
      </c>
      <c r="J41" s="195">
        <f t="shared" si="12"/>
        <v>1543</v>
      </c>
      <c r="K41" s="195">
        <f t="shared" si="12"/>
        <v>1501</v>
      </c>
      <c r="L41" s="196">
        <f t="shared" si="12"/>
        <v>1479</v>
      </c>
    </row>
    <row r="42" spans="1:12" x14ac:dyDescent="0.25">
      <c r="A42" s="1817"/>
      <c r="B42" s="1195"/>
      <c r="C42" s="1124" t="s">
        <v>349</v>
      </c>
      <c r="D42" s="1124"/>
      <c r="E42" s="181">
        <v>121</v>
      </c>
      <c r="F42" s="181">
        <v>223</v>
      </c>
      <c r="G42" s="181">
        <v>223</v>
      </c>
      <c r="H42" s="181">
        <v>202</v>
      </c>
      <c r="I42" s="181">
        <v>198</v>
      </c>
      <c r="J42" s="181">
        <v>198</v>
      </c>
      <c r="K42" s="181">
        <v>167</v>
      </c>
      <c r="L42" s="199">
        <v>179</v>
      </c>
    </row>
    <row r="43" spans="1:12" x14ac:dyDescent="0.25">
      <c r="A43" s="1817"/>
      <c r="B43" s="1195"/>
      <c r="C43" s="1124" t="s">
        <v>350</v>
      </c>
      <c r="D43" s="1124"/>
      <c r="E43" s="181">
        <v>704</v>
      </c>
      <c r="F43" s="80">
        <v>915</v>
      </c>
      <c r="G43" s="80">
        <v>1201</v>
      </c>
      <c r="H43" s="80">
        <v>1315</v>
      </c>
      <c r="I43" s="80">
        <v>1297</v>
      </c>
      <c r="J43" s="80">
        <v>1345</v>
      </c>
      <c r="K43" s="80">
        <v>1334</v>
      </c>
      <c r="L43" s="199">
        <v>1300</v>
      </c>
    </row>
    <row r="44" spans="1:12" x14ac:dyDescent="0.25">
      <c r="A44" s="1817"/>
      <c r="B44" s="1195"/>
      <c r="C44" s="1112" t="s">
        <v>269</v>
      </c>
      <c r="D44" s="1112"/>
      <c r="E44" s="157">
        <f>E43-E42</f>
        <v>583</v>
      </c>
      <c r="F44" s="157">
        <f t="shared" ref="F44:L44" si="13">F43-F42</f>
        <v>692</v>
      </c>
      <c r="G44" s="157">
        <f t="shared" si="13"/>
        <v>978</v>
      </c>
      <c r="H44" s="157">
        <f t="shared" si="13"/>
        <v>1113</v>
      </c>
      <c r="I44" s="157">
        <f t="shared" si="13"/>
        <v>1099</v>
      </c>
      <c r="J44" s="157">
        <f t="shared" si="13"/>
        <v>1147</v>
      </c>
      <c r="K44" s="157">
        <f t="shared" si="13"/>
        <v>1167</v>
      </c>
      <c r="L44" s="160">
        <f t="shared" si="13"/>
        <v>1121</v>
      </c>
    </row>
    <row r="45" spans="1:12" x14ac:dyDescent="0.25">
      <c r="A45" s="1818"/>
      <c r="B45" s="1755"/>
      <c r="C45" s="1178" t="s">
        <v>351</v>
      </c>
      <c r="D45" s="1178"/>
      <c r="E45" s="165">
        <f t="shared" ref="E45:L45" si="14">E43/E41*100</f>
        <v>85.333333333333343</v>
      </c>
      <c r="F45" s="165">
        <f t="shared" si="14"/>
        <v>80.404217926186291</v>
      </c>
      <c r="G45" s="165">
        <f t="shared" si="14"/>
        <v>84.339887640449433</v>
      </c>
      <c r="H45" s="165">
        <f t="shared" si="14"/>
        <v>86.68424522083059</v>
      </c>
      <c r="I45" s="165">
        <f t="shared" si="14"/>
        <v>86.755852842809361</v>
      </c>
      <c r="J45" s="165">
        <f t="shared" si="14"/>
        <v>87.167854828256637</v>
      </c>
      <c r="K45" s="165">
        <f t="shared" si="14"/>
        <v>88.874083944037309</v>
      </c>
      <c r="L45" s="166">
        <f t="shared" si="14"/>
        <v>87.89722785665991</v>
      </c>
    </row>
    <row r="46" spans="1:12" ht="16.5" thickBot="1" x14ac:dyDescent="0.3">
      <c r="A46" s="338" t="s">
        <v>248</v>
      </c>
      <c r="B46" s="463" t="s">
        <v>249</v>
      </c>
      <c r="C46" s="1422"/>
      <c r="D46" s="1422"/>
      <c r="E46" s="616">
        <v>2005</v>
      </c>
      <c r="F46" s="616">
        <v>2010</v>
      </c>
      <c r="G46" s="616">
        <v>2015</v>
      </c>
      <c r="H46" s="616">
        <v>2020</v>
      </c>
      <c r="I46" s="616">
        <v>2021</v>
      </c>
      <c r="J46" s="616">
        <v>2022</v>
      </c>
      <c r="K46" s="616">
        <v>2023</v>
      </c>
      <c r="L46" s="616">
        <v>2024</v>
      </c>
    </row>
    <row r="47" spans="1:12" x14ac:dyDescent="0.25">
      <c r="A47" s="1814" t="s">
        <v>38</v>
      </c>
      <c r="B47" s="1219" t="s">
        <v>352</v>
      </c>
      <c r="C47" s="1898" t="s">
        <v>251</v>
      </c>
      <c r="D47" s="1650"/>
      <c r="E47" s="225">
        <v>5854</v>
      </c>
      <c r="F47" s="225">
        <v>13474</v>
      </c>
      <c r="G47" s="225">
        <v>13765</v>
      </c>
      <c r="H47" s="225">
        <v>13121</v>
      </c>
      <c r="I47" s="225">
        <v>13431</v>
      </c>
      <c r="J47" s="225">
        <v>9559</v>
      </c>
      <c r="K47" s="225">
        <v>9673</v>
      </c>
      <c r="L47" s="902">
        <v>9238</v>
      </c>
    </row>
    <row r="48" spans="1:12" x14ac:dyDescent="0.25">
      <c r="A48" s="1815"/>
      <c r="B48" s="1220"/>
      <c r="C48" s="1148" t="s">
        <v>257</v>
      </c>
      <c r="D48" s="1124"/>
      <c r="E48" s="96">
        <v>2307</v>
      </c>
      <c r="F48" s="96">
        <v>7190</v>
      </c>
      <c r="G48" s="96">
        <v>6800</v>
      </c>
      <c r="H48" s="96">
        <v>5677</v>
      </c>
      <c r="I48" s="96">
        <v>5585</v>
      </c>
      <c r="J48" s="96">
        <v>3876</v>
      </c>
      <c r="K48" s="96">
        <v>3956</v>
      </c>
      <c r="L48" s="83">
        <v>3830</v>
      </c>
    </row>
    <row r="49" spans="1:12" x14ac:dyDescent="0.25">
      <c r="A49" s="1815"/>
      <c r="B49" s="1220"/>
      <c r="C49" s="1148" t="s">
        <v>263</v>
      </c>
      <c r="D49" s="1124"/>
      <c r="E49" s="96">
        <v>3547</v>
      </c>
      <c r="F49" s="96">
        <v>6284</v>
      </c>
      <c r="G49" s="96">
        <v>6965</v>
      </c>
      <c r="H49" s="96">
        <v>7444</v>
      </c>
      <c r="I49" s="96">
        <v>7846</v>
      </c>
      <c r="J49" s="96">
        <v>5683</v>
      </c>
      <c r="K49" s="96">
        <v>5717</v>
      </c>
      <c r="L49" s="83">
        <v>5408</v>
      </c>
    </row>
    <row r="50" spans="1:12" x14ac:dyDescent="0.25">
      <c r="A50" s="1815"/>
      <c r="B50" s="1220"/>
      <c r="C50" s="1190" t="s">
        <v>353</v>
      </c>
      <c r="D50" s="1112"/>
      <c r="E50" s="157">
        <f t="shared" ref="E50:L50" si="15">+E49-E48</f>
        <v>1240</v>
      </c>
      <c r="F50" s="363">
        <f t="shared" si="15"/>
        <v>-906</v>
      </c>
      <c r="G50" s="157">
        <f t="shared" si="15"/>
        <v>165</v>
      </c>
      <c r="H50" s="157">
        <f t="shared" si="15"/>
        <v>1767</v>
      </c>
      <c r="I50" s="157">
        <f t="shared" si="15"/>
        <v>2261</v>
      </c>
      <c r="J50" s="157">
        <f t="shared" si="15"/>
        <v>1807</v>
      </c>
      <c r="K50" s="157">
        <f t="shared" si="15"/>
        <v>1761</v>
      </c>
      <c r="L50" s="160">
        <f t="shared" si="15"/>
        <v>1578</v>
      </c>
    </row>
    <row r="51" spans="1:12" ht="16.5" thickBot="1" x14ac:dyDescent="0.3">
      <c r="A51" s="1815"/>
      <c r="B51" s="1221"/>
      <c r="C51" s="1169" t="s">
        <v>270</v>
      </c>
      <c r="D51" s="1126"/>
      <c r="E51" s="161">
        <f>E49/E47*100</f>
        <v>60.591048855483429</v>
      </c>
      <c r="F51" s="366">
        <f t="shared" ref="F51:L51" si="16">F49/F47*100</f>
        <v>46.637969422591659</v>
      </c>
      <c r="G51" s="161">
        <f t="shared" si="16"/>
        <v>50.599346167816925</v>
      </c>
      <c r="H51" s="161">
        <f t="shared" si="16"/>
        <v>56.733480679826229</v>
      </c>
      <c r="I51" s="161">
        <f t="shared" si="16"/>
        <v>58.417094780731148</v>
      </c>
      <c r="J51" s="161">
        <f t="shared" si="16"/>
        <v>59.451825504759917</v>
      </c>
      <c r="K51" s="161">
        <f t="shared" si="16"/>
        <v>59.102656879975193</v>
      </c>
      <c r="L51" s="162">
        <f t="shared" si="16"/>
        <v>58.540809699069065</v>
      </c>
    </row>
    <row r="52" spans="1:12" x14ac:dyDescent="0.25">
      <c r="A52" s="1815"/>
      <c r="B52" s="1219" t="s">
        <v>146</v>
      </c>
      <c r="C52" s="1898" t="s">
        <v>251</v>
      </c>
      <c r="D52" s="1650"/>
      <c r="E52" s="36"/>
      <c r="F52" s="36"/>
      <c r="G52" s="36"/>
      <c r="H52" s="36">
        <v>13.4</v>
      </c>
      <c r="I52" s="36">
        <v>10.94</v>
      </c>
      <c r="J52" s="36">
        <v>8.52</v>
      </c>
      <c r="K52" s="36">
        <v>8.02</v>
      </c>
      <c r="L52" s="20">
        <v>7.42</v>
      </c>
    </row>
    <row r="53" spans="1:12" x14ac:dyDescent="0.25">
      <c r="A53" s="1815"/>
      <c r="B53" s="1220"/>
      <c r="C53" s="1148" t="s">
        <v>257</v>
      </c>
      <c r="D53" s="1124"/>
      <c r="E53" s="28"/>
      <c r="F53" s="28"/>
      <c r="G53" s="28"/>
      <c r="H53" s="28">
        <v>11.85</v>
      </c>
      <c r="I53" s="28">
        <v>9.25</v>
      </c>
      <c r="J53" s="28">
        <v>7.35</v>
      </c>
      <c r="K53" s="28">
        <v>6.97</v>
      </c>
      <c r="L53" s="21">
        <v>6.27</v>
      </c>
    </row>
    <row r="54" spans="1:12" x14ac:dyDescent="0.25">
      <c r="A54" s="1815"/>
      <c r="B54" s="1220"/>
      <c r="C54" s="1222" t="s">
        <v>263</v>
      </c>
      <c r="D54" s="1223"/>
      <c r="E54" s="28"/>
      <c r="F54" s="28"/>
      <c r="G54" s="28"/>
      <c r="H54" s="28">
        <v>14.88</v>
      </c>
      <c r="I54" s="28">
        <v>12.56</v>
      </c>
      <c r="J54" s="28">
        <v>9.64</v>
      </c>
      <c r="K54" s="28">
        <v>9.0399999999999991</v>
      </c>
      <c r="L54" s="21">
        <v>8.5399999999999991</v>
      </c>
    </row>
    <row r="55" spans="1:12" ht="16.5" thickBot="1" x14ac:dyDescent="0.3">
      <c r="A55" s="1815"/>
      <c r="B55" s="1221"/>
      <c r="C55" s="1224" t="s">
        <v>354</v>
      </c>
      <c r="D55" s="1225"/>
      <c r="E55" s="33"/>
      <c r="F55" s="33"/>
      <c r="G55" s="33"/>
      <c r="H55" s="34">
        <f>+H54-H53</f>
        <v>3.0300000000000011</v>
      </c>
      <c r="I55" s="34">
        <f>+I54-I53</f>
        <v>3.3100000000000005</v>
      </c>
      <c r="J55" s="34">
        <f>+J54-J53</f>
        <v>2.2900000000000009</v>
      </c>
      <c r="K55" s="34">
        <f>+K54-K53</f>
        <v>2.0699999999999994</v>
      </c>
      <c r="L55" s="35">
        <f>+L54-L53</f>
        <v>2.2699999999999996</v>
      </c>
    </row>
    <row r="56" spans="1:12" x14ac:dyDescent="0.25">
      <c r="A56" s="1815"/>
      <c r="B56" s="1219" t="s">
        <v>151</v>
      </c>
      <c r="C56" s="1899" t="s">
        <v>251</v>
      </c>
      <c r="D56" s="1430"/>
      <c r="E56" s="36"/>
      <c r="F56" s="36"/>
      <c r="G56" s="36"/>
      <c r="H56" s="225">
        <v>1065</v>
      </c>
      <c r="I56" s="225">
        <v>1075</v>
      </c>
      <c r="J56" s="225">
        <v>1221</v>
      </c>
      <c r="K56" s="225">
        <v>1115</v>
      </c>
      <c r="L56" s="20"/>
    </row>
    <row r="57" spans="1:12" x14ac:dyDescent="0.25">
      <c r="A57" s="1815"/>
      <c r="B57" s="1220"/>
      <c r="C57" s="1229" t="s">
        <v>257</v>
      </c>
      <c r="D57" s="1230"/>
      <c r="E57" s="28"/>
      <c r="F57" s="28"/>
      <c r="G57" s="28"/>
      <c r="H57" s="96">
        <v>402</v>
      </c>
      <c r="I57" s="96">
        <v>387</v>
      </c>
      <c r="J57" s="96">
        <v>398</v>
      </c>
      <c r="K57" s="96">
        <v>400</v>
      </c>
      <c r="L57" s="21"/>
    </row>
    <row r="58" spans="1:12" x14ac:dyDescent="0.25">
      <c r="A58" s="1815"/>
      <c r="B58" s="1220"/>
      <c r="C58" s="1148" t="s">
        <v>263</v>
      </c>
      <c r="D58" s="1124"/>
      <c r="E58" s="28"/>
      <c r="F58" s="28"/>
      <c r="G58" s="28"/>
      <c r="H58" s="96">
        <v>663</v>
      </c>
      <c r="I58" s="96">
        <v>688</v>
      </c>
      <c r="J58" s="96">
        <v>823</v>
      </c>
      <c r="K58" s="96">
        <v>715</v>
      </c>
      <c r="L58" s="21"/>
    </row>
    <row r="59" spans="1:12" x14ac:dyDescent="0.25">
      <c r="A59" s="1815"/>
      <c r="B59" s="1220"/>
      <c r="C59" s="1190" t="s">
        <v>353</v>
      </c>
      <c r="D59" s="1112"/>
      <c r="E59" s="28"/>
      <c r="F59" s="28"/>
      <c r="G59" s="28"/>
      <c r="H59" s="44">
        <f>+H58-H57</f>
        <v>261</v>
      </c>
      <c r="I59" s="44">
        <f>+I58-I57</f>
        <v>301</v>
      </c>
      <c r="J59" s="44">
        <f>+J58-J57</f>
        <v>425</v>
      </c>
      <c r="K59" s="44">
        <f>+K58-K57</f>
        <v>315</v>
      </c>
      <c r="L59" s="21"/>
    </row>
    <row r="60" spans="1:12" ht="16.5" thickBot="1" x14ac:dyDescent="0.3">
      <c r="A60" s="1815"/>
      <c r="B60" s="1221"/>
      <c r="C60" s="1169" t="s">
        <v>270</v>
      </c>
      <c r="D60" s="1126"/>
      <c r="E60" s="33"/>
      <c r="F60" s="33"/>
      <c r="G60" s="33"/>
      <c r="H60" s="161">
        <f>H58/H56*100</f>
        <v>62.25352112676056</v>
      </c>
      <c r="I60" s="161">
        <f>I58/I56*100</f>
        <v>64</v>
      </c>
      <c r="J60" s="161">
        <f>J58/J56*100</f>
        <v>67.403767403767404</v>
      </c>
      <c r="K60" s="161">
        <f>K58/K56*100</f>
        <v>64.125560538116588</v>
      </c>
      <c r="L60" s="22"/>
    </row>
    <row r="61" spans="1:12" ht="16.5" thickBot="1" x14ac:dyDescent="0.3">
      <c r="A61" s="1779"/>
      <c r="B61" s="823" t="s">
        <v>249</v>
      </c>
      <c r="C61" s="1903"/>
      <c r="D61" s="1903"/>
      <c r="E61" s="907"/>
      <c r="F61" s="767">
        <v>2011</v>
      </c>
      <c r="G61" s="908"/>
      <c r="H61" s="907"/>
      <c r="I61" s="767">
        <v>2021</v>
      </c>
      <c r="J61" s="908"/>
      <c r="K61" s="907"/>
      <c r="L61" s="616">
        <v>2024</v>
      </c>
    </row>
    <row r="62" spans="1:12" x14ac:dyDescent="0.25">
      <c r="A62" s="1815"/>
      <c r="B62" s="1219" t="s">
        <v>156</v>
      </c>
      <c r="C62" s="1187" t="s">
        <v>355</v>
      </c>
      <c r="D62" s="207" t="s">
        <v>251</v>
      </c>
      <c r="E62" s="612"/>
      <c r="F62" s="81">
        <v>56440</v>
      </c>
      <c r="G62" s="103"/>
      <c r="H62" s="103"/>
      <c r="I62" s="81">
        <v>61377</v>
      </c>
      <c r="J62" s="36"/>
      <c r="K62" s="36"/>
      <c r="L62" s="20"/>
    </row>
    <row r="63" spans="1:12" ht="15" customHeight="1" x14ac:dyDescent="0.25">
      <c r="A63" s="1815"/>
      <c r="B63" s="1220"/>
      <c r="C63" s="1173"/>
      <c r="D63" s="28" t="s">
        <v>257</v>
      </c>
      <c r="E63" s="94"/>
      <c r="F63" s="80">
        <v>29535</v>
      </c>
      <c r="G63" s="95"/>
      <c r="H63" s="95"/>
      <c r="I63" s="80">
        <v>31524</v>
      </c>
      <c r="J63" s="28"/>
      <c r="K63" s="28"/>
      <c r="L63" s="21"/>
    </row>
    <row r="64" spans="1:12" x14ac:dyDescent="0.25">
      <c r="A64" s="1815"/>
      <c r="B64" s="1220"/>
      <c r="C64" s="1173"/>
      <c r="D64" s="28" t="s">
        <v>263</v>
      </c>
      <c r="E64" s="94"/>
      <c r="F64" s="80">
        <v>26905</v>
      </c>
      <c r="G64" s="95"/>
      <c r="H64" s="95"/>
      <c r="I64" s="80">
        <v>29853</v>
      </c>
      <c r="J64" s="28"/>
      <c r="K64" s="28"/>
      <c r="L64" s="21"/>
    </row>
    <row r="65" spans="1:12" hidden="1" x14ac:dyDescent="0.25">
      <c r="A65" s="1815"/>
      <c r="B65" s="1220"/>
      <c r="C65" s="1117" t="s">
        <v>356</v>
      </c>
      <c r="D65" s="144" t="s">
        <v>251</v>
      </c>
      <c r="E65" s="94"/>
      <c r="F65" s="80">
        <v>410</v>
      </c>
      <c r="G65" s="95"/>
      <c r="H65" s="95"/>
      <c r="I65" s="96"/>
      <c r="J65" s="28"/>
      <c r="K65" s="28"/>
      <c r="L65" s="21"/>
    </row>
    <row r="66" spans="1:12" hidden="1" x14ac:dyDescent="0.25">
      <c r="A66" s="1815"/>
      <c r="B66" s="1220"/>
      <c r="C66" s="1117"/>
      <c r="D66" s="28" t="s">
        <v>257</v>
      </c>
      <c r="E66" s="94"/>
      <c r="F66" s="80">
        <v>325</v>
      </c>
      <c r="G66" s="95"/>
      <c r="H66" s="95"/>
      <c r="I66" s="96"/>
      <c r="J66" s="28"/>
      <c r="K66" s="28"/>
      <c r="L66" s="21"/>
    </row>
    <row r="67" spans="1:12" hidden="1" x14ac:dyDescent="0.25">
      <c r="A67" s="1815"/>
      <c r="B67" s="1220"/>
      <c r="C67" s="1117"/>
      <c r="D67" s="28" t="s">
        <v>263</v>
      </c>
      <c r="E67" s="94"/>
      <c r="F67" s="80">
        <v>85</v>
      </c>
      <c r="G67" s="95"/>
      <c r="H67" s="95"/>
      <c r="I67" s="96"/>
      <c r="J67" s="28"/>
      <c r="K67" s="28"/>
      <c r="L67" s="21"/>
    </row>
    <row r="68" spans="1:12" hidden="1" x14ac:dyDescent="0.25">
      <c r="A68" s="1815"/>
      <c r="B68" s="1220"/>
      <c r="C68" s="1117"/>
      <c r="D68" s="28" t="s">
        <v>357</v>
      </c>
      <c r="E68" s="94"/>
      <c r="F68" s="97">
        <f>F67/F65*100</f>
        <v>20.73170731707317</v>
      </c>
      <c r="G68" s="94"/>
      <c r="H68" s="94"/>
      <c r="I68" s="28"/>
      <c r="J68" s="28"/>
      <c r="K68" s="28"/>
      <c r="L68" s="21"/>
    </row>
    <row r="69" spans="1:12" ht="14.85" hidden="1" customHeight="1" x14ac:dyDescent="0.25">
      <c r="A69" s="1815"/>
      <c r="B69" s="1220"/>
      <c r="C69" s="1117" t="s">
        <v>358</v>
      </c>
      <c r="D69" s="144" t="s">
        <v>251</v>
      </c>
      <c r="E69" s="94"/>
      <c r="F69" s="80">
        <v>160</v>
      </c>
      <c r="G69" s="80"/>
      <c r="H69" s="80"/>
      <c r="I69" s="80">
        <v>66</v>
      </c>
      <c r="J69" s="28"/>
      <c r="K69" s="28"/>
      <c r="L69" s="21"/>
    </row>
    <row r="70" spans="1:12" hidden="1" x14ac:dyDescent="0.25">
      <c r="A70" s="1815"/>
      <c r="B70" s="1220"/>
      <c r="C70" s="1117"/>
      <c r="D70" s="28" t="s">
        <v>257</v>
      </c>
      <c r="E70" s="94"/>
      <c r="F70" s="80">
        <v>70</v>
      </c>
      <c r="G70" s="80"/>
      <c r="H70" s="80"/>
      <c r="I70" s="80">
        <v>45</v>
      </c>
      <c r="J70" s="28"/>
      <c r="K70" s="28"/>
      <c r="L70" s="21"/>
    </row>
    <row r="71" spans="1:12" hidden="1" x14ac:dyDescent="0.25">
      <c r="A71" s="1815"/>
      <c r="B71" s="1220"/>
      <c r="C71" s="1117"/>
      <c r="D71" s="28" t="s">
        <v>263</v>
      </c>
      <c r="E71" s="94"/>
      <c r="F71" s="80">
        <v>90</v>
      </c>
      <c r="G71" s="80"/>
      <c r="H71" s="80"/>
      <c r="I71" s="80">
        <v>21</v>
      </c>
      <c r="J71" s="28"/>
      <c r="K71" s="28"/>
      <c r="L71" s="21"/>
    </row>
    <row r="72" spans="1:12" hidden="1" x14ac:dyDescent="0.25">
      <c r="A72" s="1815"/>
      <c r="B72" s="1220"/>
      <c r="C72" s="1117"/>
      <c r="D72" s="28" t="s">
        <v>357</v>
      </c>
      <c r="E72" s="94"/>
      <c r="F72" s="98">
        <f>F71/F69*100</f>
        <v>56.25</v>
      </c>
      <c r="G72" s="94"/>
      <c r="H72" s="94"/>
      <c r="I72" s="97">
        <f>I71/I69*100</f>
        <v>31.818181818181817</v>
      </c>
      <c r="J72" s="28"/>
      <c r="K72" s="28"/>
      <c r="L72" s="21"/>
    </row>
    <row r="73" spans="1:12" hidden="1" x14ac:dyDescent="0.25">
      <c r="A73" s="1815"/>
      <c r="B73" s="1220"/>
      <c r="C73" s="1117" t="s">
        <v>359</v>
      </c>
      <c r="D73" s="144" t="s">
        <v>251</v>
      </c>
      <c r="E73" s="94"/>
      <c r="F73" s="80">
        <v>550</v>
      </c>
      <c r="G73" s="80"/>
      <c r="H73" s="80"/>
      <c r="I73" s="80">
        <v>414</v>
      </c>
      <c r="J73" s="28"/>
      <c r="K73" s="28"/>
      <c r="L73" s="21"/>
    </row>
    <row r="74" spans="1:12" hidden="1" x14ac:dyDescent="0.25">
      <c r="A74" s="1815"/>
      <c r="B74" s="1220"/>
      <c r="C74" s="1117"/>
      <c r="D74" s="28" t="s">
        <v>257</v>
      </c>
      <c r="E74" s="94"/>
      <c r="F74" s="80">
        <v>360</v>
      </c>
      <c r="G74" s="80"/>
      <c r="H74" s="80"/>
      <c r="I74" s="80">
        <v>255</v>
      </c>
      <c r="J74" s="28"/>
      <c r="K74" s="28"/>
      <c r="L74" s="21"/>
    </row>
    <row r="75" spans="1:12" hidden="1" x14ac:dyDescent="0.25">
      <c r="A75" s="1815"/>
      <c r="B75" s="1220"/>
      <c r="C75" s="1117"/>
      <c r="D75" s="28" t="s">
        <v>263</v>
      </c>
      <c r="E75" s="94"/>
      <c r="F75" s="80">
        <v>190</v>
      </c>
      <c r="G75" s="80"/>
      <c r="H75" s="80"/>
      <c r="I75" s="80">
        <v>162</v>
      </c>
      <c r="J75" s="28"/>
      <c r="K75" s="28"/>
      <c r="L75" s="21"/>
    </row>
    <row r="76" spans="1:12" hidden="1" x14ac:dyDescent="0.25">
      <c r="A76" s="1815"/>
      <c r="B76" s="1220"/>
      <c r="C76" s="1117"/>
      <c r="D76" s="28" t="s">
        <v>357</v>
      </c>
      <c r="E76" s="94"/>
      <c r="F76" s="97">
        <f>F75/F73*100</f>
        <v>34.545454545454547</v>
      </c>
      <c r="G76" s="94"/>
      <c r="H76" s="94"/>
      <c r="I76" s="97">
        <f>I75/I73*100</f>
        <v>39.130434782608695</v>
      </c>
      <c r="J76" s="28"/>
      <c r="K76" s="28"/>
      <c r="L76" s="21"/>
    </row>
    <row r="77" spans="1:12" hidden="1" x14ac:dyDescent="0.25">
      <c r="A77" s="1815"/>
      <c r="B77" s="1220"/>
      <c r="C77" s="1117" t="s">
        <v>360</v>
      </c>
      <c r="D77" s="144" t="s">
        <v>251</v>
      </c>
      <c r="E77" s="94"/>
      <c r="F77" s="80">
        <v>740</v>
      </c>
      <c r="G77" s="80"/>
      <c r="H77" s="80"/>
      <c r="I77" s="80">
        <v>249</v>
      </c>
      <c r="J77" s="28"/>
      <c r="K77" s="28"/>
      <c r="L77" s="21"/>
    </row>
    <row r="78" spans="1:12" hidden="1" x14ac:dyDescent="0.25">
      <c r="A78" s="1815"/>
      <c r="B78" s="1220"/>
      <c r="C78" s="1117"/>
      <c r="D78" s="28" t="s">
        <v>257</v>
      </c>
      <c r="E78" s="94"/>
      <c r="F78" s="80">
        <v>525</v>
      </c>
      <c r="G78" s="80"/>
      <c r="H78" s="80"/>
      <c r="I78" s="80">
        <v>189</v>
      </c>
      <c r="J78" s="28"/>
      <c r="K78" s="28"/>
      <c r="L78" s="21"/>
    </row>
    <row r="79" spans="1:12" hidden="1" x14ac:dyDescent="0.25">
      <c r="A79" s="1815"/>
      <c r="B79" s="1220"/>
      <c r="C79" s="1117"/>
      <c r="D79" s="28" t="s">
        <v>263</v>
      </c>
      <c r="E79" s="94"/>
      <c r="F79" s="80">
        <v>215</v>
      </c>
      <c r="G79" s="80"/>
      <c r="H79" s="80"/>
      <c r="I79" s="80">
        <v>60</v>
      </c>
      <c r="J79" s="28"/>
      <c r="K79" s="28"/>
      <c r="L79" s="21"/>
    </row>
    <row r="80" spans="1:12" hidden="1" x14ac:dyDescent="0.25">
      <c r="A80" s="1815"/>
      <c r="B80" s="1220"/>
      <c r="C80" s="1117"/>
      <c r="D80" s="28" t="s">
        <v>357</v>
      </c>
      <c r="E80" s="94"/>
      <c r="F80" s="97">
        <f>F79/F77*100</f>
        <v>29.054054054054053</v>
      </c>
      <c r="G80" s="94"/>
      <c r="H80" s="94"/>
      <c r="I80" s="97">
        <f>I79/I77*100</f>
        <v>24.096385542168676</v>
      </c>
      <c r="J80" s="28"/>
      <c r="K80" s="28"/>
      <c r="L80" s="21"/>
    </row>
    <row r="81" spans="1:12" hidden="1" x14ac:dyDescent="0.25">
      <c r="A81" s="1815"/>
      <c r="B81" s="1220"/>
      <c r="C81" s="1117" t="s">
        <v>361</v>
      </c>
      <c r="D81" s="144" t="s">
        <v>251</v>
      </c>
      <c r="E81" s="94"/>
      <c r="F81" s="80">
        <v>115</v>
      </c>
      <c r="G81" s="80"/>
      <c r="H81" s="80"/>
      <c r="I81" s="80">
        <v>183</v>
      </c>
      <c r="J81" s="28"/>
      <c r="K81" s="28"/>
      <c r="L81" s="21"/>
    </row>
    <row r="82" spans="1:12" hidden="1" x14ac:dyDescent="0.25">
      <c r="A82" s="1815"/>
      <c r="B82" s="1220"/>
      <c r="C82" s="1117"/>
      <c r="D82" s="28" t="s">
        <v>257</v>
      </c>
      <c r="E82" s="94"/>
      <c r="F82" s="80">
        <v>50</v>
      </c>
      <c r="G82" s="80"/>
      <c r="H82" s="80"/>
      <c r="I82" s="80">
        <v>117</v>
      </c>
      <c r="J82" s="28"/>
      <c r="K82" s="28"/>
      <c r="L82" s="21"/>
    </row>
    <row r="83" spans="1:12" hidden="1" x14ac:dyDescent="0.25">
      <c r="A83" s="1815"/>
      <c r="B83" s="1220"/>
      <c r="C83" s="1117"/>
      <c r="D83" s="28" t="s">
        <v>263</v>
      </c>
      <c r="E83" s="94"/>
      <c r="F83" s="80">
        <v>65</v>
      </c>
      <c r="G83" s="80"/>
      <c r="H83" s="80"/>
      <c r="I83" s="80">
        <v>66</v>
      </c>
      <c r="J83" s="28"/>
      <c r="K83" s="28"/>
      <c r="L83" s="21"/>
    </row>
    <row r="84" spans="1:12" hidden="1" x14ac:dyDescent="0.25">
      <c r="A84" s="1815"/>
      <c r="B84" s="1220"/>
      <c r="C84" s="1117"/>
      <c r="D84" s="28" t="s">
        <v>357</v>
      </c>
      <c r="E84" s="94"/>
      <c r="F84" s="98">
        <f>(F83/F81)*100</f>
        <v>56.521739130434781</v>
      </c>
      <c r="G84" s="94"/>
      <c r="H84" s="94"/>
      <c r="I84" s="97">
        <f>I83/I81*100</f>
        <v>36.065573770491802</v>
      </c>
      <c r="J84" s="28"/>
      <c r="K84" s="28"/>
      <c r="L84" s="21"/>
    </row>
    <row r="85" spans="1:12" hidden="1" x14ac:dyDescent="0.25">
      <c r="A85" s="1815"/>
      <c r="B85" s="1220"/>
      <c r="C85" s="1117" t="s">
        <v>362</v>
      </c>
      <c r="D85" s="144" t="s">
        <v>251</v>
      </c>
      <c r="E85" s="94"/>
      <c r="F85" s="80">
        <v>95</v>
      </c>
      <c r="G85" s="80"/>
      <c r="H85" s="80"/>
      <c r="I85" s="80">
        <v>180</v>
      </c>
      <c r="J85" s="28"/>
      <c r="K85" s="28"/>
      <c r="L85" s="21"/>
    </row>
    <row r="86" spans="1:12" ht="15" hidden="1" customHeight="1" x14ac:dyDescent="0.25">
      <c r="A86" s="1815"/>
      <c r="B86" s="1220"/>
      <c r="C86" s="1117"/>
      <c r="D86" s="28" t="s">
        <v>257</v>
      </c>
      <c r="E86" s="94"/>
      <c r="F86" s="80">
        <v>40</v>
      </c>
      <c r="G86" s="80"/>
      <c r="H86" s="80"/>
      <c r="I86" s="80">
        <v>108</v>
      </c>
      <c r="J86" s="28"/>
      <c r="K86" s="28"/>
      <c r="L86" s="21"/>
    </row>
    <row r="87" spans="1:12" hidden="1" x14ac:dyDescent="0.25">
      <c r="A87" s="1815"/>
      <c r="B87" s="1220"/>
      <c r="C87" s="1117"/>
      <c r="D87" s="28" t="s">
        <v>263</v>
      </c>
      <c r="E87" s="94"/>
      <c r="F87" s="80">
        <v>55</v>
      </c>
      <c r="G87" s="80"/>
      <c r="H87" s="80"/>
      <c r="I87" s="80">
        <v>72</v>
      </c>
      <c r="J87" s="28"/>
      <c r="K87" s="28"/>
      <c r="L87" s="21"/>
    </row>
    <row r="88" spans="1:12" hidden="1" x14ac:dyDescent="0.25">
      <c r="A88" s="1815"/>
      <c r="B88" s="1220"/>
      <c r="C88" s="1117"/>
      <c r="D88" s="28" t="s">
        <v>357</v>
      </c>
      <c r="E88" s="94"/>
      <c r="F88" s="98">
        <f>(F87/F85)*100</f>
        <v>57.894736842105267</v>
      </c>
      <c r="G88" s="94"/>
      <c r="H88" s="94"/>
      <c r="I88" s="98">
        <f>I87/I85*100</f>
        <v>40</v>
      </c>
      <c r="J88" s="28"/>
      <c r="K88" s="28"/>
      <c r="L88" s="21"/>
    </row>
    <row r="89" spans="1:12" hidden="1" x14ac:dyDescent="0.25">
      <c r="A89" s="1815"/>
      <c r="B89" s="1220"/>
      <c r="C89" s="1117" t="s">
        <v>363</v>
      </c>
      <c r="D89" s="144" t="s">
        <v>251</v>
      </c>
      <c r="E89" s="94"/>
      <c r="F89" s="80">
        <v>1155</v>
      </c>
      <c r="G89" s="80"/>
      <c r="H89" s="80"/>
      <c r="I89" s="80">
        <v>1440</v>
      </c>
      <c r="J89" s="28"/>
      <c r="K89" s="28"/>
      <c r="L89" s="21"/>
    </row>
    <row r="90" spans="1:12" hidden="1" x14ac:dyDescent="0.25">
      <c r="A90" s="1815"/>
      <c r="B90" s="1220"/>
      <c r="C90" s="1117"/>
      <c r="D90" s="28" t="s">
        <v>257</v>
      </c>
      <c r="E90" s="94"/>
      <c r="F90" s="80">
        <v>275</v>
      </c>
      <c r="G90" s="80"/>
      <c r="H90" s="80"/>
      <c r="I90" s="80">
        <v>312</v>
      </c>
      <c r="J90" s="28"/>
      <c r="K90" s="28"/>
      <c r="L90" s="21"/>
    </row>
    <row r="91" spans="1:12" hidden="1" x14ac:dyDescent="0.25">
      <c r="A91" s="1815"/>
      <c r="B91" s="1220"/>
      <c r="C91" s="1117"/>
      <c r="D91" s="28" t="s">
        <v>263</v>
      </c>
      <c r="E91" s="94"/>
      <c r="F91" s="80">
        <v>880</v>
      </c>
      <c r="G91" s="80"/>
      <c r="H91" s="80"/>
      <c r="I91" s="80">
        <v>1125</v>
      </c>
      <c r="J91" s="28"/>
      <c r="K91" s="28"/>
      <c r="L91" s="21"/>
    </row>
    <row r="92" spans="1:12" hidden="1" x14ac:dyDescent="0.25">
      <c r="A92" s="1815"/>
      <c r="B92" s="1220"/>
      <c r="C92" s="1117"/>
      <c r="D92" s="28" t="s">
        <v>357</v>
      </c>
      <c r="E92" s="94"/>
      <c r="F92" s="99">
        <f>(F91/F89)*100</f>
        <v>76.19047619047619</v>
      </c>
      <c r="G92" s="94"/>
      <c r="H92" s="94"/>
      <c r="I92" s="99">
        <f>I91/I89*100</f>
        <v>78.125</v>
      </c>
      <c r="J92" s="28"/>
      <c r="K92" s="28"/>
      <c r="L92" s="21"/>
    </row>
    <row r="93" spans="1:12" hidden="1" x14ac:dyDescent="0.25">
      <c r="A93" s="1815"/>
      <c r="B93" s="1220"/>
      <c r="C93" s="1117" t="s">
        <v>364</v>
      </c>
      <c r="D93" s="144" t="s">
        <v>251</v>
      </c>
      <c r="E93" s="94"/>
      <c r="F93" s="80">
        <v>1325</v>
      </c>
      <c r="G93" s="80"/>
      <c r="H93" s="80"/>
      <c r="I93" s="80">
        <v>1638</v>
      </c>
      <c r="J93" s="28"/>
      <c r="K93" s="28"/>
      <c r="L93" s="21"/>
    </row>
    <row r="94" spans="1:12" ht="14.85" hidden="1" customHeight="1" x14ac:dyDescent="0.25">
      <c r="A94" s="1815"/>
      <c r="B94" s="1220"/>
      <c r="C94" s="1117"/>
      <c r="D94" s="28" t="s">
        <v>257</v>
      </c>
      <c r="E94" s="94"/>
      <c r="F94" s="80">
        <v>315</v>
      </c>
      <c r="G94" s="80"/>
      <c r="H94" s="80"/>
      <c r="I94" s="80">
        <v>438</v>
      </c>
      <c r="J94" s="28"/>
      <c r="K94" s="28"/>
      <c r="L94" s="21"/>
    </row>
    <row r="95" spans="1:12" hidden="1" x14ac:dyDescent="0.25">
      <c r="A95" s="1815"/>
      <c r="B95" s="1220"/>
      <c r="C95" s="1117"/>
      <c r="D95" s="28" t="s">
        <v>263</v>
      </c>
      <c r="E95" s="94"/>
      <c r="F95" s="80">
        <v>1010</v>
      </c>
      <c r="G95" s="80"/>
      <c r="H95" s="80"/>
      <c r="I95" s="80">
        <v>1200</v>
      </c>
      <c r="J95" s="28"/>
      <c r="K95" s="28"/>
      <c r="L95" s="21"/>
    </row>
    <row r="96" spans="1:12" hidden="1" x14ac:dyDescent="0.25">
      <c r="A96" s="1815"/>
      <c r="B96" s="1220"/>
      <c r="C96" s="1117"/>
      <c r="D96" s="28" t="s">
        <v>357</v>
      </c>
      <c r="E96" s="94"/>
      <c r="F96" s="99">
        <f>(F95/F93)*100</f>
        <v>76.226415094339629</v>
      </c>
      <c r="G96" s="94"/>
      <c r="H96" s="94"/>
      <c r="I96" s="99">
        <f>I95/I93*100</f>
        <v>73.260073260073256</v>
      </c>
      <c r="J96" s="28"/>
      <c r="K96" s="28"/>
      <c r="L96" s="21"/>
    </row>
    <row r="97" spans="1:12" hidden="1" x14ac:dyDescent="0.25">
      <c r="A97" s="1815"/>
      <c r="B97" s="1220"/>
      <c r="C97" s="1117" t="s">
        <v>365</v>
      </c>
      <c r="D97" s="144" t="s">
        <v>251</v>
      </c>
      <c r="E97" s="94"/>
      <c r="F97" s="80">
        <v>225</v>
      </c>
      <c r="G97" s="80"/>
      <c r="H97" s="80"/>
      <c r="I97" s="80">
        <v>438</v>
      </c>
      <c r="J97" s="28"/>
      <c r="K97" s="28"/>
      <c r="L97" s="21"/>
    </row>
    <row r="98" spans="1:12" hidden="1" x14ac:dyDescent="0.25">
      <c r="A98" s="1815"/>
      <c r="B98" s="1220"/>
      <c r="C98" s="1117"/>
      <c r="D98" s="28" t="s">
        <v>257</v>
      </c>
      <c r="E98" s="94"/>
      <c r="F98" s="80">
        <v>85</v>
      </c>
      <c r="G98" s="80"/>
      <c r="H98" s="80"/>
      <c r="I98" s="80">
        <v>141</v>
      </c>
      <c r="J98" s="28"/>
      <c r="K98" s="28"/>
      <c r="L98" s="21"/>
    </row>
    <row r="99" spans="1:12" hidden="1" x14ac:dyDescent="0.25">
      <c r="A99" s="1815"/>
      <c r="B99" s="1220"/>
      <c r="C99" s="1117"/>
      <c r="D99" s="28" t="s">
        <v>263</v>
      </c>
      <c r="E99" s="94"/>
      <c r="F99" s="80">
        <v>140</v>
      </c>
      <c r="G99" s="80"/>
      <c r="H99" s="80"/>
      <c r="I99" s="80">
        <v>297</v>
      </c>
      <c r="J99" s="28"/>
      <c r="K99" s="28"/>
      <c r="L99" s="21"/>
    </row>
    <row r="100" spans="1:12" hidden="1" x14ac:dyDescent="0.25">
      <c r="A100" s="1815"/>
      <c r="B100" s="1220"/>
      <c r="C100" s="1117"/>
      <c r="D100" s="28" t="s">
        <v>357</v>
      </c>
      <c r="E100" s="94"/>
      <c r="F100" s="99">
        <f>F99/F97*100</f>
        <v>62.222222222222221</v>
      </c>
      <c r="G100" s="94"/>
      <c r="H100" s="94"/>
      <c r="I100" s="99">
        <f>I99/I97*100</f>
        <v>67.808219178082197</v>
      </c>
      <c r="J100" s="28"/>
      <c r="K100" s="28"/>
      <c r="L100" s="21"/>
    </row>
    <row r="101" spans="1:12" hidden="1" x14ac:dyDescent="0.25">
      <c r="A101" s="1815"/>
      <c r="B101" s="1220"/>
      <c r="C101" s="1117" t="s">
        <v>366</v>
      </c>
      <c r="D101" s="144" t="s">
        <v>251</v>
      </c>
      <c r="E101" s="94"/>
      <c r="F101" s="80">
        <v>1130</v>
      </c>
      <c r="G101" s="80"/>
      <c r="H101" s="80"/>
      <c r="I101" s="80">
        <v>942</v>
      </c>
      <c r="J101" s="28"/>
      <c r="K101" s="28"/>
      <c r="L101" s="21"/>
    </row>
    <row r="102" spans="1:12" hidden="1" x14ac:dyDescent="0.25">
      <c r="A102" s="1815"/>
      <c r="B102" s="1220"/>
      <c r="C102" s="1117"/>
      <c r="D102" s="28" t="s">
        <v>257</v>
      </c>
      <c r="E102" s="94"/>
      <c r="F102" s="80">
        <v>780</v>
      </c>
      <c r="G102" s="80"/>
      <c r="H102" s="80"/>
      <c r="I102" s="80">
        <v>636</v>
      </c>
      <c r="J102" s="28"/>
      <c r="K102" s="28"/>
      <c r="L102" s="21"/>
    </row>
    <row r="103" spans="1:12" hidden="1" x14ac:dyDescent="0.25">
      <c r="A103" s="1815"/>
      <c r="B103" s="1220"/>
      <c r="C103" s="1117"/>
      <c r="D103" s="28" t="s">
        <v>263</v>
      </c>
      <c r="E103" s="94"/>
      <c r="F103" s="80">
        <v>350</v>
      </c>
      <c r="G103" s="80"/>
      <c r="H103" s="80"/>
      <c r="I103" s="80">
        <v>306</v>
      </c>
      <c r="J103" s="28"/>
      <c r="K103" s="28"/>
      <c r="L103" s="21"/>
    </row>
    <row r="104" spans="1:12" hidden="1" x14ac:dyDescent="0.25">
      <c r="A104" s="1815"/>
      <c r="B104" s="1220"/>
      <c r="C104" s="1117"/>
      <c r="D104" s="28" t="s">
        <v>357</v>
      </c>
      <c r="E104" s="94"/>
      <c r="F104" s="97">
        <f>(F103/F101)*100</f>
        <v>30.973451327433626</v>
      </c>
      <c r="G104" s="94"/>
      <c r="H104" s="94"/>
      <c r="I104" s="97">
        <f>I103/I101*100</f>
        <v>32.484076433121018</v>
      </c>
      <c r="J104" s="28"/>
      <c r="K104" s="28"/>
      <c r="L104" s="21"/>
    </row>
    <row r="105" spans="1:12" hidden="1" x14ac:dyDescent="0.25">
      <c r="A105" s="1815"/>
      <c r="B105" s="1220"/>
      <c r="C105" s="1117" t="s">
        <v>367</v>
      </c>
      <c r="D105" s="144" t="s">
        <v>251</v>
      </c>
      <c r="E105" s="94"/>
      <c r="F105" s="80">
        <v>205</v>
      </c>
      <c r="G105" s="80"/>
      <c r="H105" s="80"/>
      <c r="I105" s="80">
        <v>240</v>
      </c>
      <c r="J105" s="96"/>
      <c r="K105" s="28"/>
      <c r="L105" s="21"/>
    </row>
    <row r="106" spans="1:12" hidden="1" x14ac:dyDescent="0.25">
      <c r="A106" s="1815"/>
      <c r="B106" s="1220"/>
      <c r="C106" s="1117"/>
      <c r="D106" s="28" t="s">
        <v>257</v>
      </c>
      <c r="E106" s="94"/>
      <c r="F106" s="80">
        <v>85</v>
      </c>
      <c r="G106" s="80"/>
      <c r="H106" s="80"/>
      <c r="I106" s="80">
        <v>90</v>
      </c>
      <c r="J106" s="96"/>
      <c r="K106" s="28"/>
      <c r="L106" s="21"/>
    </row>
    <row r="107" spans="1:12" hidden="1" x14ac:dyDescent="0.25">
      <c r="A107" s="1815"/>
      <c r="B107" s="1220"/>
      <c r="C107" s="1117"/>
      <c r="D107" s="28" t="s">
        <v>263</v>
      </c>
      <c r="E107" s="94"/>
      <c r="F107" s="80">
        <v>115</v>
      </c>
      <c r="G107" s="80"/>
      <c r="H107" s="80"/>
      <c r="I107" s="80">
        <v>150</v>
      </c>
      <c r="J107" s="96"/>
      <c r="K107" s="28"/>
      <c r="L107" s="21"/>
    </row>
    <row r="108" spans="1:12" hidden="1" x14ac:dyDescent="0.25">
      <c r="A108" s="1815"/>
      <c r="B108" s="1220"/>
      <c r="C108" s="1117"/>
      <c r="D108" s="28" t="s">
        <v>357</v>
      </c>
      <c r="E108" s="94"/>
      <c r="F108" s="98">
        <f>(F107/F105)*100</f>
        <v>56.09756097560976</v>
      </c>
      <c r="G108" s="94"/>
      <c r="H108" s="94"/>
      <c r="I108" s="99">
        <f>I107/I105*100</f>
        <v>62.5</v>
      </c>
      <c r="J108" s="96"/>
      <c r="K108" s="28"/>
      <c r="L108" s="21"/>
    </row>
    <row r="109" spans="1:12" hidden="1" x14ac:dyDescent="0.25">
      <c r="A109" s="1815"/>
      <c r="B109" s="1220"/>
      <c r="C109" s="1117" t="s">
        <v>368</v>
      </c>
      <c r="D109" s="144" t="s">
        <v>251</v>
      </c>
      <c r="E109" s="94"/>
      <c r="F109" s="80">
        <v>785</v>
      </c>
      <c r="G109" s="80"/>
      <c r="H109" s="80"/>
      <c r="I109" s="80">
        <v>1188</v>
      </c>
      <c r="J109" s="96"/>
      <c r="K109" s="28"/>
      <c r="L109" s="21"/>
    </row>
    <row r="110" spans="1:12" hidden="1" x14ac:dyDescent="0.25">
      <c r="A110" s="1815"/>
      <c r="B110" s="1220"/>
      <c r="C110" s="1117"/>
      <c r="D110" s="28" t="s">
        <v>257</v>
      </c>
      <c r="E110" s="94"/>
      <c r="F110" s="80">
        <v>445</v>
      </c>
      <c r="G110" s="80"/>
      <c r="H110" s="80"/>
      <c r="I110" s="80">
        <v>591</v>
      </c>
      <c r="J110" s="96"/>
      <c r="K110" s="28"/>
      <c r="L110" s="21"/>
    </row>
    <row r="111" spans="1:12" hidden="1" x14ac:dyDescent="0.25">
      <c r="A111" s="1815"/>
      <c r="B111" s="1220"/>
      <c r="C111" s="1117"/>
      <c r="D111" s="28" t="s">
        <v>263</v>
      </c>
      <c r="E111" s="94"/>
      <c r="F111" s="80">
        <v>345</v>
      </c>
      <c r="G111" s="80"/>
      <c r="H111" s="80"/>
      <c r="I111" s="80">
        <v>597</v>
      </c>
      <c r="J111" s="96"/>
      <c r="K111" s="28"/>
      <c r="L111" s="21"/>
    </row>
    <row r="112" spans="1:12" hidden="1" x14ac:dyDescent="0.25">
      <c r="A112" s="1815"/>
      <c r="B112" s="1220"/>
      <c r="C112" s="1117"/>
      <c r="D112" s="28" t="s">
        <v>357</v>
      </c>
      <c r="E112" s="94"/>
      <c r="F112" s="98">
        <f>(F111/F109)*100</f>
        <v>43.949044585987259</v>
      </c>
      <c r="G112" s="94"/>
      <c r="H112" s="94"/>
      <c r="I112" s="98">
        <f>I111/I109*100</f>
        <v>50.252525252525245</v>
      </c>
      <c r="J112" s="96"/>
      <c r="K112" s="28"/>
      <c r="L112" s="21"/>
    </row>
    <row r="113" spans="1:12" hidden="1" x14ac:dyDescent="0.25">
      <c r="A113" s="1815"/>
      <c r="B113" s="1220"/>
      <c r="C113" s="1117" t="s">
        <v>369</v>
      </c>
      <c r="D113" s="144" t="s">
        <v>251</v>
      </c>
      <c r="E113" s="94"/>
      <c r="F113" s="80">
        <v>625</v>
      </c>
      <c r="G113" s="80"/>
      <c r="H113" s="80"/>
      <c r="I113" s="80">
        <v>999</v>
      </c>
      <c r="J113" s="96"/>
      <c r="K113" s="28"/>
      <c r="L113" s="21"/>
    </row>
    <row r="114" spans="1:12" hidden="1" x14ac:dyDescent="0.25">
      <c r="A114" s="1815"/>
      <c r="B114" s="1220"/>
      <c r="C114" s="1117"/>
      <c r="D114" s="28" t="s">
        <v>257</v>
      </c>
      <c r="E114" s="94"/>
      <c r="F114" s="80">
        <v>460</v>
      </c>
      <c r="G114" s="80"/>
      <c r="H114" s="80"/>
      <c r="I114" s="80">
        <v>735</v>
      </c>
      <c r="J114" s="96"/>
      <c r="K114" s="28"/>
      <c r="L114" s="21"/>
    </row>
    <row r="115" spans="1:12" hidden="1" x14ac:dyDescent="0.25">
      <c r="A115" s="1815"/>
      <c r="B115" s="1220"/>
      <c r="C115" s="1117"/>
      <c r="D115" s="28" t="s">
        <v>263</v>
      </c>
      <c r="E115" s="94"/>
      <c r="F115" s="80">
        <v>160</v>
      </c>
      <c r="G115" s="80"/>
      <c r="H115" s="80"/>
      <c r="I115" s="80">
        <v>264</v>
      </c>
      <c r="J115" s="96"/>
      <c r="K115" s="28"/>
      <c r="L115" s="21"/>
    </row>
    <row r="116" spans="1:12" hidden="1" x14ac:dyDescent="0.25">
      <c r="A116" s="1815"/>
      <c r="B116" s="1220"/>
      <c r="C116" s="1117"/>
      <c r="D116" s="28" t="s">
        <v>357</v>
      </c>
      <c r="E116" s="94"/>
      <c r="F116" s="97">
        <f>(F115/F113)*100</f>
        <v>25.6</v>
      </c>
      <c r="G116" s="94"/>
      <c r="H116" s="94"/>
      <c r="I116" s="97">
        <f>I115/I113*100</f>
        <v>26.426426426426424</v>
      </c>
      <c r="J116" s="96"/>
      <c r="K116" s="28"/>
      <c r="L116" s="21"/>
    </row>
    <row r="117" spans="1:12" hidden="1" x14ac:dyDescent="0.25">
      <c r="A117" s="1815"/>
      <c r="B117" s="1220"/>
      <c r="C117" s="1117" t="s">
        <v>370</v>
      </c>
      <c r="D117" s="144" t="s">
        <v>251</v>
      </c>
      <c r="E117" s="94"/>
      <c r="F117" s="80">
        <v>345</v>
      </c>
      <c r="G117" s="80"/>
      <c r="H117" s="80"/>
      <c r="I117" s="80">
        <v>429</v>
      </c>
      <c r="J117" s="96"/>
      <c r="K117" s="28"/>
      <c r="L117" s="21"/>
    </row>
    <row r="118" spans="1:12" hidden="1" x14ac:dyDescent="0.25">
      <c r="A118" s="1815"/>
      <c r="B118" s="1220"/>
      <c r="C118" s="1117"/>
      <c r="D118" s="28" t="s">
        <v>257</v>
      </c>
      <c r="E118" s="94"/>
      <c r="F118" s="80">
        <v>145</v>
      </c>
      <c r="G118" s="80"/>
      <c r="H118" s="80"/>
      <c r="I118" s="80">
        <v>114</v>
      </c>
      <c r="J118" s="96"/>
      <c r="K118" s="28"/>
      <c r="L118" s="21"/>
    </row>
    <row r="119" spans="1:12" hidden="1" x14ac:dyDescent="0.25">
      <c r="A119" s="1815"/>
      <c r="B119" s="1220"/>
      <c r="C119" s="1117"/>
      <c r="D119" s="28" t="s">
        <v>263</v>
      </c>
      <c r="E119" s="94"/>
      <c r="F119" s="80">
        <v>200</v>
      </c>
      <c r="G119" s="80"/>
      <c r="H119" s="80"/>
      <c r="I119" s="80">
        <v>318</v>
      </c>
      <c r="J119" s="96"/>
      <c r="K119" s="28"/>
      <c r="L119" s="21"/>
    </row>
    <row r="120" spans="1:12" hidden="1" x14ac:dyDescent="0.25">
      <c r="A120" s="1815"/>
      <c r="B120" s="1220"/>
      <c r="C120" s="1117"/>
      <c r="D120" s="28" t="s">
        <v>357</v>
      </c>
      <c r="E120" s="94"/>
      <c r="F120" s="98">
        <f>(F119/F117)*100</f>
        <v>57.971014492753625</v>
      </c>
      <c r="G120" s="94"/>
      <c r="H120" s="94"/>
      <c r="I120" s="99">
        <f>I119/I117*100</f>
        <v>74.12587412587412</v>
      </c>
      <c r="J120" s="96"/>
      <c r="K120" s="28"/>
      <c r="L120" s="21"/>
    </row>
    <row r="121" spans="1:12" hidden="1" x14ac:dyDescent="0.25">
      <c r="A121" s="1815"/>
      <c r="B121" s="1220"/>
      <c r="C121" s="1117" t="s">
        <v>371</v>
      </c>
      <c r="D121" s="144" t="s">
        <v>251</v>
      </c>
      <c r="E121" s="94"/>
      <c r="F121" s="80">
        <v>25</v>
      </c>
      <c r="G121" s="80"/>
      <c r="H121" s="80"/>
      <c r="I121" s="80">
        <v>453</v>
      </c>
      <c r="J121" s="96"/>
      <c r="K121" s="28"/>
      <c r="L121" s="21"/>
    </row>
    <row r="122" spans="1:12" hidden="1" x14ac:dyDescent="0.25">
      <c r="A122" s="1815"/>
      <c r="B122" s="1220"/>
      <c r="C122" s="1117"/>
      <c r="D122" s="28" t="s">
        <v>257</v>
      </c>
      <c r="E122" s="94"/>
      <c r="F122" s="80">
        <v>25</v>
      </c>
      <c r="G122" s="80"/>
      <c r="H122" s="80"/>
      <c r="I122" s="80">
        <v>234</v>
      </c>
      <c r="J122" s="96"/>
      <c r="K122" s="28"/>
      <c r="L122" s="21"/>
    </row>
    <row r="123" spans="1:12" hidden="1" x14ac:dyDescent="0.25">
      <c r="A123" s="1815"/>
      <c r="B123" s="1220"/>
      <c r="C123" s="1117"/>
      <c r="D123" s="28" t="s">
        <v>263</v>
      </c>
      <c r="E123" s="94"/>
      <c r="F123" s="80">
        <v>0</v>
      </c>
      <c r="G123" s="80"/>
      <c r="H123" s="80"/>
      <c r="I123" s="80">
        <v>219</v>
      </c>
      <c r="J123" s="96"/>
      <c r="K123" s="28"/>
      <c r="L123" s="21"/>
    </row>
    <row r="124" spans="1:12" hidden="1" x14ac:dyDescent="0.25">
      <c r="A124" s="1815"/>
      <c r="B124" s="1220"/>
      <c r="C124" s="1117"/>
      <c r="D124" s="28" t="s">
        <v>357</v>
      </c>
      <c r="E124" s="94"/>
      <c r="F124" s="97">
        <f>(F123/F121)*100</f>
        <v>0</v>
      </c>
      <c r="G124" s="94"/>
      <c r="H124" s="94"/>
      <c r="I124" s="98">
        <f>I123/I121*100</f>
        <v>48.344370860927157</v>
      </c>
      <c r="J124" s="96"/>
      <c r="K124" s="28"/>
      <c r="L124" s="21"/>
    </row>
    <row r="125" spans="1:12" hidden="1" x14ac:dyDescent="0.25">
      <c r="A125" s="1815"/>
      <c r="B125" s="1220"/>
      <c r="C125" s="1117" t="s">
        <v>372</v>
      </c>
      <c r="D125" s="144" t="s">
        <v>251</v>
      </c>
      <c r="E125" s="94"/>
      <c r="F125" s="80">
        <v>1740</v>
      </c>
      <c r="G125" s="80"/>
      <c r="H125" s="80"/>
      <c r="I125" s="80">
        <v>864</v>
      </c>
      <c r="J125" s="96"/>
      <c r="K125" s="28"/>
      <c r="L125" s="21"/>
    </row>
    <row r="126" spans="1:12" ht="14.85" hidden="1" customHeight="1" x14ac:dyDescent="0.25">
      <c r="A126" s="1815"/>
      <c r="B126" s="1220"/>
      <c r="C126" s="1117"/>
      <c r="D126" s="28" t="s">
        <v>257</v>
      </c>
      <c r="E126" s="94"/>
      <c r="F126" s="80">
        <v>1315</v>
      </c>
      <c r="G126" s="80"/>
      <c r="H126" s="80"/>
      <c r="I126" s="80">
        <v>666</v>
      </c>
      <c r="J126" s="96"/>
      <c r="K126" s="28"/>
      <c r="L126" s="21"/>
    </row>
    <row r="127" spans="1:12" hidden="1" x14ac:dyDescent="0.25">
      <c r="A127" s="1815"/>
      <c r="B127" s="1220"/>
      <c r="C127" s="1117"/>
      <c r="D127" s="28" t="s">
        <v>263</v>
      </c>
      <c r="E127" s="94"/>
      <c r="F127" s="80">
        <v>425</v>
      </c>
      <c r="G127" s="80"/>
      <c r="H127" s="80"/>
      <c r="I127" s="80">
        <v>198</v>
      </c>
      <c r="J127" s="96"/>
      <c r="K127" s="28"/>
      <c r="L127" s="21"/>
    </row>
    <row r="128" spans="1:12" hidden="1" x14ac:dyDescent="0.25">
      <c r="A128" s="1815"/>
      <c r="B128" s="1220"/>
      <c r="C128" s="1117"/>
      <c r="D128" s="28" t="s">
        <v>357</v>
      </c>
      <c r="E128" s="94"/>
      <c r="F128" s="97">
        <f>(F127/F125)*100</f>
        <v>24.425287356321839</v>
      </c>
      <c r="G128" s="94"/>
      <c r="H128" s="94"/>
      <c r="I128" s="97">
        <f>I127/I125*100</f>
        <v>22.916666666666664</v>
      </c>
      <c r="J128" s="96"/>
      <c r="K128" s="28"/>
      <c r="L128" s="21"/>
    </row>
    <row r="129" spans="1:12" hidden="1" x14ac:dyDescent="0.25">
      <c r="A129" s="1815"/>
      <c r="B129" s="1220"/>
      <c r="C129" s="1117" t="s">
        <v>373</v>
      </c>
      <c r="D129" s="144" t="s">
        <v>251</v>
      </c>
      <c r="E129" s="94"/>
      <c r="F129" s="80">
        <v>355</v>
      </c>
      <c r="G129" s="80"/>
      <c r="H129" s="80"/>
      <c r="I129" s="80">
        <v>252</v>
      </c>
      <c r="J129" s="96"/>
      <c r="K129" s="28"/>
      <c r="L129" s="21"/>
    </row>
    <row r="130" spans="1:12" hidden="1" x14ac:dyDescent="0.25">
      <c r="A130" s="1815"/>
      <c r="B130" s="1220"/>
      <c r="C130" s="1117"/>
      <c r="D130" s="28" t="s">
        <v>257</v>
      </c>
      <c r="E130" s="94"/>
      <c r="F130" s="80">
        <v>240</v>
      </c>
      <c r="G130" s="80"/>
      <c r="H130" s="80"/>
      <c r="I130" s="80">
        <v>237</v>
      </c>
      <c r="J130" s="96"/>
      <c r="K130" s="28"/>
      <c r="L130" s="21"/>
    </row>
    <row r="131" spans="1:12" hidden="1" x14ac:dyDescent="0.25">
      <c r="A131" s="1815"/>
      <c r="B131" s="1220"/>
      <c r="C131" s="1117"/>
      <c r="D131" s="28" t="s">
        <v>263</v>
      </c>
      <c r="E131" s="94"/>
      <c r="F131" s="80">
        <v>115</v>
      </c>
      <c r="G131" s="80"/>
      <c r="H131" s="80"/>
      <c r="I131" s="80">
        <v>15</v>
      </c>
      <c r="J131" s="96"/>
      <c r="K131" s="28"/>
      <c r="L131" s="21"/>
    </row>
    <row r="132" spans="1:12" hidden="1" x14ac:dyDescent="0.25">
      <c r="A132" s="1815"/>
      <c r="B132" s="1220"/>
      <c r="C132" s="1117"/>
      <c r="D132" s="28" t="s">
        <v>357</v>
      </c>
      <c r="E132" s="94"/>
      <c r="F132" s="97">
        <f>(F131/F129)*100</f>
        <v>32.394366197183103</v>
      </c>
      <c r="G132" s="94"/>
      <c r="H132" s="94"/>
      <c r="I132" s="97">
        <f>I131/I129*100</f>
        <v>5.9523809523809517</v>
      </c>
      <c r="J132" s="96"/>
      <c r="K132" s="28"/>
      <c r="L132" s="21"/>
    </row>
    <row r="133" spans="1:12" hidden="1" x14ac:dyDescent="0.25">
      <c r="A133" s="1815"/>
      <c r="B133" s="1220"/>
      <c r="C133" s="1117" t="s">
        <v>374</v>
      </c>
      <c r="D133" s="144" t="s">
        <v>251</v>
      </c>
      <c r="E133" s="94"/>
      <c r="F133" s="80">
        <v>470</v>
      </c>
      <c r="G133" s="80"/>
      <c r="H133" s="80"/>
      <c r="I133" s="80">
        <v>390</v>
      </c>
      <c r="J133" s="96"/>
      <c r="K133" s="28"/>
      <c r="L133" s="21"/>
    </row>
    <row r="134" spans="1:12" hidden="1" x14ac:dyDescent="0.25">
      <c r="A134" s="1815"/>
      <c r="B134" s="1220"/>
      <c r="C134" s="1117"/>
      <c r="D134" s="28" t="s">
        <v>257</v>
      </c>
      <c r="E134" s="94"/>
      <c r="F134" s="80">
        <v>190</v>
      </c>
      <c r="G134" s="80"/>
      <c r="H134" s="80"/>
      <c r="I134" s="80">
        <v>111</v>
      </c>
      <c r="J134" s="96"/>
      <c r="K134" s="28"/>
      <c r="L134" s="21"/>
    </row>
    <row r="135" spans="1:12" hidden="1" x14ac:dyDescent="0.25">
      <c r="A135" s="1815"/>
      <c r="B135" s="1220"/>
      <c r="C135" s="1117"/>
      <c r="D135" s="28" t="s">
        <v>263</v>
      </c>
      <c r="E135" s="94"/>
      <c r="F135" s="80">
        <v>280</v>
      </c>
      <c r="G135" s="80"/>
      <c r="H135" s="80"/>
      <c r="I135" s="80">
        <v>279</v>
      </c>
      <c r="J135" s="96"/>
      <c r="K135" s="28"/>
      <c r="L135" s="21"/>
    </row>
    <row r="136" spans="1:12" hidden="1" x14ac:dyDescent="0.25">
      <c r="A136" s="1815"/>
      <c r="B136" s="1220"/>
      <c r="C136" s="1117"/>
      <c r="D136" s="28" t="s">
        <v>357</v>
      </c>
      <c r="E136" s="94"/>
      <c r="F136" s="98">
        <f>(F135/F133)*100</f>
        <v>59.574468085106382</v>
      </c>
      <c r="G136" s="94"/>
      <c r="H136" s="94"/>
      <c r="I136" s="99">
        <f>I135/I133*100</f>
        <v>71.538461538461533</v>
      </c>
      <c r="J136" s="96"/>
      <c r="K136" s="28"/>
      <c r="L136" s="21"/>
    </row>
    <row r="137" spans="1:12" hidden="1" x14ac:dyDescent="0.25">
      <c r="A137" s="1815"/>
      <c r="B137" s="1220"/>
      <c r="C137" s="1117" t="s">
        <v>375</v>
      </c>
      <c r="D137" s="144" t="s">
        <v>251</v>
      </c>
      <c r="E137" s="94"/>
      <c r="F137" s="80">
        <v>160</v>
      </c>
      <c r="G137" s="80"/>
      <c r="H137" s="80"/>
      <c r="I137" s="80">
        <v>90</v>
      </c>
      <c r="J137" s="96"/>
      <c r="K137" s="28"/>
      <c r="L137" s="21"/>
    </row>
    <row r="138" spans="1:12" ht="14.85" hidden="1" customHeight="1" x14ac:dyDescent="0.25">
      <c r="A138" s="1815"/>
      <c r="B138" s="1220"/>
      <c r="C138" s="1117"/>
      <c r="D138" s="28" t="s">
        <v>257</v>
      </c>
      <c r="E138" s="94"/>
      <c r="F138" s="80">
        <v>100</v>
      </c>
      <c r="G138" s="80"/>
      <c r="H138" s="80"/>
      <c r="I138" s="80">
        <v>36</v>
      </c>
      <c r="J138" s="96"/>
      <c r="K138" s="28"/>
      <c r="L138" s="21"/>
    </row>
    <row r="139" spans="1:12" hidden="1" x14ac:dyDescent="0.25">
      <c r="A139" s="1815"/>
      <c r="B139" s="1220"/>
      <c r="C139" s="1117"/>
      <c r="D139" s="28" t="s">
        <v>263</v>
      </c>
      <c r="E139" s="94"/>
      <c r="F139" s="80">
        <v>60</v>
      </c>
      <c r="G139" s="80"/>
      <c r="H139" s="80"/>
      <c r="I139" s="80">
        <v>57</v>
      </c>
      <c r="J139" s="96"/>
      <c r="K139" s="28"/>
      <c r="L139" s="21"/>
    </row>
    <row r="140" spans="1:12" hidden="1" x14ac:dyDescent="0.25">
      <c r="A140" s="1815"/>
      <c r="B140" s="1220"/>
      <c r="C140" s="1117"/>
      <c r="D140" s="28" t="s">
        <v>357</v>
      </c>
      <c r="E140" s="94"/>
      <c r="F140" s="97">
        <f>(F139/F137)*100</f>
        <v>37.5</v>
      </c>
      <c r="G140" s="94"/>
      <c r="H140" s="94"/>
      <c r="I140" s="99">
        <f>I139/I137*100</f>
        <v>63.333333333333329</v>
      </c>
      <c r="J140" s="96"/>
      <c r="K140" s="28"/>
      <c r="L140" s="21"/>
    </row>
    <row r="141" spans="1:12" hidden="1" x14ac:dyDescent="0.25">
      <c r="A141" s="1815"/>
      <c r="B141" s="1220"/>
      <c r="C141" s="1117" t="s">
        <v>376</v>
      </c>
      <c r="D141" s="144" t="s">
        <v>251</v>
      </c>
      <c r="E141" s="94"/>
      <c r="F141" s="80">
        <v>1230</v>
      </c>
      <c r="G141" s="80"/>
      <c r="H141" s="80"/>
      <c r="I141" s="80">
        <v>1419</v>
      </c>
      <c r="J141" s="96"/>
      <c r="K141" s="28"/>
      <c r="L141" s="21"/>
    </row>
    <row r="142" spans="1:12" ht="14.85" hidden="1" customHeight="1" x14ac:dyDescent="0.25">
      <c r="A142" s="1815"/>
      <c r="B142" s="1220"/>
      <c r="C142" s="1117"/>
      <c r="D142" s="28" t="s">
        <v>257</v>
      </c>
      <c r="E142" s="94"/>
      <c r="F142" s="80">
        <v>900</v>
      </c>
      <c r="G142" s="80"/>
      <c r="H142" s="80"/>
      <c r="I142" s="80">
        <v>855</v>
      </c>
      <c r="J142" s="96"/>
      <c r="K142" s="28"/>
      <c r="L142" s="21"/>
    </row>
    <row r="143" spans="1:12" hidden="1" x14ac:dyDescent="0.25">
      <c r="A143" s="1815"/>
      <c r="B143" s="1220"/>
      <c r="C143" s="1117"/>
      <c r="D143" s="28" t="s">
        <v>263</v>
      </c>
      <c r="E143" s="94"/>
      <c r="F143" s="80">
        <v>330</v>
      </c>
      <c r="G143" s="80"/>
      <c r="H143" s="80"/>
      <c r="I143" s="80">
        <v>567</v>
      </c>
      <c r="J143" s="96"/>
      <c r="K143" s="28"/>
      <c r="L143" s="21"/>
    </row>
    <row r="144" spans="1:12" hidden="1" x14ac:dyDescent="0.25">
      <c r="A144" s="1815"/>
      <c r="B144" s="1220"/>
      <c r="C144" s="1117"/>
      <c r="D144" s="28" t="s">
        <v>357</v>
      </c>
      <c r="E144" s="94"/>
      <c r="F144" s="97">
        <f>(F143/F141)*100</f>
        <v>26.829268292682929</v>
      </c>
      <c r="G144" s="94"/>
      <c r="H144" s="94"/>
      <c r="I144" s="97">
        <f>I143/I141*100</f>
        <v>39.957716701902747</v>
      </c>
      <c r="J144" s="96"/>
      <c r="K144" s="28"/>
      <c r="L144" s="21"/>
    </row>
    <row r="145" spans="1:12" hidden="1" x14ac:dyDescent="0.25">
      <c r="A145" s="1815"/>
      <c r="B145" s="1220"/>
      <c r="C145" s="1117" t="s">
        <v>377</v>
      </c>
      <c r="D145" s="144" t="s">
        <v>251</v>
      </c>
      <c r="E145" s="94"/>
      <c r="F145" s="80">
        <v>1285</v>
      </c>
      <c r="G145" s="80"/>
      <c r="H145" s="80"/>
      <c r="I145" s="80">
        <v>1161</v>
      </c>
      <c r="J145" s="96"/>
      <c r="K145" s="28"/>
      <c r="L145" s="21"/>
    </row>
    <row r="146" spans="1:12" hidden="1" x14ac:dyDescent="0.25">
      <c r="A146" s="1815"/>
      <c r="B146" s="1220"/>
      <c r="C146" s="1117"/>
      <c r="D146" s="28" t="s">
        <v>257</v>
      </c>
      <c r="E146" s="94"/>
      <c r="F146" s="80">
        <v>300</v>
      </c>
      <c r="G146" s="80"/>
      <c r="H146" s="80"/>
      <c r="I146" s="80">
        <v>390</v>
      </c>
      <c r="J146" s="96"/>
      <c r="K146" s="28"/>
      <c r="L146" s="21"/>
    </row>
    <row r="147" spans="1:12" hidden="1" x14ac:dyDescent="0.25">
      <c r="A147" s="1815"/>
      <c r="B147" s="1220"/>
      <c r="C147" s="1117"/>
      <c r="D147" s="28" t="s">
        <v>263</v>
      </c>
      <c r="E147" s="94"/>
      <c r="F147" s="80">
        <v>985</v>
      </c>
      <c r="G147" s="80"/>
      <c r="H147" s="80"/>
      <c r="I147" s="80">
        <v>768</v>
      </c>
      <c r="J147" s="96"/>
      <c r="K147" s="28"/>
      <c r="L147" s="21"/>
    </row>
    <row r="148" spans="1:12" hidden="1" x14ac:dyDescent="0.25">
      <c r="A148" s="1815"/>
      <c r="B148" s="1220"/>
      <c r="C148" s="1117"/>
      <c r="D148" s="28" t="s">
        <v>357</v>
      </c>
      <c r="E148" s="94"/>
      <c r="F148" s="99">
        <f>(F147/F145)*100</f>
        <v>76.653696498054487</v>
      </c>
      <c r="G148" s="94"/>
      <c r="H148" s="94"/>
      <c r="I148" s="99">
        <f>I147/I145*100</f>
        <v>66.1498708010336</v>
      </c>
      <c r="J148" s="96"/>
      <c r="K148" s="28"/>
      <c r="L148" s="21"/>
    </row>
    <row r="149" spans="1:12" hidden="1" x14ac:dyDescent="0.25">
      <c r="A149" s="1815"/>
      <c r="B149" s="1220"/>
      <c r="C149" s="1117" t="s">
        <v>378</v>
      </c>
      <c r="D149" s="144" t="s">
        <v>251</v>
      </c>
      <c r="E149" s="94"/>
      <c r="F149" s="80">
        <v>615</v>
      </c>
      <c r="G149" s="80"/>
      <c r="H149" s="80"/>
      <c r="I149" s="80">
        <v>720</v>
      </c>
      <c r="J149" s="96"/>
      <c r="K149" s="28"/>
      <c r="L149" s="21"/>
    </row>
    <row r="150" spans="1:12" hidden="1" x14ac:dyDescent="0.25">
      <c r="A150" s="1815"/>
      <c r="B150" s="1220"/>
      <c r="C150" s="1117"/>
      <c r="D150" s="28" t="s">
        <v>257</v>
      </c>
      <c r="E150" s="94"/>
      <c r="F150" s="80">
        <v>200</v>
      </c>
      <c r="G150" s="80"/>
      <c r="H150" s="80"/>
      <c r="I150" s="80">
        <v>369</v>
      </c>
      <c r="J150" s="96"/>
      <c r="K150" s="28"/>
      <c r="L150" s="21"/>
    </row>
    <row r="151" spans="1:12" hidden="1" x14ac:dyDescent="0.25">
      <c r="A151" s="1815"/>
      <c r="B151" s="1220"/>
      <c r="C151" s="1117"/>
      <c r="D151" s="28" t="s">
        <v>263</v>
      </c>
      <c r="E151" s="94"/>
      <c r="F151" s="80">
        <v>415</v>
      </c>
      <c r="G151" s="80"/>
      <c r="H151" s="80"/>
      <c r="I151" s="80">
        <v>351</v>
      </c>
      <c r="J151" s="96"/>
      <c r="K151" s="28"/>
      <c r="L151" s="21"/>
    </row>
    <row r="152" spans="1:12" hidden="1" x14ac:dyDescent="0.25">
      <c r="A152" s="1815"/>
      <c r="B152" s="1220"/>
      <c r="C152" s="1117"/>
      <c r="D152" s="28" t="s">
        <v>357</v>
      </c>
      <c r="E152" s="94"/>
      <c r="F152" s="99">
        <f>(F151/F149)*100</f>
        <v>67.479674796747972</v>
      </c>
      <c r="G152" s="94"/>
      <c r="H152" s="94"/>
      <c r="I152" s="98">
        <f>I151/I149*100</f>
        <v>48.75</v>
      </c>
      <c r="J152" s="96"/>
      <c r="K152" s="28"/>
      <c r="L152" s="21"/>
    </row>
    <row r="153" spans="1:12" hidden="1" x14ac:dyDescent="0.25">
      <c r="A153" s="1815"/>
      <c r="B153" s="1220"/>
      <c r="C153" s="1117" t="s">
        <v>379</v>
      </c>
      <c r="D153" s="144" t="s">
        <v>251</v>
      </c>
      <c r="E153" s="94"/>
      <c r="F153" s="80">
        <v>1865</v>
      </c>
      <c r="G153" s="80"/>
      <c r="H153" s="80"/>
      <c r="I153" s="80">
        <v>1128</v>
      </c>
      <c r="J153" s="96"/>
      <c r="K153" s="28"/>
      <c r="L153" s="21"/>
    </row>
    <row r="154" spans="1:12" hidden="1" x14ac:dyDescent="0.25">
      <c r="A154" s="1815"/>
      <c r="B154" s="1220"/>
      <c r="C154" s="1117"/>
      <c r="D154" s="28" t="s">
        <v>257</v>
      </c>
      <c r="E154" s="94"/>
      <c r="F154" s="80">
        <v>1330</v>
      </c>
      <c r="G154" s="80"/>
      <c r="H154" s="80"/>
      <c r="I154" s="80">
        <v>885</v>
      </c>
      <c r="J154" s="96"/>
      <c r="K154" s="28"/>
      <c r="L154" s="21"/>
    </row>
    <row r="155" spans="1:12" hidden="1" x14ac:dyDescent="0.25">
      <c r="A155" s="1815"/>
      <c r="B155" s="1220"/>
      <c r="C155" s="1117"/>
      <c r="D155" s="28" t="s">
        <v>263</v>
      </c>
      <c r="E155" s="94"/>
      <c r="F155" s="80">
        <v>535</v>
      </c>
      <c r="G155" s="80"/>
      <c r="H155" s="80"/>
      <c r="I155" s="80">
        <v>246</v>
      </c>
      <c r="J155" s="96"/>
      <c r="K155" s="28"/>
      <c r="L155" s="21"/>
    </row>
    <row r="156" spans="1:12" hidden="1" x14ac:dyDescent="0.25">
      <c r="A156" s="1815"/>
      <c r="B156" s="1220"/>
      <c r="C156" s="1117"/>
      <c r="D156" s="28" t="s">
        <v>357</v>
      </c>
      <c r="E156" s="94"/>
      <c r="F156" s="97">
        <f>(F155/F153)*100</f>
        <v>28.686327077747993</v>
      </c>
      <c r="G156" s="94"/>
      <c r="H156" s="94"/>
      <c r="I156" s="97">
        <f>I155/I153*100</f>
        <v>21.808510638297875</v>
      </c>
      <c r="J156" s="96"/>
      <c r="K156" s="28"/>
      <c r="L156" s="21"/>
    </row>
    <row r="157" spans="1:12" ht="14.85" hidden="1" customHeight="1" x14ac:dyDescent="0.25">
      <c r="A157" s="1815"/>
      <c r="B157" s="1220"/>
      <c r="C157" s="1117" t="s">
        <v>380</v>
      </c>
      <c r="D157" s="144" t="s">
        <v>251</v>
      </c>
      <c r="E157" s="94"/>
      <c r="F157" s="80">
        <v>2845</v>
      </c>
      <c r="G157" s="80"/>
      <c r="H157" s="80"/>
      <c r="I157" s="80">
        <v>1218</v>
      </c>
      <c r="J157" s="96"/>
      <c r="K157" s="28"/>
      <c r="L157" s="21"/>
    </row>
    <row r="158" spans="1:12" hidden="1" x14ac:dyDescent="0.25">
      <c r="A158" s="1815"/>
      <c r="B158" s="1220"/>
      <c r="C158" s="1117"/>
      <c r="D158" s="28" t="s">
        <v>257</v>
      </c>
      <c r="E158" s="94"/>
      <c r="F158" s="80">
        <v>1415</v>
      </c>
      <c r="G158" s="80"/>
      <c r="H158" s="80"/>
      <c r="I158" s="80">
        <v>678</v>
      </c>
      <c r="J158" s="96"/>
      <c r="K158" s="28"/>
      <c r="L158" s="21"/>
    </row>
    <row r="159" spans="1:12" hidden="1" x14ac:dyDescent="0.25">
      <c r="A159" s="1815"/>
      <c r="B159" s="1220"/>
      <c r="C159" s="1117"/>
      <c r="D159" s="28" t="s">
        <v>263</v>
      </c>
      <c r="E159" s="94"/>
      <c r="F159" s="80">
        <v>1430</v>
      </c>
      <c r="G159" s="80"/>
      <c r="H159" s="80"/>
      <c r="I159" s="80">
        <v>543</v>
      </c>
      <c r="J159" s="96"/>
      <c r="K159" s="28"/>
      <c r="L159" s="21"/>
    </row>
    <row r="160" spans="1:12" hidden="1" x14ac:dyDescent="0.25">
      <c r="A160" s="1815"/>
      <c r="B160" s="1220"/>
      <c r="C160" s="1117"/>
      <c r="D160" s="28" t="s">
        <v>357</v>
      </c>
      <c r="E160" s="94"/>
      <c r="F160" s="98">
        <f>(F159/F157)*100</f>
        <v>50.26362038664324</v>
      </c>
      <c r="G160" s="94"/>
      <c r="H160" s="94"/>
      <c r="I160" s="98">
        <f>I159/I157*100</f>
        <v>44.581280788177338</v>
      </c>
      <c r="J160" s="96"/>
      <c r="K160" s="28"/>
      <c r="L160" s="21"/>
    </row>
    <row r="161" spans="1:12" hidden="1" x14ac:dyDescent="0.25">
      <c r="A161" s="1815"/>
      <c r="B161" s="1220"/>
      <c r="C161" s="1117" t="s">
        <v>381</v>
      </c>
      <c r="D161" s="144" t="s">
        <v>251</v>
      </c>
      <c r="E161" s="94"/>
      <c r="F161" s="80">
        <v>180</v>
      </c>
      <c r="G161" s="80"/>
      <c r="H161" s="80"/>
      <c r="I161" s="80">
        <v>501</v>
      </c>
      <c r="J161" s="28"/>
      <c r="K161" s="28"/>
      <c r="L161" s="21"/>
    </row>
    <row r="162" spans="1:12" ht="14.85" hidden="1" customHeight="1" x14ac:dyDescent="0.25">
      <c r="A162" s="1815"/>
      <c r="B162" s="1220"/>
      <c r="C162" s="1117"/>
      <c r="D162" s="28" t="s">
        <v>257</v>
      </c>
      <c r="E162" s="94"/>
      <c r="F162" s="80">
        <v>95</v>
      </c>
      <c r="G162" s="80"/>
      <c r="H162" s="80"/>
      <c r="I162" s="80">
        <v>240</v>
      </c>
      <c r="J162" s="28"/>
      <c r="K162" s="28"/>
      <c r="L162" s="21"/>
    </row>
    <row r="163" spans="1:12" hidden="1" x14ac:dyDescent="0.25">
      <c r="A163" s="1815"/>
      <c r="B163" s="1220"/>
      <c r="C163" s="1117"/>
      <c r="D163" s="28" t="s">
        <v>263</v>
      </c>
      <c r="E163" s="94"/>
      <c r="F163" s="80">
        <v>85</v>
      </c>
      <c r="G163" s="80"/>
      <c r="H163" s="80"/>
      <c r="I163" s="80">
        <v>258</v>
      </c>
      <c r="J163" s="28"/>
      <c r="K163" s="28"/>
      <c r="L163" s="21"/>
    </row>
    <row r="164" spans="1:12" hidden="1" x14ac:dyDescent="0.25">
      <c r="A164" s="1815"/>
      <c r="B164" s="1220"/>
      <c r="C164" s="1117"/>
      <c r="D164" s="28" t="s">
        <v>357</v>
      </c>
      <c r="E164" s="94"/>
      <c r="F164" s="98">
        <f>(F163/F161)*100</f>
        <v>47.222222222222221</v>
      </c>
      <c r="G164" s="94"/>
      <c r="H164" s="94"/>
      <c r="I164" s="98">
        <f>I163/I161*100</f>
        <v>51.49700598802395</v>
      </c>
      <c r="J164" s="28"/>
      <c r="K164" s="28"/>
      <c r="L164" s="21"/>
    </row>
    <row r="165" spans="1:12" hidden="1" x14ac:dyDescent="0.25">
      <c r="A165" s="1815"/>
      <c r="B165" s="1220"/>
      <c r="C165" s="1218" t="s">
        <v>382</v>
      </c>
      <c r="D165" s="145" t="s">
        <v>251</v>
      </c>
      <c r="E165" s="95"/>
      <c r="F165" s="80">
        <v>2410</v>
      </c>
      <c r="G165" s="80"/>
      <c r="H165" s="80"/>
      <c r="I165" s="80">
        <v>2379</v>
      </c>
      <c r="J165" s="96"/>
      <c r="K165" s="96"/>
      <c r="L165" s="200"/>
    </row>
    <row r="166" spans="1:12" hidden="1" x14ac:dyDescent="0.25">
      <c r="A166" s="1815"/>
      <c r="B166" s="1220"/>
      <c r="C166" s="1218"/>
      <c r="D166" s="96" t="s">
        <v>257</v>
      </c>
      <c r="E166" s="95"/>
      <c r="F166" s="80">
        <v>915</v>
      </c>
      <c r="G166" s="80"/>
      <c r="H166" s="80"/>
      <c r="I166" s="80">
        <v>705</v>
      </c>
      <c r="J166" s="96"/>
      <c r="K166" s="96"/>
      <c r="L166" s="200"/>
    </row>
    <row r="167" spans="1:12" hidden="1" x14ac:dyDescent="0.25">
      <c r="A167" s="1815"/>
      <c r="B167" s="1220"/>
      <c r="C167" s="1218"/>
      <c r="D167" s="96" t="s">
        <v>263</v>
      </c>
      <c r="E167" s="95"/>
      <c r="F167" s="80">
        <v>1495</v>
      </c>
      <c r="G167" s="80"/>
      <c r="H167" s="80"/>
      <c r="I167" s="80">
        <v>1671</v>
      </c>
      <c r="J167" s="96"/>
      <c r="K167" s="96"/>
      <c r="L167" s="200"/>
    </row>
    <row r="168" spans="1:12" hidden="1" x14ac:dyDescent="0.25">
      <c r="A168" s="1815"/>
      <c r="B168" s="1220"/>
      <c r="C168" s="1218"/>
      <c r="D168" s="96" t="s">
        <v>357</v>
      </c>
      <c r="E168" s="95"/>
      <c r="F168" s="99">
        <f>(F167/F165)*100</f>
        <v>62.033195020746888</v>
      </c>
      <c r="G168" s="94"/>
      <c r="H168" s="94"/>
      <c r="I168" s="99">
        <f>I167/I165*100</f>
        <v>70.239596469104669</v>
      </c>
      <c r="J168" s="96"/>
      <c r="K168" s="96"/>
      <c r="L168" s="200"/>
    </row>
    <row r="169" spans="1:12" ht="14.85" hidden="1" customHeight="1" x14ac:dyDescent="0.25">
      <c r="A169" s="1815"/>
      <c r="B169" s="1220"/>
      <c r="C169" s="1218" t="s">
        <v>383</v>
      </c>
      <c r="D169" s="145" t="s">
        <v>251</v>
      </c>
      <c r="E169" s="95"/>
      <c r="F169" s="80">
        <v>1795</v>
      </c>
      <c r="G169" s="80"/>
      <c r="H169" s="80"/>
      <c r="I169" s="80">
        <v>1572</v>
      </c>
      <c r="J169" s="96"/>
      <c r="K169" s="96"/>
      <c r="L169" s="200"/>
    </row>
    <row r="170" spans="1:12" hidden="1" x14ac:dyDescent="0.25">
      <c r="A170" s="1815"/>
      <c r="B170" s="1220"/>
      <c r="C170" s="1218"/>
      <c r="D170" s="96" t="s">
        <v>257</v>
      </c>
      <c r="E170" s="95"/>
      <c r="F170" s="80">
        <v>530</v>
      </c>
      <c r="G170" s="80"/>
      <c r="H170" s="80"/>
      <c r="I170" s="80">
        <v>450</v>
      </c>
      <c r="J170" s="96"/>
      <c r="K170" s="96"/>
      <c r="L170" s="200"/>
    </row>
    <row r="171" spans="1:12" hidden="1" x14ac:dyDescent="0.25">
      <c r="A171" s="1815"/>
      <c r="B171" s="1220"/>
      <c r="C171" s="1218"/>
      <c r="D171" s="96" t="s">
        <v>263</v>
      </c>
      <c r="E171" s="95"/>
      <c r="F171" s="80">
        <v>1265</v>
      </c>
      <c r="G171" s="80"/>
      <c r="H171" s="80"/>
      <c r="I171" s="80">
        <v>1119</v>
      </c>
      <c r="J171" s="96"/>
      <c r="K171" s="96"/>
      <c r="L171" s="200"/>
    </row>
    <row r="172" spans="1:12" hidden="1" x14ac:dyDescent="0.25">
      <c r="A172" s="1815"/>
      <c r="B172" s="1220"/>
      <c r="C172" s="1218"/>
      <c r="D172" s="96" t="s">
        <v>357</v>
      </c>
      <c r="E172" s="95"/>
      <c r="F172" s="99">
        <f>(F171/F169)*100</f>
        <v>70.473537604456823</v>
      </c>
      <c r="G172" s="94"/>
      <c r="H172" s="94"/>
      <c r="I172" s="99">
        <f>I171/I169*100</f>
        <v>71.18320610687023</v>
      </c>
      <c r="J172" s="96"/>
      <c r="K172" s="96"/>
      <c r="L172" s="200"/>
    </row>
    <row r="173" spans="1:12" hidden="1" x14ac:dyDescent="0.25">
      <c r="A173" s="1815"/>
      <c r="B173" s="1220"/>
      <c r="C173" s="1218" t="s">
        <v>384</v>
      </c>
      <c r="D173" s="145" t="s">
        <v>251</v>
      </c>
      <c r="E173" s="95"/>
      <c r="F173" s="80">
        <v>2765</v>
      </c>
      <c r="G173" s="80"/>
      <c r="H173" s="80"/>
      <c r="I173" s="80">
        <v>1395</v>
      </c>
      <c r="J173" s="96"/>
      <c r="K173" s="96"/>
      <c r="L173" s="200"/>
    </row>
    <row r="174" spans="1:12" hidden="1" x14ac:dyDescent="0.25">
      <c r="A174" s="1815"/>
      <c r="B174" s="1220"/>
      <c r="C174" s="1218"/>
      <c r="D174" s="96" t="s">
        <v>257</v>
      </c>
      <c r="E174" s="95"/>
      <c r="F174" s="80">
        <v>895</v>
      </c>
      <c r="G174" s="80"/>
      <c r="H174" s="80"/>
      <c r="I174" s="80">
        <v>360</v>
      </c>
      <c r="J174" s="96"/>
      <c r="K174" s="96"/>
      <c r="L174" s="200"/>
    </row>
    <row r="175" spans="1:12" hidden="1" x14ac:dyDescent="0.25">
      <c r="A175" s="1815"/>
      <c r="B175" s="1220"/>
      <c r="C175" s="1218"/>
      <c r="D175" s="96" t="s">
        <v>263</v>
      </c>
      <c r="E175" s="95"/>
      <c r="F175" s="80">
        <v>1870</v>
      </c>
      <c r="G175" s="80"/>
      <c r="H175" s="80"/>
      <c r="I175" s="80">
        <v>1035</v>
      </c>
      <c r="J175" s="96"/>
      <c r="K175" s="96"/>
      <c r="L175" s="200"/>
    </row>
    <row r="176" spans="1:12" hidden="1" x14ac:dyDescent="0.25">
      <c r="A176" s="1815"/>
      <c r="B176" s="1220"/>
      <c r="C176" s="1218"/>
      <c r="D176" s="96" t="s">
        <v>357</v>
      </c>
      <c r="E176" s="95"/>
      <c r="F176" s="99">
        <f>(F175/F173)*100</f>
        <v>67.631103074141052</v>
      </c>
      <c r="G176" s="94"/>
      <c r="H176" s="94"/>
      <c r="I176" s="99">
        <f>I175/I173*100</f>
        <v>74.193548387096769</v>
      </c>
      <c r="J176" s="96"/>
      <c r="K176" s="96"/>
      <c r="L176" s="200"/>
    </row>
    <row r="177" spans="1:12" hidden="1" x14ac:dyDescent="0.25">
      <c r="A177" s="1815"/>
      <c r="B177" s="1220"/>
      <c r="C177" s="1218" t="s">
        <v>385</v>
      </c>
      <c r="D177" s="145" t="s">
        <v>251</v>
      </c>
      <c r="E177" s="95"/>
      <c r="F177" s="80">
        <v>290</v>
      </c>
      <c r="G177" s="80"/>
      <c r="H177" s="80"/>
      <c r="I177" s="80">
        <v>465</v>
      </c>
      <c r="J177" s="96"/>
      <c r="K177" s="96"/>
      <c r="L177" s="200"/>
    </row>
    <row r="178" spans="1:12" ht="14.85" hidden="1" customHeight="1" x14ac:dyDescent="0.25">
      <c r="A178" s="1815"/>
      <c r="B178" s="1220"/>
      <c r="C178" s="1218"/>
      <c r="D178" s="96" t="s">
        <v>257</v>
      </c>
      <c r="E178" s="95"/>
      <c r="F178" s="80">
        <v>205</v>
      </c>
      <c r="G178" s="80"/>
      <c r="H178" s="80"/>
      <c r="I178" s="80">
        <v>279</v>
      </c>
      <c r="J178" s="96"/>
      <c r="K178" s="96"/>
      <c r="L178" s="200"/>
    </row>
    <row r="179" spans="1:12" hidden="1" x14ac:dyDescent="0.25">
      <c r="A179" s="1815"/>
      <c r="B179" s="1220"/>
      <c r="C179" s="1218"/>
      <c r="D179" s="96" t="s">
        <v>263</v>
      </c>
      <c r="E179" s="95"/>
      <c r="F179" s="80">
        <v>85</v>
      </c>
      <c r="G179" s="80"/>
      <c r="H179" s="80"/>
      <c r="I179" s="80">
        <v>186</v>
      </c>
      <c r="J179" s="96"/>
      <c r="K179" s="96"/>
      <c r="L179" s="200"/>
    </row>
    <row r="180" spans="1:12" hidden="1" x14ac:dyDescent="0.25">
      <c r="A180" s="1815"/>
      <c r="B180" s="1220"/>
      <c r="C180" s="1218"/>
      <c r="D180" s="96" t="s">
        <v>357</v>
      </c>
      <c r="E180" s="95"/>
      <c r="F180" s="97">
        <f>(F179/F177)*100</f>
        <v>29.310344827586203</v>
      </c>
      <c r="G180" s="94"/>
      <c r="H180" s="94"/>
      <c r="I180" s="98">
        <f>I179/I177*100</f>
        <v>40</v>
      </c>
      <c r="J180" s="96"/>
      <c r="K180" s="96"/>
      <c r="L180" s="200"/>
    </row>
    <row r="181" spans="1:12" hidden="1" x14ac:dyDescent="0.25">
      <c r="A181" s="1815"/>
      <c r="B181" s="1220"/>
      <c r="C181" s="1218" t="s">
        <v>386</v>
      </c>
      <c r="D181" s="145" t="s">
        <v>251</v>
      </c>
      <c r="E181" s="95"/>
      <c r="F181" s="80">
        <v>2270</v>
      </c>
      <c r="G181" s="80"/>
      <c r="H181" s="80"/>
      <c r="I181" s="80">
        <v>3192</v>
      </c>
      <c r="J181" s="96"/>
      <c r="K181" s="96"/>
      <c r="L181" s="200"/>
    </row>
    <row r="182" spans="1:12" hidden="1" x14ac:dyDescent="0.25">
      <c r="A182" s="1815"/>
      <c r="B182" s="1220"/>
      <c r="C182" s="1218"/>
      <c r="D182" s="96" t="s">
        <v>257</v>
      </c>
      <c r="E182" s="95"/>
      <c r="F182" s="80">
        <v>990</v>
      </c>
      <c r="G182" s="80"/>
      <c r="H182" s="80"/>
      <c r="I182" s="80">
        <v>1620</v>
      </c>
      <c r="J182" s="96"/>
      <c r="K182" s="96"/>
      <c r="L182" s="200"/>
    </row>
    <row r="183" spans="1:12" hidden="1" x14ac:dyDescent="0.25">
      <c r="A183" s="1815"/>
      <c r="B183" s="1220"/>
      <c r="C183" s="1218"/>
      <c r="D183" s="96" t="s">
        <v>263</v>
      </c>
      <c r="E183" s="95"/>
      <c r="F183" s="80">
        <v>1280</v>
      </c>
      <c r="G183" s="80"/>
      <c r="H183" s="80"/>
      <c r="I183" s="80">
        <v>1572</v>
      </c>
      <c r="J183" s="96"/>
      <c r="K183" s="96"/>
      <c r="L183" s="200"/>
    </row>
    <row r="184" spans="1:12" hidden="1" x14ac:dyDescent="0.25">
      <c r="A184" s="1815"/>
      <c r="B184" s="1220"/>
      <c r="C184" s="1218"/>
      <c r="D184" s="96" t="s">
        <v>357</v>
      </c>
      <c r="E184" s="95"/>
      <c r="F184" s="98">
        <f>(F183/F181)*100</f>
        <v>56.38766519823789</v>
      </c>
      <c r="G184" s="94"/>
      <c r="H184" s="94"/>
      <c r="I184" s="98">
        <f>I183/I181*100</f>
        <v>49.248120300751879</v>
      </c>
      <c r="J184" s="96"/>
      <c r="K184" s="96"/>
      <c r="L184" s="200"/>
    </row>
    <row r="185" spans="1:12" hidden="1" x14ac:dyDescent="0.25">
      <c r="A185" s="1815"/>
      <c r="B185" s="1220"/>
      <c r="C185" s="1218" t="s">
        <v>387</v>
      </c>
      <c r="D185" s="145" t="s">
        <v>251</v>
      </c>
      <c r="E185" s="95"/>
      <c r="F185" s="80">
        <v>3300</v>
      </c>
      <c r="G185" s="80"/>
      <c r="H185" s="80"/>
      <c r="I185" s="80">
        <v>3267</v>
      </c>
      <c r="J185" s="96"/>
      <c r="K185" s="96"/>
      <c r="L185" s="200"/>
    </row>
    <row r="186" spans="1:12" hidden="1" x14ac:dyDescent="0.25">
      <c r="A186" s="1815"/>
      <c r="B186" s="1220"/>
      <c r="C186" s="1218"/>
      <c r="D186" s="96" t="s">
        <v>257</v>
      </c>
      <c r="E186" s="95"/>
      <c r="F186" s="80">
        <v>1250</v>
      </c>
      <c r="G186" s="80"/>
      <c r="H186" s="80"/>
      <c r="I186" s="80">
        <v>1443</v>
      </c>
      <c r="J186" s="96"/>
      <c r="K186" s="96"/>
      <c r="L186" s="200"/>
    </row>
    <row r="187" spans="1:12" hidden="1" x14ac:dyDescent="0.25">
      <c r="A187" s="1815"/>
      <c r="B187" s="1220"/>
      <c r="C187" s="1218"/>
      <c r="D187" s="96" t="s">
        <v>263</v>
      </c>
      <c r="E187" s="95"/>
      <c r="F187" s="80">
        <v>2050</v>
      </c>
      <c r="G187" s="80"/>
      <c r="H187" s="80"/>
      <c r="I187" s="80">
        <v>1827</v>
      </c>
      <c r="J187" s="96"/>
      <c r="K187" s="96"/>
      <c r="L187" s="200"/>
    </row>
    <row r="188" spans="1:12" hidden="1" x14ac:dyDescent="0.25">
      <c r="A188" s="1815"/>
      <c r="B188" s="1220"/>
      <c r="C188" s="1218"/>
      <c r="D188" s="96" t="s">
        <v>357</v>
      </c>
      <c r="E188" s="95"/>
      <c r="F188" s="99">
        <f>(F187/F185)*100</f>
        <v>62.121212121212125</v>
      </c>
      <c r="G188" s="94"/>
      <c r="H188" s="94"/>
      <c r="I188" s="98">
        <f>I187/I185*100</f>
        <v>55.9228650137741</v>
      </c>
      <c r="J188" s="96"/>
      <c r="K188" s="96"/>
      <c r="L188" s="200"/>
    </row>
    <row r="189" spans="1:12" hidden="1" x14ac:dyDescent="0.25">
      <c r="A189" s="1815"/>
      <c r="B189" s="1220"/>
      <c r="C189" s="1218" t="s">
        <v>388</v>
      </c>
      <c r="D189" s="145" t="s">
        <v>251</v>
      </c>
      <c r="E189" s="95"/>
      <c r="F189" s="80">
        <v>35</v>
      </c>
      <c r="G189" s="80"/>
      <c r="H189" s="80"/>
      <c r="I189" s="80">
        <v>699</v>
      </c>
      <c r="J189" s="96"/>
      <c r="K189" s="96"/>
      <c r="L189" s="200"/>
    </row>
    <row r="190" spans="1:12" hidden="1" x14ac:dyDescent="0.25">
      <c r="A190" s="1815"/>
      <c r="B190" s="1220"/>
      <c r="C190" s="1218"/>
      <c r="D190" s="96" t="s">
        <v>257</v>
      </c>
      <c r="E190" s="95"/>
      <c r="F190" s="80">
        <v>35</v>
      </c>
      <c r="G190" s="80"/>
      <c r="H190" s="80"/>
      <c r="I190" s="80">
        <v>405</v>
      </c>
      <c r="J190" s="96"/>
      <c r="K190" s="96"/>
      <c r="L190" s="200"/>
    </row>
    <row r="191" spans="1:12" hidden="1" x14ac:dyDescent="0.25">
      <c r="A191" s="1815"/>
      <c r="B191" s="1220"/>
      <c r="C191" s="1218"/>
      <c r="D191" s="96" t="s">
        <v>263</v>
      </c>
      <c r="E191" s="95"/>
      <c r="F191" s="80">
        <v>0</v>
      </c>
      <c r="G191" s="80"/>
      <c r="H191" s="80"/>
      <c r="I191" s="80">
        <v>291</v>
      </c>
      <c r="J191" s="96"/>
      <c r="K191" s="96"/>
      <c r="L191" s="200"/>
    </row>
    <row r="192" spans="1:12" hidden="1" x14ac:dyDescent="0.25">
      <c r="A192" s="1815"/>
      <c r="B192" s="1220"/>
      <c r="C192" s="1218"/>
      <c r="D192" s="96" t="s">
        <v>357</v>
      </c>
      <c r="E192" s="95"/>
      <c r="F192" s="97">
        <f>F191/F189*100</f>
        <v>0</v>
      </c>
      <c r="G192" s="94"/>
      <c r="H192" s="94"/>
      <c r="I192" s="98">
        <f>I191/I189*100</f>
        <v>41.630901287553648</v>
      </c>
      <c r="J192" s="96"/>
      <c r="K192" s="96"/>
      <c r="L192" s="200"/>
    </row>
    <row r="193" spans="1:12" hidden="1" x14ac:dyDescent="0.25">
      <c r="A193" s="1815"/>
      <c r="B193" s="1220"/>
      <c r="C193" s="1117" t="s">
        <v>389</v>
      </c>
      <c r="D193" s="144" t="s">
        <v>251</v>
      </c>
      <c r="E193" s="94"/>
      <c r="F193" s="80">
        <v>340</v>
      </c>
      <c r="G193" s="80"/>
      <c r="H193" s="80"/>
      <c r="I193" s="80">
        <v>552</v>
      </c>
      <c r="J193" s="28"/>
      <c r="K193" s="28"/>
      <c r="L193" s="21"/>
    </row>
    <row r="194" spans="1:12" hidden="1" x14ac:dyDescent="0.25">
      <c r="A194" s="1815"/>
      <c r="B194" s="1220"/>
      <c r="C194" s="1117"/>
      <c r="D194" s="28" t="s">
        <v>257</v>
      </c>
      <c r="E194" s="94"/>
      <c r="F194" s="80">
        <v>205</v>
      </c>
      <c r="G194" s="80"/>
      <c r="H194" s="80"/>
      <c r="I194" s="80">
        <v>270</v>
      </c>
      <c r="J194" s="28"/>
      <c r="K194" s="28"/>
      <c r="L194" s="21"/>
    </row>
    <row r="195" spans="1:12" hidden="1" x14ac:dyDescent="0.25">
      <c r="A195" s="1815"/>
      <c r="B195" s="1220"/>
      <c r="C195" s="1117"/>
      <c r="D195" s="28" t="s">
        <v>263</v>
      </c>
      <c r="E195" s="94"/>
      <c r="F195" s="80">
        <v>135</v>
      </c>
      <c r="G195" s="80"/>
      <c r="H195" s="80"/>
      <c r="I195" s="80">
        <v>285</v>
      </c>
      <c r="J195" s="28"/>
      <c r="K195" s="28"/>
      <c r="L195" s="21"/>
    </row>
    <row r="196" spans="1:12" hidden="1" x14ac:dyDescent="0.25">
      <c r="A196" s="1815"/>
      <c r="B196" s="1220"/>
      <c r="C196" s="1117"/>
      <c r="D196" s="28" t="s">
        <v>357</v>
      </c>
      <c r="E196" s="94"/>
      <c r="F196" s="97">
        <f>(F195/F193)*100</f>
        <v>39.705882352941174</v>
      </c>
      <c r="G196" s="94"/>
      <c r="H196" s="94"/>
      <c r="I196" s="98">
        <f>I195/I193*100</f>
        <v>51.630434782608688</v>
      </c>
      <c r="J196" s="28"/>
      <c r="K196" s="28"/>
      <c r="L196" s="21"/>
    </row>
    <row r="197" spans="1:12" hidden="1" x14ac:dyDescent="0.25">
      <c r="A197" s="1815"/>
      <c r="B197" s="1220"/>
      <c r="C197" s="1117" t="s">
        <v>390</v>
      </c>
      <c r="D197" s="144" t="s">
        <v>251</v>
      </c>
      <c r="E197" s="94"/>
      <c r="F197" s="80">
        <v>405</v>
      </c>
      <c r="G197" s="80"/>
      <c r="H197" s="80"/>
      <c r="I197" s="80">
        <v>591</v>
      </c>
      <c r="J197" s="28"/>
      <c r="K197" s="28"/>
      <c r="L197" s="21"/>
    </row>
    <row r="198" spans="1:12" ht="14.85" hidden="1" customHeight="1" x14ac:dyDescent="0.25">
      <c r="A198" s="1815"/>
      <c r="B198" s="1220"/>
      <c r="C198" s="1117"/>
      <c r="D198" s="28" t="s">
        <v>257</v>
      </c>
      <c r="E198" s="94"/>
      <c r="F198" s="80">
        <v>95</v>
      </c>
      <c r="G198" s="80"/>
      <c r="H198" s="80"/>
      <c r="I198" s="80">
        <v>135</v>
      </c>
      <c r="J198" s="28"/>
      <c r="K198" s="28"/>
      <c r="L198" s="21"/>
    </row>
    <row r="199" spans="1:12" hidden="1" x14ac:dyDescent="0.25">
      <c r="A199" s="1815"/>
      <c r="B199" s="1220"/>
      <c r="C199" s="1117"/>
      <c r="D199" s="28" t="s">
        <v>263</v>
      </c>
      <c r="E199" s="94"/>
      <c r="F199" s="80">
        <v>310</v>
      </c>
      <c r="G199" s="80"/>
      <c r="H199" s="80"/>
      <c r="I199" s="80">
        <v>456</v>
      </c>
      <c r="J199" s="28"/>
      <c r="K199" s="28"/>
      <c r="L199" s="21"/>
    </row>
    <row r="200" spans="1:12" hidden="1" x14ac:dyDescent="0.25">
      <c r="A200" s="1815"/>
      <c r="B200" s="1220"/>
      <c r="C200" s="1117"/>
      <c r="D200" s="28" t="s">
        <v>357</v>
      </c>
      <c r="E200" s="94"/>
      <c r="F200" s="99">
        <f>(F199/F197)*100</f>
        <v>76.543209876543202</v>
      </c>
      <c r="G200" s="94"/>
      <c r="H200" s="94"/>
      <c r="I200" s="99">
        <f>I199/I197*100</f>
        <v>77.157360406091371</v>
      </c>
      <c r="J200" s="28"/>
      <c r="K200" s="28"/>
      <c r="L200" s="21"/>
    </row>
    <row r="201" spans="1:12" hidden="1" x14ac:dyDescent="0.25">
      <c r="A201" s="1815"/>
      <c r="B201" s="1220"/>
      <c r="C201" s="1117" t="s">
        <v>391</v>
      </c>
      <c r="D201" s="144" t="s">
        <v>251</v>
      </c>
      <c r="E201" s="94"/>
      <c r="F201" s="80">
        <v>1500</v>
      </c>
      <c r="G201" s="80"/>
      <c r="H201" s="80"/>
      <c r="I201" s="80">
        <v>1503</v>
      </c>
      <c r="J201" s="28"/>
      <c r="K201" s="28"/>
      <c r="L201" s="21"/>
    </row>
    <row r="202" spans="1:12" hidden="1" x14ac:dyDescent="0.25">
      <c r="A202" s="1815"/>
      <c r="B202" s="1220"/>
      <c r="C202" s="1117"/>
      <c r="D202" s="28" t="s">
        <v>257</v>
      </c>
      <c r="E202" s="94"/>
      <c r="F202" s="80">
        <v>300</v>
      </c>
      <c r="G202" s="80"/>
      <c r="H202" s="80"/>
      <c r="I202" s="80">
        <v>198</v>
      </c>
      <c r="J202" s="28"/>
      <c r="K202" s="28"/>
      <c r="L202" s="21"/>
    </row>
    <row r="203" spans="1:12" hidden="1" x14ac:dyDescent="0.25">
      <c r="A203" s="1815"/>
      <c r="B203" s="1220"/>
      <c r="C203" s="1117"/>
      <c r="D203" s="28" t="s">
        <v>263</v>
      </c>
      <c r="E203" s="94"/>
      <c r="F203" s="80">
        <v>1205</v>
      </c>
      <c r="G203" s="80"/>
      <c r="H203" s="80"/>
      <c r="I203" s="80">
        <v>1305</v>
      </c>
      <c r="J203" s="28"/>
      <c r="K203" s="28"/>
      <c r="L203" s="21"/>
    </row>
    <row r="204" spans="1:12" hidden="1" x14ac:dyDescent="0.25">
      <c r="A204" s="1815"/>
      <c r="B204" s="1220"/>
      <c r="C204" s="1117"/>
      <c r="D204" s="28" t="s">
        <v>357</v>
      </c>
      <c r="E204" s="94"/>
      <c r="F204" s="99">
        <f>(F203/F201)*100</f>
        <v>80.333333333333329</v>
      </c>
      <c r="G204" s="94"/>
      <c r="H204" s="94"/>
      <c r="I204" s="99">
        <f>I203/I201*100</f>
        <v>86.82634730538922</v>
      </c>
      <c r="J204" s="28"/>
      <c r="K204" s="28"/>
      <c r="L204" s="21"/>
    </row>
    <row r="205" spans="1:12" hidden="1" x14ac:dyDescent="0.25">
      <c r="A205" s="1815"/>
      <c r="B205" s="1220"/>
      <c r="C205" s="1117" t="s">
        <v>392</v>
      </c>
      <c r="D205" s="144" t="s">
        <v>251</v>
      </c>
      <c r="E205" s="94"/>
      <c r="F205" s="80">
        <v>1050</v>
      </c>
      <c r="G205" s="80"/>
      <c r="H205" s="80"/>
      <c r="I205" s="80">
        <v>984</v>
      </c>
      <c r="J205" s="28"/>
      <c r="K205" s="28"/>
      <c r="L205" s="21"/>
    </row>
    <row r="206" spans="1:12" hidden="1" x14ac:dyDescent="0.25">
      <c r="A206" s="1815"/>
      <c r="B206" s="1220"/>
      <c r="C206" s="1117"/>
      <c r="D206" s="28" t="s">
        <v>257</v>
      </c>
      <c r="E206" s="94"/>
      <c r="F206" s="80">
        <v>60</v>
      </c>
      <c r="G206" s="80"/>
      <c r="H206" s="80"/>
      <c r="I206" s="80">
        <v>72</v>
      </c>
      <c r="J206" s="28"/>
      <c r="K206" s="28"/>
      <c r="L206" s="21"/>
    </row>
    <row r="207" spans="1:12" hidden="1" x14ac:dyDescent="0.25">
      <c r="A207" s="1815"/>
      <c r="B207" s="1220"/>
      <c r="C207" s="1117"/>
      <c r="D207" s="28" t="s">
        <v>263</v>
      </c>
      <c r="E207" s="94"/>
      <c r="F207" s="80">
        <v>990</v>
      </c>
      <c r="G207" s="80"/>
      <c r="H207" s="80"/>
      <c r="I207" s="80">
        <v>912</v>
      </c>
      <c r="J207" s="28"/>
      <c r="K207" s="28"/>
      <c r="L207" s="21"/>
    </row>
    <row r="208" spans="1:12" hidden="1" x14ac:dyDescent="0.25">
      <c r="A208" s="1815"/>
      <c r="B208" s="1220"/>
      <c r="C208" s="1117"/>
      <c r="D208" s="28" t="s">
        <v>357</v>
      </c>
      <c r="E208" s="94"/>
      <c r="F208" s="99">
        <f>(F207/F205)*100</f>
        <v>94.285714285714278</v>
      </c>
      <c r="G208" s="94"/>
      <c r="H208" s="94"/>
      <c r="I208" s="99">
        <f>I207/I205*100</f>
        <v>92.682926829268297</v>
      </c>
      <c r="J208" s="28"/>
      <c r="K208" s="28"/>
      <c r="L208" s="21"/>
    </row>
    <row r="209" spans="1:12" hidden="1" x14ac:dyDescent="0.25">
      <c r="A209" s="1815"/>
      <c r="B209" s="1220"/>
      <c r="C209" s="1117" t="s">
        <v>393</v>
      </c>
      <c r="D209" s="144" t="s">
        <v>251</v>
      </c>
      <c r="E209" s="94"/>
      <c r="F209" s="80">
        <v>1250</v>
      </c>
      <c r="G209" s="80"/>
      <c r="H209" s="80"/>
      <c r="I209" s="80">
        <v>1857</v>
      </c>
      <c r="J209" s="28"/>
      <c r="K209" s="28"/>
      <c r="L209" s="21"/>
    </row>
    <row r="210" spans="1:12" hidden="1" x14ac:dyDescent="0.25">
      <c r="A210" s="1815"/>
      <c r="B210" s="1220"/>
      <c r="C210" s="1117"/>
      <c r="D210" s="28" t="s">
        <v>257</v>
      </c>
      <c r="E210" s="94"/>
      <c r="F210" s="80">
        <v>685</v>
      </c>
      <c r="G210" s="80"/>
      <c r="H210" s="80"/>
      <c r="I210" s="80">
        <v>960</v>
      </c>
      <c r="J210" s="28"/>
      <c r="K210" s="28"/>
      <c r="L210" s="21"/>
    </row>
    <row r="211" spans="1:12" hidden="1" x14ac:dyDescent="0.25">
      <c r="A211" s="1815"/>
      <c r="B211" s="1220"/>
      <c r="C211" s="1117"/>
      <c r="D211" s="28" t="s">
        <v>263</v>
      </c>
      <c r="E211" s="94"/>
      <c r="F211" s="80">
        <v>565</v>
      </c>
      <c r="G211" s="80"/>
      <c r="H211" s="80"/>
      <c r="I211" s="80">
        <v>897</v>
      </c>
      <c r="J211" s="28"/>
      <c r="K211" s="28"/>
      <c r="L211" s="21"/>
    </row>
    <row r="212" spans="1:12" hidden="1" x14ac:dyDescent="0.25">
      <c r="A212" s="1815"/>
      <c r="B212" s="1220"/>
      <c r="C212" s="1117"/>
      <c r="D212" s="28" t="s">
        <v>357</v>
      </c>
      <c r="E212" s="94"/>
      <c r="F212" s="98">
        <f>(F211/F209)*100</f>
        <v>45.2</v>
      </c>
      <c r="G212" s="94"/>
      <c r="H212" s="94"/>
      <c r="I212" s="98">
        <f>I211/I209*100</f>
        <v>48.303715670436191</v>
      </c>
      <c r="J212" s="28"/>
      <c r="K212" s="28"/>
      <c r="L212" s="21"/>
    </row>
    <row r="213" spans="1:12" hidden="1" x14ac:dyDescent="0.25">
      <c r="A213" s="1815"/>
      <c r="B213" s="1220"/>
      <c r="C213" s="1117" t="s">
        <v>394</v>
      </c>
      <c r="D213" s="144" t="s">
        <v>251</v>
      </c>
      <c r="E213" s="94"/>
      <c r="F213" s="80">
        <v>1740</v>
      </c>
      <c r="G213" s="80"/>
      <c r="H213" s="80"/>
      <c r="I213" s="80">
        <v>1674</v>
      </c>
      <c r="J213" s="28"/>
      <c r="K213" s="28"/>
      <c r="L213" s="21"/>
    </row>
    <row r="214" spans="1:12" hidden="1" x14ac:dyDescent="0.25">
      <c r="A214" s="1815"/>
      <c r="B214" s="1220"/>
      <c r="C214" s="1117"/>
      <c r="D214" s="28" t="s">
        <v>257</v>
      </c>
      <c r="E214" s="94"/>
      <c r="F214" s="80">
        <v>1540</v>
      </c>
      <c r="G214" s="80"/>
      <c r="H214" s="80"/>
      <c r="I214" s="80">
        <v>1371</v>
      </c>
      <c r="J214" s="28"/>
      <c r="K214" s="28"/>
      <c r="L214" s="21"/>
    </row>
    <row r="215" spans="1:12" hidden="1" x14ac:dyDescent="0.25">
      <c r="A215" s="1815"/>
      <c r="B215" s="1220"/>
      <c r="C215" s="1117"/>
      <c r="D215" s="28" t="s">
        <v>263</v>
      </c>
      <c r="E215" s="94"/>
      <c r="F215" s="80">
        <v>200</v>
      </c>
      <c r="G215" s="80"/>
      <c r="H215" s="80"/>
      <c r="I215" s="80">
        <v>303</v>
      </c>
      <c r="J215" s="28"/>
      <c r="K215" s="28"/>
      <c r="L215" s="21"/>
    </row>
    <row r="216" spans="1:12" hidden="1" x14ac:dyDescent="0.25">
      <c r="A216" s="1815"/>
      <c r="B216" s="1220"/>
      <c r="C216" s="1117"/>
      <c r="D216" s="28" t="s">
        <v>357</v>
      </c>
      <c r="E216" s="94"/>
      <c r="F216" s="97">
        <f>(F215/F213)*100</f>
        <v>11.494252873563218</v>
      </c>
      <c r="G216" s="94"/>
      <c r="H216" s="94"/>
      <c r="I216" s="97">
        <f>I215/I213*100</f>
        <v>18.100358422939067</v>
      </c>
      <c r="J216" s="28"/>
      <c r="K216" s="28"/>
      <c r="L216" s="21"/>
    </row>
    <row r="217" spans="1:12" hidden="1" x14ac:dyDescent="0.25">
      <c r="A217" s="1815"/>
      <c r="B217" s="1220"/>
      <c r="C217" s="1117" t="s">
        <v>395</v>
      </c>
      <c r="D217" s="144" t="s">
        <v>251</v>
      </c>
      <c r="E217" s="94"/>
      <c r="F217" s="80">
        <v>190</v>
      </c>
      <c r="G217" s="80"/>
      <c r="H217" s="80"/>
      <c r="I217" s="80">
        <v>237</v>
      </c>
      <c r="J217" s="94"/>
      <c r="K217" s="28"/>
      <c r="L217" s="21"/>
    </row>
    <row r="218" spans="1:12" ht="14.85" hidden="1" customHeight="1" x14ac:dyDescent="0.25">
      <c r="A218" s="1815"/>
      <c r="B218" s="1220"/>
      <c r="C218" s="1117"/>
      <c r="D218" s="28" t="s">
        <v>257</v>
      </c>
      <c r="E218" s="94"/>
      <c r="F218" s="80">
        <v>150</v>
      </c>
      <c r="G218" s="80"/>
      <c r="H218" s="80"/>
      <c r="I218" s="80">
        <v>198</v>
      </c>
      <c r="J218" s="94"/>
      <c r="K218" s="28"/>
      <c r="L218" s="21"/>
    </row>
    <row r="219" spans="1:12" hidden="1" x14ac:dyDescent="0.25">
      <c r="A219" s="1815"/>
      <c r="B219" s="1220"/>
      <c r="C219" s="1117"/>
      <c r="D219" s="28" t="s">
        <v>263</v>
      </c>
      <c r="E219" s="94"/>
      <c r="F219" s="80">
        <v>40</v>
      </c>
      <c r="G219" s="80"/>
      <c r="H219" s="80"/>
      <c r="I219" s="80">
        <v>39</v>
      </c>
      <c r="J219" s="94"/>
      <c r="K219" s="28"/>
      <c r="L219" s="21"/>
    </row>
    <row r="220" spans="1:12" hidden="1" x14ac:dyDescent="0.25">
      <c r="A220" s="1815"/>
      <c r="B220" s="1220"/>
      <c r="C220" s="1117"/>
      <c r="D220" s="28" t="s">
        <v>357</v>
      </c>
      <c r="E220" s="94"/>
      <c r="F220" s="97">
        <f>(F219/F217)*100</f>
        <v>21.052631578947366</v>
      </c>
      <c r="G220" s="94"/>
      <c r="H220" s="94"/>
      <c r="I220" s="97">
        <f>I219/I217*100</f>
        <v>16.455696202531644</v>
      </c>
      <c r="J220" s="94"/>
      <c r="K220" s="28"/>
      <c r="L220" s="21"/>
    </row>
    <row r="221" spans="1:12" hidden="1" x14ac:dyDescent="0.25">
      <c r="A221" s="1815"/>
      <c r="B221" s="1220"/>
      <c r="C221" s="1117" t="s">
        <v>396</v>
      </c>
      <c r="D221" s="144" t="s">
        <v>251</v>
      </c>
      <c r="E221" s="94"/>
      <c r="F221" s="80">
        <v>25</v>
      </c>
      <c r="G221" s="80"/>
      <c r="H221" s="80"/>
      <c r="I221" s="80">
        <v>18</v>
      </c>
      <c r="J221" s="94"/>
      <c r="K221" s="28"/>
      <c r="L221" s="21"/>
    </row>
    <row r="222" spans="1:12" hidden="1" x14ac:dyDescent="0.25">
      <c r="A222" s="1815"/>
      <c r="B222" s="1220"/>
      <c r="C222" s="1117"/>
      <c r="D222" s="28" t="s">
        <v>257</v>
      </c>
      <c r="E222" s="94"/>
      <c r="F222" s="80">
        <v>0</v>
      </c>
      <c r="G222" s="80"/>
      <c r="H222" s="80"/>
      <c r="I222" s="80">
        <v>15</v>
      </c>
      <c r="J222" s="94"/>
      <c r="K222" s="28"/>
      <c r="L222" s="21"/>
    </row>
    <row r="223" spans="1:12" hidden="1" x14ac:dyDescent="0.25">
      <c r="A223" s="1815"/>
      <c r="B223" s="1220"/>
      <c r="C223" s="1117"/>
      <c r="D223" s="28" t="s">
        <v>263</v>
      </c>
      <c r="E223" s="94"/>
      <c r="F223" s="80">
        <v>25</v>
      </c>
      <c r="G223" s="80"/>
      <c r="H223" s="80"/>
      <c r="I223" s="80">
        <v>3</v>
      </c>
      <c r="J223" s="94"/>
      <c r="K223" s="28"/>
      <c r="L223" s="21"/>
    </row>
    <row r="224" spans="1:12" hidden="1" x14ac:dyDescent="0.25">
      <c r="A224" s="1815"/>
      <c r="B224" s="1220"/>
      <c r="C224" s="1117"/>
      <c r="D224" s="28" t="s">
        <v>357</v>
      </c>
      <c r="E224" s="94"/>
      <c r="F224" s="99">
        <f>(F223/F221)*100</f>
        <v>100</v>
      </c>
      <c r="G224" s="94"/>
      <c r="H224" s="94"/>
      <c r="I224" s="97">
        <f>I223/I221*100</f>
        <v>16.666666666666664</v>
      </c>
      <c r="J224" s="94"/>
      <c r="K224" s="28"/>
      <c r="L224" s="21"/>
    </row>
    <row r="225" spans="1:12" hidden="1" x14ac:dyDescent="0.25">
      <c r="A225" s="1815"/>
      <c r="B225" s="1220"/>
      <c r="C225" s="1117" t="s">
        <v>397</v>
      </c>
      <c r="D225" s="144" t="s">
        <v>251</v>
      </c>
      <c r="E225" s="94"/>
      <c r="F225" s="80"/>
      <c r="G225" s="80"/>
      <c r="H225" s="80"/>
      <c r="I225" s="80"/>
      <c r="J225" s="94"/>
      <c r="K225" s="28"/>
      <c r="L225" s="21"/>
    </row>
    <row r="226" spans="1:12" hidden="1" x14ac:dyDescent="0.25">
      <c r="A226" s="1815"/>
      <c r="B226" s="1220"/>
      <c r="C226" s="1117"/>
      <c r="D226" s="28" t="s">
        <v>257</v>
      </c>
      <c r="E226" s="94"/>
      <c r="F226" s="80"/>
      <c r="G226" s="80"/>
      <c r="H226" s="80"/>
      <c r="I226" s="80"/>
      <c r="J226" s="94"/>
      <c r="K226" s="28"/>
      <c r="L226" s="21"/>
    </row>
    <row r="227" spans="1:12" hidden="1" x14ac:dyDescent="0.25">
      <c r="A227" s="1815"/>
      <c r="B227" s="1220"/>
      <c r="C227" s="1117"/>
      <c r="D227" s="28" t="s">
        <v>263</v>
      </c>
      <c r="E227" s="94"/>
      <c r="F227" s="80"/>
      <c r="G227" s="80"/>
      <c r="H227" s="80"/>
      <c r="I227" s="80"/>
      <c r="J227" s="94"/>
      <c r="K227" s="28"/>
      <c r="L227" s="21"/>
    </row>
    <row r="228" spans="1:12" hidden="1" x14ac:dyDescent="0.25">
      <c r="A228" s="1815"/>
      <c r="B228" s="1220"/>
      <c r="C228" s="1117"/>
      <c r="D228" s="28" t="s">
        <v>357</v>
      </c>
      <c r="E228" s="94"/>
      <c r="F228" s="94"/>
      <c r="G228" s="94"/>
      <c r="H228" s="94"/>
      <c r="I228" s="206"/>
      <c r="J228" s="94"/>
      <c r="K228" s="28"/>
      <c r="L228" s="21"/>
    </row>
    <row r="229" spans="1:12" hidden="1" x14ac:dyDescent="0.25">
      <c r="A229" s="1815"/>
      <c r="B229" s="1220"/>
      <c r="C229" s="1117" t="s">
        <v>398</v>
      </c>
      <c r="D229" s="144" t="s">
        <v>251</v>
      </c>
      <c r="E229" s="94"/>
      <c r="F229" s="80">
        <v>60</v>
      </c>
      <c r="G229" s="80"/>
      <c r="H229" s="80"/>
      <c r="I229" s="80">
        <v>6</v>
      </c>
      <c r="J229" s="94"/>
      <c r="K229" s="28"/>
      <c r="L229" s="21"/>
    </row>
    <row r="230" spans="1:12" ht="14.85" hidden="1" customHeight="1" x14ac:dyDescent="0.25">
      <c r="A230" s="1815"/>
      <c r="B230" s="1220"/>
      <c r="C230" s="1117"/>
      <c r="D230" s="28" t="s">
        <v>257</v>
      </c>
      <c r="E230" s="94"/>
      <c r="F230" s="80">
        <v>30</v>
      </c>
      <c r="G230" s="80"/>
      <c r="H230" s="80"/>
      <c r="I230" s="80">
        <v>6</v>
      </c>
      <c r="J230" s="94"/>
      <c r="K230" s="28"/>
      <c r="L230" s="21"/>
    </row>
    <row r="231" spans="1:12" hidden="1" x14ac:dyDescent="0.25">
      <c r="A231" s="1815"/>
      <c r="B231" s="1220"/>
      <c r="C231" s="1117"/>
      <c r="D231" s="28" t="s">
        <v>263</v>
      </c>
      <c r="E231" s="94"/>
      <c r="F231" s="80">
        <v>25</v>
      </c>
      <c r="G231" s="80"/>
      <c r="H231" s="80"/>
      <c r="I231" s="80">
        <v>0</v>
      </c>
      <c r="J231" s="94"/>
      <c r="K231" s="28"/>
      <c r="L231" s="21"/>
    </row>
    <row r="232" spans="1:12" hidden="1" x14ac:dyDescent="0.25">
      <c r="A232" s="1815"/>
      <c r="B232" s="1220"/>
      <c r="C232" s="1117"/>
      <c r="D232" s="28" t="s">
        <v>357</v>
      </c>
      <c r="E232" s="94"/>
      <c r="F232" s="98">
        <f>(F231/F229)*100</f>
        <v>41.666666666666671</v>
      </c>
      <c r="G232" s="94"/>
      <c r="H232" s="94"/>
      <c r="I232" s="97">
        <f>I231/I229*100</f>
        <v>0</v>
      </c>
      <c r="J232" s="94"/>
      <c r="K232" s="28"/>
      <c r="L232" s="21"/>
    </row>
    <row r="233" spans="1:12" hidden="1" x14ac:dyDescent="0.25">
      <c r="A233" s="1815"/>
      <c r="B233" s="1220"/>
      <c r="C233" s="1117" t="s">
        <v>399</v>
      </c>
      <c r="D233" s="144" t="s">
        <v>251</v>
      </c>
      <c r="E233" s="94"/>
      <c r="F233" s="80">
        <v>1455</v>
      </c>
      <c r="G233" s="80"/>
      <c r="H233" s="80"/>
      <c r="I233" s="80">
        <v>2178</v>
      </c>
      <c r="J233" s="94"/>
      <c r="K233" s="28"/>
      <c r="L233" s="21"/>
    </row>
    <row r="234" spans="1:12" ht="14.85" hidden="1" customHeight="1" x14ac:dyDescent="0.25">
      <c r="A234" s="1815"/>
      <c r="B234" s="1220"/>
      <c r="C234" s="1117"/>
      <c r="D234" s="28" t="s">
        <v>257</v>
      </c>
      <c r="E234" s="94"/>
      <c r="F234" s="80">
        <v>1365</v>
      </c>
      <c r="G234" s="80"/>
      <c r="H234" s="80"/>
      <c r="I234" s="80">
        <v>2106</v>
      </c>
      <c r="J234" s="94"/>
      <c r="K234" s="28"/>
      <c r="L234" s="21"/>
    </row>
    <row r="235" spans="1:12" hidden="1" x14ac:dyDescent="0.25">
      <c r="A235" s="1815"/>
      <c r="B235" s="1220"/>
      <c r="C235" s="1117"/>
      <c r="D235" s="28" t="s">
        <v>263</v>
      </c>
      <c r="E235" s="94"/>
      <c r="F235" s="80">
        <v>90</v>
      </c>
      <c r="G235" s="80"/>
      <c r="H235" s="80"/>
      <c r="I235" s="80">
        <v>72</v>
      </c>
      <c r="J235" s="94"/>
      <c r="K235" s="28"/>
      <c r="L235" s="21"/>
    </row>
    <row r="236" spans="1:12" hidden="1" x14ac:dyDescent="0.25">
      <c r="A236" s="1815"/>
      <c r="B236" s="1220"/>
      <c r="C236" s="1117"/>
      <c r="D236" s="28" t="s">
        <v>357</v>
      </c>
      <c r="E236" s="94"/>
      <c r="F236" s="97">
        <f>(F235/F233)*100</f>
        <v>6.1855670103092786</v>
      </c>
      <c r="G236" s="94"/>
      <c r="H236" s="94"/>
      <c r="I236" s="97">
        <f>I235/I233*100</f>
        <v>3.3057851239669422</v>
      </c>
      <c r="J236" s="94"/>
      <c r="K236" s="28"/>
      <c r="L236" s="21"/>
    </row>
    <row r="237" spans="1:12" hidden="1" x14ac:dyDescent="0.25">
      <c r="A237" s="1815"/>
      <c r="B237" s="1220"/>
      <c r="C237" s="1117" t="s">
        <v>400</v>
      </c>
      <c r="D237" s="144" t="s">
        <v>251</v>
      </c>
      <c r="E237" s="94"/>
      <c r="F237" s="80">
        <v>1185</v>
      </c>
      <c r="G237" s="80"/>
      <c r="H237" s="80"/>
      <c r="I237" s="80">
        <v>843</v>
      </c>
      <c r="J237" s="94"/>
      <c r="K237" s="28"/>
      <c r="L237" s="21"/>
    </row>
    <row r="238" spans="1:12" hidden="1" x14ac:dyDescent="0.25">
      <c r="A238" s="1815"/>
      <c r="B238" s="1220"/>
      <c r="C238" s="1117"/>
      <c r="D238" s="28" t="s">
        <v>257</v>
      </c>
      <c r="E238" s="94"/>
      <c r="F238" s="80">
        <v>1025</v>
      </c>
      <c r="G238" s="80"/>
      <c r="H238" s="80"/>
      <c r="I238" s="80">
        <v>804</v>
      </c>
      <c r="J238" s="94"/>
      <c r="K238" s="28"/>
      <c r="L238" s="21"/>
    </row>
    <row r="239" spans="1:12" hidden="1" x14ac:dyDescent="0.25">
      <c r="A239" s="1815"/>
      <c r="B239" s="1220"/>
      <c r="C239" s="1117"/>
      <c r="D239" s="28" t="s">
        <v>263</v>
      </c>
      <c r="E239" s="94"/>
      <c r="F239" s="80">
        <v>155</v>
      </c>
      <c r="G239" s="80"/>
      <c r="H239" s="80"/>
      <c r="I239" s="80">
        <v>39</v>
      </c>
      <c r="J239" s="94"/>
      <c r="K239" s="28"/>
      <c r="L239" s="21"/>
    </row>
    <row r="240" spans="1:12" hidden="1" x14ac:dyDescent="0.25">
      <c r="A240" s="1815"/>
      <c r="B240" s="1220"/>
      <c r="C240" s="1117"/>
      <c r="D240" s="28" t="s">
        <v>357</v>
      </c>
      <c r="E240" s="94"/>
      <c r="F240" s="97">
        <f>(F239/F237)*100</f>
        <v>13.080168776371309</v>
      </c>
      <c r="G240" s="94"/>
      <c r="H240" s="94"/>
      <c r="I240" s="97">
        <f>I239/I237*100</f>
        <v>4.6263345195729535</v>
      </c>
      <c r="J240" s="94"/>
      <c r="K240" s="28"/>
      <c r="L240" s="21"/>
    </row>
    <row r="241" spans="1:12" ht="14.85" hidden="1" customHeight="1" x14ac:dyDescent="0.25">
      <c r="A241" s="1815"/>
      <c r="B241" s="1220"/>
      <c r="C241" s="1117" t="s">
        <v>401</v>
      </c>
      <c r="D241" s="144" t="s">
        <v>251</v>
      </c>
      <c r="E241" s="94"/>
      <c r="F241" s="80">
        <v>790</v>
      </c>
      <c r="G241" s="80"/>
      <c r="H241" s="80"/>
      <c r="I241" s="80">
        <v>408</v>
      </c>
      <c r="J241" s="94"/>
      <c r="K241" s="28"/>
      <c r="L241" s="21"/>
    </row>
    <row r="242" spans="1:12" hidden="1" x14ac:dyDescent="0.25">
      <c r="A242" s="1815"/>
      <c r="B242" s="1220"/>
      <c r="C242" s="1117"/>
      <c r="D242" s="28" t="s">
        <v>257</v>
      </c>
      <c r="E242" s="94"/>
      <c r="F242" s="80">
        <v>730</v>
      </c>
      <c r="G242" s="80"/>
      <c r="H242" s="80"/>
      <c r="I242" s="80">
        <v>393</v>
      </c>
      <c r="J242" s="94"/>
      <c r="K242" s="28"/>
      <c r="L242" s="21"/>
    </row>
    <row r="243" spans="1:12" hidden="1" x14ac:dyDescent="0.25">
      <c r="A243" s="1815"/>
      <c r="B243" s="1220"/>
      <c r="C243" s="1117"/>
      <c r="D243" s="28" t="s">
        <v>263</v>
      </c>
      <c r="E243" s="94"/>
      <c r="F243" s="80">
        <v>60</v>
      </c>
      <c r="G243" s="80"/>
      <c r="H243" s="80"/>
      <c r="I243" s="80">
        <v>12</v>
      </c>
      <c r="J243" s="94"/>
      <c r="K243" s="28"/>
      <c r="L243" s="21"/>
    </row>
    <row r="244" spans="1:12" hidden="1" x14ac:dyDescent="0.25">
      <c r="A244" s="1815"/>
      <c r="B244" s="1220"/>
      <c r="C244" s="1117"/>
      <c r="D244" s="28" t="s">
        <v>357</v>
      </c>
      <c r="E244" s="94"/>
      <c r="F244" s="97">
        <f>(F243/F241)*100</f>
        <v>7.59493670886076</v>
      </c>
      <c r="G244" s="94"/>
      <c r="H244" s="94"/>
      <c r="I244" s="97">
        <f>I243/I241*100</f>
        <v>2.9411764705882351</v>
      </c>
      <c r="J244" s="94"/>
      <c r="K244" s="28"/>
      <c r="L244" s="21"/>
    </row>
    <row r="245" spans="1:12" hidden="1" x14ac:dyDescent="0.25">
      <c r="A245" s="1815"/>
      <c r="B245" s="1220"/>
      <c r="C245" s="1117" t="s">
        <v>402</v>
      </c>
      <c r="D245" s="144" t="s">
        <v>251</v>
      </c>
      <c r="E245" s="94"/>
      <c r="F245" s="80">
        <v>685</v>
      </c>
      <c r="G245" s="80"/>
      <c r="H245" s="80"/>
      <c r="I245" s="80">
        <v>726</v>
      </c>
      <c r="J245" s="94"/>
      <c r="K245" s="28"/>
      <c r="L245" s="21"/>
    </row>
    <row r="246" spans="1:12" hidden="1" x14ac:dyDescent="0.25">
      <c r="A246" s="1815"/>
      <c r="B246" s="1220"/>
      <c r="C246" s="1117"/>
      <c r="D246" s="28" t="s">
        <v>257</v>
      </c>
      <c r="E246" s="94"/>
      <c r="F246" s="80">
        <v>650</v>
      </c>
      <c r="G246" s="80"/>
      <c r="H246" s="80"/>
      <c r="I246" s="80">
        <v>690</v>
      </c>
      <c r="J246" s="94"/>
      <c r="K246" s="28"/>
      <c r="L246" s="21"/>
    </row>
    <row r="247" spans="1:12" hidden="1" x14ac:dyDescent="0.25">
      <c r="A247" s="1815"/>
      <c r="B247" s="1220"/>
      <c r="C247" s="1117"/>
      <c r="D247" s="28" t="s">
        <v>263</v>
      </c>
      <c r="E247" s="94"/>
      <c r="F247" s="80">
        <v>30</v>
      </c>
      <c r="G247" s="80"/>
      <c r="H247" s="80"/>
      <c r="I247" s="80">
        <v>36</v>
      </c>
      <c r="J247" s="94"/>
      <c r="K247" s="28"/>
      <c r="L247" s="21"/>
    </row>
    <row r="248" spans="1:12" hidden="1" x14ac:dyDescent="0.25">
      <c r="A248" s="1815"/>
      <c r="B248" s="1220"/>
      <c r="C248" s="1117"/>
      <c r="D248" s="28" t="s">
        <v>357</v>
      </c>
      <c r="E248" s="94"/>
      <c r="F248" s="97">
        <f>(F247/F245)*100</f>
        <v>4.3795620437956204</v>
      </c>
      <c r="G248" s="94"/>
      <c r="H248" s="94"/>
      <c r="I248" s="97">
        <f>I247/I245*100</f>
        <v>4.9586776859504136</v>
      </c>
      <c r="J248" s="94"/>
      <c r="K248" s="28"/>
      <c r="L248" s="21"/>
    </row>
    <row r="249" spans="1:12" hidden="1" x14ac:dyDescent="0.25">
      <c r="A249" s="1815"/>
      <c r="B249" s="1220"/>
      <c r="C249" s="1117" t="s">
        <v>403</v>
      </c>
      <c r="D249" s="144" t="s">
        <v>251</v>
      </c>
      <c r="E249" s="94"/>
      <c r="F249" s="80">
        <v>1095</v>
      </c>
      <c r="G249" s="80"/>
      <c r="H249" s="80"/>
      <c r="I249" s="80">
        <v>1026</v>
      </c>
      <c r="J249" s="94"/>
      <c r="K249" s="28"/>
      <c r="L249" s="21"/>
    </row>
    <row r="250" spans="1:12" hidden="1" x14ac:dyDescent="0.25">
      <c r="A250" s="1815"/>
      <c r="B250" s="1220"/>
      <c r="C250" s="1117"/>
      <c r="D250" s="28" t="s">
        <v>257</v>
      </c>
      <c r="E250" s="94"/>
      <c r="F250" s="80">
        <v>1015</v>
      </c>
      <c r="G250" s="80"/>
      <c r="H250" s="80"/>
      <c r="I250" s="80">
        <v>975</v>
      </c>
      <c r="J250" s="94"/>
      <c r="K250" s="28"/>
      <c r="L250" s="21"/>
    </row>
    <row r="251" spans="1:12" hidden="1" x14ac:dyDescent="0.25">
      <c r="A251" s="1815"/>
      <c r="B251" s="1220"/>
      <c r="C251" s="1117"/>
      <c r="D251" s="28" t="s">
        <v>263</v>
      </c>
      <c r="E251" s="94"/>
      <c r="F251" s="80">
        <v>80</v>
      </c>
      <c r="G251" s="80"/>
      <c r="H251" s="80"/>
      <c r="I251" s="80">
        <v>51</v>
      </c>
      <c r="J251" s="94"/>
      <c r="K251" s="28"/>
      <c r="L251" s="21"/>
    </row>
    <row r="252" spans="1:12" hidden="1" x14ac:dyDescent="0.25">
      <c r="A252" s="1815"/>
      <c r="B252" s="1220"/>
      <c r="C252" s="1117"/>
      <c r="D252" s="28" t="s">
        <v>357</v>
      </c>
      <c r="E252" s="94"/>
      <c r="F252" s="97">
        <f>(F251/F249)*100</f>
        <v>7.3059360730593603</v>
      </c>
      <c r="G252" s="94"/>
      <c r="H252" s="94"/>
      <c r="I252" s="97">
        <f>I251/I249*100</f>
        <v>4.9707602339181287</v>
      </c>
      <c r="J252" s="94"/>
      <c r="K252" s="28"/>
      <c r="L252" s="21"/>
    </row>
    <row r="253" spans="1:12" hidden="1" x14ac:dyDescent="0.25">
      <c r="A253" s="1815"/>
      <c r="B253" s="1220"/>
      <c r="C253" s="1117" t="s">
        <v>404</v>
      </c>
      <c r="D253" s="144" t="s">
        <v>251</v>
      </c>
      <c r="E253" s="94"/>
      <c r="F253" s="80">
        <v>540</v>
      </c>
      <c r="G253" s="80"/>
      <c r="H253" s="80"/>
      <c r="I253" s="80">
        <v>231</v>
      </c>
      <c r="J253" s="94"/>
      <c r="K253" s="28"/>
      <c r="L253" s="21"/>
    </row>
    <row r="254" spans="1:12" ht="14.85" hidden="1" customHeight="1" x14ac:dyDescent="0.25">
      <c r="A254" s="1815"/>
      <c r="B254" s="1220"/>
      <c r="C254" s="1117"/>
      <c r="D254" s="28" t="s">
        <v>257</v>
      </c>
      <c r="E254" s="94"/>
      <c r="F254" s="80">
        <v>400</v>
      </c>
      <c r="G254" s="80"/>
      <c r="H254" s="80"/>
      <c r="I254" s="80">
        <v>174</v>
      </c>
      <c r="J254" s="94"/>
      <c r="K254" s="28"/>
      <c r="L254" s="21"/>
    </row>
    <row r="255" spans="1:12" hidden="1" x14ac:dyDescent="0.25">
      <c r="A255" s="1815"/>
      <c r="B255" s="1220"/>
      <c r="C255" s="1117"/>
      <c r="D255" s="28" t="s">
        <v>263</v>
      </c>
      <c r="E255" s="94"/>
      <c r="F255" s="80">
        <v>145</v>
      </c>
      <c r="G255" s="80"/>
      <c r="H255" s="80"/>
      <c r="I255" s="80">
        <v>57</v>
      </c>
      <c r="J255" s="94"/>
      <c r="K255" s="28"/>
      <c r="L255" s="21"/>
    </row>
    <row r="256" spans="1:12" hidden="1" x14ac:dyDescent="0.25">
      <c r="A256" s="1815"/>
      <c r="B256" s="1220"/>
      <c r="C256" s="1117"/>
      <c r="D256" s="28" t="s">
        <v>357</v>
      </c>
      <c r="E256" s="94"/>
      <c r="F256" s="97">
        <f>(F255/F253)*100</f>
        <v>26.851851851851855</v>
      </c>
      <c r="G256" s="94"/>
      <c r="H256" s="94"/>
      <c r="I256" s="97">
        <f>I255/I253*100</f>
        <v>24.675324675324674</v>
      </c>
      <c r="J256" s="94"/>
      <c r="K256" s="28"/>
      <c r="L256" s="21"/>
    </row>
    <row r="257" spans="1:12" hidden="1" x14ac:dyDescent="0.25">
      <c r="A257" s="1815"/>
      <c r="B257" s="1220"/>
      <c r="C257" s="1117" t="s">
        <v>405</v>
      </c>
      <c r="D257" s="144" t="s">
        <v>251</v>
      </c>
      <c r="E257" s="94"/>
      <c r="F257" s="80">
        <v>195</v>
      </c>
      <c r="G257" s="80"/>
      <c r="H257" s="80"/>
      <c r="I257" s="80">
        <v>261</v>
      </c>
      <c r="J257" s="94"/>
      <c r="K257" s="28"/>
      <c r="L257" s="21"/>
    </row>
    <row r="258" spans="1:12" hidden="1" x14ac:dyDescent="0.25">
      <c r="A258" s="1815"/>
      <c r="B258" s="1220"/>
      <c r="C258" s="1117"/>
      <c r="D258" s="28" t="s">
        <v>257</v>
      </c>
      <c r="E258" s="94"/>
      <c r="F258" s="80">
        <v>165</v>
      </c>
      <c r="G258" s="80"/>
      <c r="H258" s="80"/>
      <c r="I258" s="80">
        <v>192</v>
      </c>
      <c r="J258" s="94"/>
      <c r="K258" s="28"/>
      <c r="L258" s="21"/>
    </row>
    <row r="259" spans="1:12" hidden="1" x14ac:dyDescent="0.25">
      <c r="A259" s="1815"/>
      <c r="B259" s="1220"/>
      <c r="C259" s="1117"/>
      <c r="D259" s="28" t="s">
        <v>263</v>
      </c>
      <c r="E259" s="94"/>
      <c r="F259" s="80">
        <v>35</v>
      </c>
      <c r="G259" s="80"/>
      <c r="H259" s="80"/>
      <c r="I259" s="80">
        <v>69</v>
      </c>
      <c r="J259" s="94"/>
      <c r="K259" s="28"/>
      <c r="L259" s="21"/>
    </row>
    <row r="260" spans="1:12" hidden="1" x14ac:dyDescent="0.25">
      <c r="A260" s="1815"/>
      <c r="B260" s="1220"/>
      <c r="C260" s="1117"/>
      <c r="D260" s="28" t="s">
        <v>357</v>
      </c>
      <c r="E260" s="94"/>
      <c r="F260" s="97">
        <f>(F259/F257)*100</f>
        <v>17.948717948717949</v>
      </c>
      <c r="G260" s="94"/>
      <c r="H260" s="94"/>
      <c r="I260" s="97">
        <f>I259/I257*100</f>
        <v>26.436781609195403</v>
      </c>
      <c r="J260" s="94"/>
      <c r="K260" s="28"/>
      <c r="L260" s="21"/>
    </row>
    <row r="261" spans="1:12" hidden="1" x14ac:dyDescent="0.25">
      <c r="A261" s="1815"/>
      <c r="B261" s="1220"/>
      <c r="C261" s="1117" t="s">
        <v>406</v>
      </c>
      <c r="D261" s="144" t="s">
        <v>251</v>
      </c>
      <c r="E261" s="94"/>
      <c r="F261" s="80">
        <v>290</v>
      </c>
      <c r="G261" s="80"/>
      <c r="H261" s="80"/>
      <c r="I261" s="80">
        <v>426</v>
      </c>
      <c r="J261" s="94"/>
      <c r="K261" s="28"/>
      <c r="L261" s="21"/>
    </row>
    <row r="262" spans="1:12" hidden="1" x14ac:dyDescent="0.25">
      <c r="A262" s="1815"/>
      <c r="B262" s="1220"/>
      <c r="C262" s="1117"/>
      <c r="D262" s="28" t="s">
        <v>257</v>
      </c>
      <c r="E262" s="94"/>
      <c r="F262" s="80">
        <v>80</v>
      </c>
      <c r="G262" s="80"/>
      <c r="H262" s="80"/>
      <c r="I262" s="80">
        <v>315</v>
      </c>
      <c r="J262" s="94"/>
      <c r="K262" s="28"/>
      <c r="L262" s="21"/>
    </row>
    <row r="263" spans="1:12" hidden="1" x14ac:dyDescent="0.25">
      <c r="A263" s="1815"/>
      <c r="B263" s="1220"/>
      <c r="C263" s="1117"/>
      <c r="D263" s="28" t="s">
        <v>263</v>
      </c>
      <c r="E263" s="94"/>
      <c r="F263" s="80">
        <v>210</v>
      </c>
      <c r="G263" s="80"/>
      <c r="H263" s="80"/>
      <c r="I263" s="80">
        <v>111</v>
      </c>
      <c r="J263" s="94"/>
      <c r="K263" s="28"/>
      <c r="L263" s="21"/>
    </row>
    <row r="264" spans="1:12" hidden="1" x14ac:dyDescent="0.25">
      <c r="A264" s="1815"/>
      <c r="B264" s="1220"/>
      <c r="C264" s="1117"/>
      <c r="D264" s="28" t="s">
        <v>357</v>
      </c>
      <c r="E264" s="94"/>
      <c r="F264" s="99">
        <f>(F263/F261)*100</f>
        <v>72.41379310344827</v>
      </c>
      <c r="G264" s="94"/>
      <c r="H264" s="94"/>
      <c r="I264" s="97">
        <f>I263/I261*100</f>
        <v>26.056338028169012</v>
      </c>
      <c r="J264" s="94"/>
      <c r="K264" s="28"/>
      <c r="L264" s="21"/>
    </row>
    <row r="265" spans="1:12" hidden="1" x14ac:dyDescent="0.25">
      <c r="A265" s="1815"/>
      <c r="B265" s="1220"/>
      <c r="C265" s="1117" t="s">
        <v>407</v>
      </c>
      <c r="D265" s="144" t="s">
        <v>251</v>
      </c>
      <c r="E265" s="94"/>
      <c r="F265" s="80">
        <v>525</v>
      </c>
      <c r="G265" s="80"/>
      <c r="H265" s="80"/>
      <c r="I265" s="80">
        <v>357</v>
      </c>
      <c r="J265" s="94"/>
      <c r="K265" s="28"/>
      <c r="L265" s="21"/>
    </row>
    <row r="266" spans="1:12" hidden="1" x14ac:dyDescent="0.25">
      <c r="A266" s="1815"/>
      <c r="B266" s="1220"/>
      <c r="C266" s="1117"/>
      <c r="D266" s="28" t="s">
        <v>257</v>
      </c>
      <c r="E266" s="94"/>
      <c r="F266" s="80">
        <v>295</v>
      </c>
      <c r="G266" s="80"/>
      <c r="H266" s="80"/>
      <c r="I266" s="80">
        <v>276</v>
      </c>
      <c r="J266" s="94"/>
      <c r="K266" s="28"/>
      <c r="L266" s="21"/>
    </row>
    <row r="267" spans="1:12" hidden="1" x14ac:dyDescent="0.25">
      <c r="A267" s="1815"/>
      <c r="B267" s="1220"/>
      <c r="C267" s="1117"/>
      <c r="D267" s="28" t="s">
        <v>263</v>
      </c>
      <c r="E267" s="94"/>
      <c r="F267" s="80">
        <v>230</v>
      </c>
      <c r="G267" s="80"/>
      <c r="H267" s="80"/>
      <c r="I267" s="80">
        <v>81</v>
      </c>
      <c r="J267" s="94"/>
      <c r="K267" s="28"/>
      <c r="L267" s="21"/>
    </row>
    <row r="268" spans="1:12" hidden="1" x14ac:dyDescent="0.25">
      <c r="A268" s="1815"/>
      <c r="B268" s="1220"/>
      <c r="C268" s="1117"/>
      <c r="D268" s="28" t="s">
        <v>357</v>
      </c>
      <c r="E268" s="94"/>
      <c r="F268" s="98">
        <f>(F267/F265)*100</f>
        <v>43.80952380952381</v>
      </c>
      <c r="G268" s="94"/>
      <c r="H268" s="94"/>
      <c r="I268" s="97">
        <f>I267/I265*100</f>
        <v>22.689075630252102</v>
      </c>
      <c r="J268" s="94"/>
      <c r="K268" s="28"/>
      <c r="L268" s="21"/>
    </row>
    <row r="269" spans="1:12" hidden="1" x14ac:dyDescent="0.25">
      <c r="A269" s="1815"/>
      <c r="B269" s="1220"/>
      <c r="C269" s="1117" t="s">
        <v>408</v>
      </c>
      <c r="D269" s="144" t="s">
        <v>251</v>
      </c>
      <c r="E269" s="94"/>
      <c r="F269" s="80">
        <v>75</v>
      </c>
      <c r="G269" s="80"/>
      <c r="H269" s="80"/>
      <c r="I269" s="80">
        <v>249</v>
      </c>
      <c r="J269" s="94"/>
      <c r="K269" s="28"/>
      <c r="L269" s="21"/>
    </row>
    <row r="270" spans="1:12" hidden="1" x14ac:dyDescent="0.25">
      <c r="A270" s="1815"/>
      <c r="B270" s="1220"/>
      <c r="C270" s="1117"/>
      <c r="D270" s="28" t="s">
        <v>257</v>
      </c>
      <c r="E270" s="94"/>
      <c r="F270" s="80">
        <v>60</v>
      </c>
      <c r="G270" s="80"/>
      <c r="H270" s="80"/>
      <c r="I270" s="80">
        <v>210</v>
      </c>
      <c r="J270" s="94"/>
      <c r="K270" s="28"/>
      <c r="L270" s="21"/>
    </row>
    <row r="271" spans="1:12" hidden="1" x14ac:dyDescent="0.25">
      <c r="A271" s="1815"/>
      <c r="B271" s="1220"/>
      <c r="C271" s="1117"/>
      <c r="D271" s="28" t="s">
        <v>263</v>
      </c>
      <c r="E271" s="94"/>
      <c r="F271" s="80">
        <v>10</v>
      </c>
      <c r="G271" s="80"/>
      <c r="H271" s="80"/>
      <c r="I271" s="80">
        <v>39</v>
      </c>
      <c r="J271" s="94"/>
      <c r="K271" s="28"/>
      <c r="L271" s="21"/>
    </row>
    <row r="272" spans="1:12" hidden="1" x14ac:dyDescent="0.25">
      <c r="A272" s="1815"/>
      <c r="B272" s="1220"/>
      <c r="C272" s="1117"/>
      <c r="D272" s="28" t="s">
        <v>357</v>
      </c>
      <c r="E272" s="94"/>
      <c r="F272" s="97">
        <f>(F271/F269)*100</f>
        <v>13.333333333333334</v>
      </c>
      <c r="G272" s="94"/>
      <c r="H272" s="94"/>
      <c r="I272" s="97">
        <f>I271/I269*100</f>
        <v>15.66265060240964</v>
      </c>
      <c r="J272" s="94"/>
      <c r="K272" s="28"/>
      <c r="L272" s="21"/>
    </row>
    <row r="273" spans="1:12" ht="14.85" hidden="1" customHeight="1" x14ac:dyDescent="0.25">
      <c r="A273" s="1815"/>
      <c r="B273" s="1220"/>
      <c r="C273" s="1117" t="s">
        <v>409</v>
      </c>
      <c r="D273" s="144" t="s">
        <v>251</v>
      </c>
      <c r="E273" s="94"/>
      <c r="F273" s="80">
        <v>465</v>
      </c>
      <c r="G273" s="80"/>
      <c r="H273" s="80"/>
      <c r="I273" s="80">
        <v>273</v>
      </c>
      <c r="J273" s="94"/>
      <c r="K273" s="28"/>
      <c r="L273" s="21"/>
    </row>
    <row r="274" spans="1:12" ht="14.85" hidden="1" customHeight="1" x14ac:dyDescent="0.25">
      <c r="A274" s="1815"/>
      <c r="B274" s="1220"/>
      <c r="C274" s="1117"/>
      <c r="D274" s="28" t="s">
        <v>257</v>
      </c>
      <c r="E274" s="94"/>
      <c r="F274" s="80">
        <v>430</v>
      </c>
      <c r="G274" s="80"/>
      <c r="H274" s="80"/>
      <c r="I274" s="80">
        <v>258</v>
      </c>
      <c r="J274" s="94"/>
      <c r="K274" s="28"/>
      <c r="L274" s="21"/>
    </row>
    <row r="275" spans="1:12" hidden="1" x14ac:dyDescent="0.25">
      <c r="A275" s="1815"/>
      <c r="B275" s="1220"/>
      <c r="C275" s="1117"/>
      <c r="D275" s="28" t="s">
        <v>263</v>
      </c>
      <c r="E275" s="94"/>
      <c r="F275" s="80">
        <v>35</v>
      </c>
      <c r="G275" s="80"/>
      <c r="H275" s="80"/>
      <c r="I275" s="80">
        <v>12</v>
      </c>
      <c r="J275" s="94"/>
      <c r="K275" s="28"/>
      <c r="L275" s="21"/>
    </row>
    <row r="276" spans="1:12" hidden="1" x14ac:dyDescent="0.25">
      <c r="A276" s="1815"/>
      <c r="B276" s="1220"/>
      <c r="C276" s="1117"/>
      <c r="D276" s="28" t="s">
        <v>357</v>
      </c>
      <c r="E276" s="94"/>
      <c r="F276" s="97">
        <f>(F275/F273)*100</f>
        <v>7.5268817204301079</v>
      </c>
      <c r="G276" s="94"/>
      <c r="H276" s="94"/>
      <c r="I276" s="97">
        <f>I275/I273*100</f>
        <v>4.395604395604396</v>
      </c>
      <c r="J276" s="94"/>
      <c r="K276" s="28"/>
      <c r="L276" s="21"/>
    </row>
    <row r="277" spans="1:12" hidden="1" x14ac:dyDescent="0.25">
      <c r="A277" s="1815"/>
      <c r="B277" s="1220"/>
      <c r="C277" s="1117" t="s">
        <v>410</v>
      </c>
      <c r="D277" s="144" t="s">
        <v>251</v>
      </c>
      <c r="E277" s="94"/>
      <c r="F277" s="80">
        <v>2955</v>
      </c>
      <c r="G277" s="80"/>
      <c r="H277" s="80"/>
      <c r="I277" s="80">
        <v>2910</v>
      </c>
      <c r="J277" s="94"/>
      <c r="K277" s="28"/>
      <c r="L277" s="21"/>
    </row>
    <row r="278" spans="1:12" hidden="1" x14ac:dyDescent="0.25">
      <c r="A278" s="1815"/>
      <c r="B278" s="1220"/>
      <c r="C278" s="1117"/>
      <c r="D278" s="28" t="s">
        <v>257</v>
      </c>
      <c r="E278" s="94"/>
      <c r="F278" s="80">
        <v>2730</v>
      </c>
      <c r="G278" s="80"/>
      <c r="H278" s="80"/>
      <c r="I278" s="80">
        <v>2727</v>
      </c>
      <c r="J278" s="94"/>
      <c r="K278" s="28"/>
      <c r="L278" s="21"/>
    </row>
    <row r="279" spans="1:12" hidden="1" x14ac:dyDescent="0.25">
      <c r="A279" s="1815"/>
      <c r="B279" s="1220"/>
      <c r="C279" s="1117"/>
      <c r="D279" s="28" t="s">
        <v>263</v>
      </c>
      <c r="E279" s="94"/>
      <c r="F279" s="80">
        <v>225</v>
      </c>
      <c r="G279" s="80"/>
      <c r="H279" s="80"/>
      <c r="I279" s="80">
        <v>183</v>
      </c>
      <c r="J279" s="94"/>
      <c r="K279" s="28"/>
      <c r="L279" s="21"/>
    </row>
    <row r="280" spans="1:12" hidden="1" x14ac:dyDescent="0.25">
      <c r="A280" s="1815"/>
      <c r="B280" s="1220"/>
      <c r="C280" s="1117"/>
      <c r="D280" s="28" t="s">
        <v>357</v>
      </c>
      <c r="E280" s="94"/>
      <c r="F280" s="97">
        <f>(F279/F277)*100</f>
        <v>7.6142131979695442</v>
      </c>
      <c r="G280" s="94"/>
      <c r="H280" s="94"/>
      <c r="I280" s="97">
        <f>I279/I277*100</f>
        <v>6.2886597938144329</v>
      </c>
      <c r="J280" s="94"/>
      <c r="K280" s="28"/>
      <c r="L280" s="21"/>
    </row>
    <row r="281" spans="1:12" hidden="1" x14ac:dyDescent="0.25">
      <c r="A281" s="1815"/>
      <c r="B281" s="1220"/>
      <c r="C281" s="1117" t="s">
        <v>411</v>
      </c>
      <c r="D281" s="144" t="s">
        <v>251</v>
      </c>
      <c r="E281" s="94"/>
      <c r="F281" s="80">
        <v>1920</v>
      </c>
      <c r="G281" s="80"/>
      <c r="H281" s="80"/>
      <c r="I281" s="80">
        <v>3633</v>
      </c>
      <c r="J281" s="94"/>
      <c r="K281" s="28"/>
      <c r="L281" s="21"/>
    </row>
    <row r="282" spans="1:12" hidden="1" x14ac:dyDescent="0.25">
      <c r="A282" s="1815"/>
      <c r="B282" s="1220"/>
      <c r="C282" s="1117"/>
      <c r="D282" s="28" t="s">
        <v>257</v>
      </c>
      <c r="E282" s="94"/>
      <c r="F282" s="80">
        <v>35</v>
      </c>
      <c r="G282" s="80"/>
      <c r="H282" s="80"/>
      <c r="I282" s="80">
        <v>114</v>
      </c>
      <c r="J282" s="94"/>
      <c r="K282" s="28"/>
      <c r="L282" s="21"/>
    </row>
    <row r="283" spans="1:12" hidden="1" x14ac:dyDescent="0.25">
      <c r="A283" s="1815"/>
      <c r="B283" s="1220"/>
      <c r="C283" s="1117"/>
      <c r="D283" s="28" t="s">
        <v>263</v>
      </c>
      <c r="E283" s="94"/>
      <c r="F283" s="80">
        <v>1885</v>
      </c>
      <c r="G283" s="80"/>
      <c r="H283" s="80"/>
      <c r="I283" s="80">
        <v>3519</v>
      </c>
      <c r="J283" s="94"/>
      <c r="K283" s="28"/>
      <c r="L283" s="21"/>
    </row>
    <row r="284" spans="1:12" hidden="1" x14ac:dyDescent="0.25">
      <c r="A284" s="1815"/>
      <c r="B284" s="1220"/>
      <c r="C284" s="1117"/>
      <c r="D284" s="28" t="s">
        <v>357</v>
      </c>
      <c r="E284" s="94"/>
      <c r="F284" s="99">
        <f>(F283/F281)*100</f>
        <v>98.177083333333343</v>
      </c>
      <c r="G284" s="94"/>
      <c r="H284" s="94"/>
      <c r="I284" s="99">
        <f>I283/I281*100</f>
        <v>96.862097440132118</v>
      </c>
      <c r="J284" s="94"/>
      <c r="K284" s="28"/>
      <c r="L284" s="21"/>
    </row>
    <row r="285" spans="1:12" hidden="1" x14ac:dyDescent="0.25">
      <c r="A285" s="1815"/>
      <c r="B285" s="1220"/>
      <c r="C285" s="1117" t="s">
        <v>412</v>
      </c>
      <c r="D285" s="144" t="s">
        <v>251</v>
      </c>
      <c r="E285" s="94"/>
      <c r="F285" s="80">
        <v>3175</v>
      </c>
      <c r="G285" s="80"/>
      <c r="H285" s="80"/>
      <c r="I285" s="80">
        <v>4638</v>
      </c>
      <c r="J285" s="94"/>
      <c r="K285" s="28"/>
      <c r="L285" s="21"/>
    </row>
    <row r="286" spans="1:12" hidden="1" x14ac:dyDescent="0.25">
      <c r="A286" s="1815"/>
      <c r="B286" s="1220"/>
      <c r="C286" s="1117"/>
      <c r="D286" s="28" t="s">
        <v>257</v>
      </c>
      <c r="E286" s="94"/>
      <c r="F286" s="80">
        <v>480</v>
      </c>
      <c r="G286" s="80"/>
      <c r="H286" s="80"/>
      <c r="I286" s="80">
        <v>972</v>
      </c>
      <c r="J286" s="94"/>
      <c r="K286" s="28"/>
      <c r="L286" s="21"/>
    </row>
    <row r="287" spans="1:12" hidden="1" x14ac:dyDescent="0.25">
      <c r="A287" s="1815"/>
      <c r="B287" s="1220"/>
      <c r="C287" s="1117"/>
      <c r="D287" s="28" t="s">
        <v>263</v>
      </c>
      <c r="E287" s="94"/>
      <c r="F287" s="80">
        <v>2695</v>
      </c>
      <c r="G287" s="80"/>
      <c r="H287" s="80"/>
      <c r="I287" s="80">
        <v>3663</v>
      </c>
      <c r="J287" s="94"/>
      <c r="K287" s="28"/>
      <c r="L287" s="21"/>
    </row>
    <row r="288" spans="1:12" hidden="1" x14ac:dyDescent="0.25">
      <c r="A288" s="1815"/>
      <c r="B288" s="1220"/>
      <c r="C288" s="1117"/>
      <c r="D288" s="28" t="s">
        <v>357</v>
      </c>
      <c r="E288" s="94"/>
      <c r="F288" s="99">
        <f>(F287/F285)*100</f>
        <v>84.881889763779526</v>
      </c>
      <c r="G288" s="94"/>
      <c r="H288" s="94"/>
      <c r="I288" s="99">
        <f>I287/I285*100</f>
        <v>78.978007761966367</v>
      </c>
      <c r="J288" s="94"/>
      <c r="K288" s="28"/>
      <c r="L288" s="21"/>
    </row>
    <row r="289" spans="1:12" hidden="1" x14ac:dyDescent="0.25">
      <c r="A289" s="1815"/>
      <c r="B289" s="1220"/>
      <c r="C289" s="1117" t="s">
        <v>413</v>
      </c>
      <c r="D289" s="144" t="s">
        <v>251</v>
      </c>
      <c r="E289" s="94"/>
      <c r="F289" s="80">
        <v>580</v>
      </c>
      <c r="G289" s="80"/>
      <c r="H289" s="80"/>
      <c r="I289" s="80">
        <v>468</v>
      </c>
      <c r="J289" s="94"/>
      <c r="K289" s="28"/>
      <c r="L289" s="21"/>
    </row>
    <row r="290" spans="1:12" ht="14.85" hidden="1" customHeight="1" x14ac:dyDescent="0.25">
      <c r="A290" s="1815"/>
      <c r="B290" s="1220"/>
      <c r="C290" s="1117"/>
      <c r="D290" s="28" t="s">
        <v>257</v>
      </c>
      <c r="E290" s="94"/>
      <c r="F290" s="80">
        <v>115</v>
      </c>
      <c r="G290" s="80"/>
      <c r="H290" s="80"/>
      <c r="I290" s="80">
        <v>222</v>
      </c>
      <c r="J290" s="94"/>
      <c r="K290" s="28"/>
      <c r="L290" s="21"/>
    </row>
    <row r="291" spans="1:12" hidden="1" x14ac:dyDescent="0.25">
      <c r="A291" s="1815"/>
      <c r="B291" s="1220"/>
      <c r="C291" s="1117"/>
      <c r="D291" s="28" t="s">
        <v>263</v>
      </c>
      <c r="E291" s="94"/>
      <c r="F291" s="80">
        <v>465</v>
      </c>
      <c r="G291" s="80"/>
      <c r="H291" s="80"/>
      <c r="I291" s="80">
        <v>246</v>
      </c>
      <c r="J291" s="94"/>
      <c r="K291" s="28"/>
      <c r="L291" s="21"/>
    </row>
    <row r="292" spans="1:12" hidden="1" x14ac:dyDescent="0.25">
      <c r="A292" s="1815"/>
      <c r="B292" s="1220"/>
      <c r="C292" s="1117"/>
      <c r="D292" s="28" t="s">
        <v>357</v>
      </c>
      <c r="E292" s="94"/>
      <c r="F292" s="99">
        <f>(F291/F289)*100</f>
        <v>80.172413793103445</v>
      </c>
      <c r="G292" s="94"/>
      <c r="H292" s="94"/>
      <c r="I292" s="98">
        <f>I291/I289*100</f>
        <v>52.564102564102569</v>
      </c>
      <c r="J292" s="94"/>
      <c r="K292" s="28"/>
      <c r="L292" s="21"/>
    </row>
    <row r="293" spans="1:12" ht="14.85" hidden="1" customHeight="1" x14ac:dyDescent="0.25">
      <c r="A293" s="1815"/>
      <c r="B293" s="1220"/>
      <c r="C293" s="1117" t="s">
        <v>414</v>
      </c>
      <c r="D293" s="144" t="s">
        <v>251</v>
      </c>
      <c r="E293" s="94"/>
      <c r="F293" s="80">
        <v>690</v>
      </c>
      <c r="G293" s="80"/>
      <c r="H293" s="80"/>
      <c r="I293" s="80">
        <v>1032</v>
      </c>
      <c r="J293" s="94"/>
      <c r="K293" s="28"/>
      <c r="L293" s="21"/>
    </row>
    <row r="294" spans="1:12" ht="14.85" hidden="1" customHeight="1" x14ac:dyDescent="0.25">
      <c r="A294" s="1815"/>
      <c r="B294" s="1220"/>
      <c r="C294" s="1117"/>
      <c r="D294" s="28" t="s">
        <v>257</v>
      </c>
      <c r="E294" s="94"/>
      <c r="F294" s="80">
        <v>505</v>
      </c>
      <c r="G294" s="80"/>
      <c r="H294" s="80"/>
      <c r="I294" s="80">
        <v>759</v>
      </c>
      <c r="J294" s="94"/>
      <c r="K294" s="28"/>
      <c r="L294" s="21"/>
    </row>
    <row r="295" spans="1:12" hidden="1" x14ac:dyDescent="0.25">
      <c r="A295" s="1815"/>
      <c r="B295" s="1220"/>
      <c r="C295" s="1117"/>
      <c r="D295" s="28" t="s">
        <v>263</v>
      </c>
      <c r="E295" s="94"/>
      <c r="F295" s="80">
        <v>180</v>
      </c>
      <c r="G295" s="80"/>
      <c r="H295" s="80"/>
      <c r="I295" s="80">
        <v>273</v>
      </c>
      <c r="J295" s="94"/>
      <c r="K295" s="28"/>
      <c r="L295" s="21"/>
    </row>
    <row r="296" spans="1:12" hidden="1" x14ac:dyDescent="0.25">
      <c r="A296" s="1815"/>
      <c r="B296" s="1220"/>
      <c r="C296" s="1117"/>
      <c r="D296" s="28" t="s">
        <v>357</v>
      </c>
      <c r="E296" s="94"/>
      <c r="F296" s="97">
        <f>(F295/F293)*100</f>
        <v>26.086956521739129</v>
      </c>
      <c r="G296" s="94"/>
      <c r="H296" s="94"/>
      <c r="I296" s="97">
        <f>I295/I293*100</f>
        <v>26.453488372093027</v>
      </c>
      <c r="J296" s="94"/>
      <c r="K296" s="28"/>
      <c r="L296" s="21"/>
    </row>
    <row r="297" spans="1:12" hidden="1" x14ac:dyDescent="0.25">
      <c r="A297" s="1815"/>
      <c r="B297" s="1220"/>
      <c r="C297" s="1117" t="s">
        <v>415</v>
      </c>
      <c r="D297" s="144" t="s">
        <v>251</v>
      </c>
      <c r="E297" s="94"/>
      <c r="F297" s="80">
        <v>120</v>
      </c>
      <c r="G297" s="80"/>
      <c r="H297" s="80"/>
      <c r="I297" s="80">
        <v>210</v>
      </c>
      <c r="J297" s="94"/>
      <c r="K297" s="28"/>
      <c r="L297" s="21"/>
    </row>
    <row r="298" spans="1:12" hidden="1" x14ac:dyDescent="0.25">
      <c r="A298" s="1815"/>
      <c r="B298" s="1220"/>
      <c r="C298" s="1117"/>
      <c r="D298" s="28" t="s">
        <v>257</v>
      </c>
      <c r="E298" s="94"/>
      <c r="F298" s="80">
        <v>40</v>
      </c>
      <c r="G298" s="80"/>
      <c r="H298" s="80"/>
      <c r="I298" s="80">
        <v>174</v>
      </c>
      <c r="J298" s="94"/>
      <c r="K298" s="28"/>
      <c r="L298" s="21"/>
    </row>
    <row r="299" spans="1:12" hidden="1" x14ac:dyDescent="0.25">
      <c r="A299" s="1815"/>
      <c r="B299" s="1220"/>
      <c r="C299" s="1117"/>
      <c r="D299" s="28" t="s">
        <v>263</v>
      </c>
      <c r="E299" s="94"/>
      <c r="F299" s="80">
        <v>85</v>
      </c>
      <c r="G299" s="80"/>
      <c r="H299" s="80"/>
      <c r="I299" s="80">
        <v>36</v>
      </c>
      <c r="J299" s="94"/>
      <c r="K299" s="28"/>
      <c r="L299" s="21"/>
    </row>
    <row r="300" spans="1:12" hidden="1" x14ac:dyDescent="0.25">
      <c r="A300" s="1815"/>
      <c r="B300" s="1220"/>
      <c r="C300" s="1117"/>
      <c r="D300" s="28" t="s">
        <v>357</v>
      </c>
      <c r="E300" s="94"/>
      <c r="F300" s="99">
        <f>(F299/F297)*100</f>
        <v>70.833333333333343</v>
      </c>
      <c r="G300" s="94"/>
      <c r="H300" s="94"/>
      <c r="I300" s="97">
        <f>I299/I297*100</f>
        <v>17.142857142857142</v>
      </c>
      <c r="J300" s="94"/>
      <c r="K300" s="28"/>
      <c r="L300" s="21"/>
    </row>
    <row r="301" spans="1:12" hidden="1" x14ac:dyDescent="0.25">
      <c r="A301" s="1815"/>
      <c r="B301" s="1220"/>
      <c r="C301" s="1117" t="s">
        <v>416</v>
      </c>
      <c r="D301" s="144" t="s">
        <v>251</v>
      </c>
      <c r="E301" s="94"/>
      <c r="F301" s="80">
        <v>275</v>
      </c>
      <c r="G301" s="80"/>
      <c r="H301" s="80"/>
      <c r="I301" s="80">
        <v>300</v>
      </c>
      <c r="J301" s="94"/>
      <c r="K301" s="28"/>
      <c r="L301" s="21"/>
    </row>
    <row r="302" spans="1:12" hidden="1" x14ac:dyDescent="0.25">
      <c r="A302" s="1815"/>
      <c r="B302" s="1220"/>
      <c r="C302" s="1117"/>
      <c r="D302" s="28" t="s">
        <v>257</v>
      </c>
      <c r="E302" s="94"/>
      <c r="F302" s="80">
        <v>235</v>
      </c>
      <c r="G302" s="80"/>
      <c r="H302" s="80"/>
      <c r="I302" s="80">
        <v>288</v>
      </c>
      <c r="J302" s="94"/>
      <c r="K302" s="28"/>
      <c r="L302" s="21"/>
    </row>
    <row r="303" spans="1:12" hidden="1" x14ac:dyDescent="0.25">
      <c r="A303" s="1815"/>
      <c r="B303" s="1220"/>
      <c r="C303" s="1117"/>
      <c r="D303" s="28" t="s">
        <v>263</v>
      </c>
      <c r="E303" s="94"/>
      <c r="F303" s="80">
        <v>40</v>
      </c>
      <c r="G303" s="80"/>
      <c r="H303" s="80"/>
      <c r="I303" s="80">
        <v>12</v>
      </c>
      <c r="J303" s="94"/>
      <c r="K303" s="28"/>
      <c r="L303" s="21"/>
    </row>
    <row r="304" spans="1:12" hidden="1" x14ac:dyDescent="0.25">
      <c r="A304" s="1815"/>
      <c r="B304" s="1220"/>
      <c r="C304" s="1117"/>
      <c r="D304" s="28" t="s">
        <v>357</v>
      </c>
      <c r="E304" s="94"/>
      <c r="F304" s="97">
        <f>(F303/F301)*100</f>
        <v>14.545454545454545</v>
      </c>
      <c r="G304" s="94"/>
      <c r="H304" s="94"/>
      <c r="I304" s="97">
        <f>I303/I301*100</f>
        <v>4</v>
      </c>
      <c r="J304" s="94"/>
      <c r="K304" s="28"/>
      <c r="L304" s="21"/>
    </row>
    <row r="305" spans="1:14" hidden="1" x14ac:dyDescent="0.25">
      <c r="A305" s="1815"/>
      <c r="B305" s="1220"/>
      <c r="C305" s="1117" t="s">
        <v>417</v>
      </c>
      <c r="D305" s="144" t="s">
        <v>251</v>
      </c>
      <c r="E305" s="94"/>
      <c r="F305" s="80">
        <v>240</v>
      </c>
      <c r="G305" s="80"/>
      <c r="H305" s="80"/>
      <c r="I305" s="80">
        <v>522</v>
      </c>
      <c r="J305" s="94"/>
      <c r="K305" s="28"/>
      <c r="L305" s="21"/>
    </row>
    <row r="306" spans="1:14" hidden="1" x14ac:dyDescent="0.25">
      <c r="A306" s="1815"/>
      <c r="B306" s="1220"/>
      <c r="C306" s="1117"/>
      <c r="D306" s="28" t="s">
        <v>257</v>
      </c>
      <c r="E306" s="94"/>
      <c r="F306" s="80">
        <v>195</v>
      </c>
      <c r="G306" s="80"/>
      <c r="H306" s="80"/>
      <c r="I306" s="80">
        <v>390</v>
      </c>
      <c r="J306" s="94"/>
      <c r="K306" s="28"/>
      <c r="L306" s="21"/>
    </row>
    <row r="307" spans="1:14" hidden="1" x14ac:dyDescent="0.25">
      <c r="A307" s="1815"/>
      <c r="B307" s="1220"/>
      <c r="C307" s="1117"/>
      <c r="D307" s="28" t="s">
        <v>263</v>
      </c>
      <c r="E307" s="94"/>
      <c r="F307" s="80">
        <v>45</v>
      </c>
      <c r="G307" s="80"/>
      <c r="H307" s="80"/>
      <c r="I307" s="80">
        <v>135</v>
      </c>
      <c r="J307" s="94"/>
      <c r="K307" s="28"/>
      <c r="L307" s="21"/>
    </row>
    <row r="308" spans="1:14" hidden="1" x14ac:dyDescent="0.25">
      <c r="A308" s="1815"/>
      <c r="B308" s="1220"/>
      <c r="C308" s="1117"/>
      <c r="D308" s="28" t="s">
        <v>357</v>
      </c>
      <c r="E308" s="94"/>
      <c r="F308" s="97">
        <f>F307/F305*100</f>
        <v>18.75</v>
      </c>
      <c r="G308" s="94"/>
      <c r="H308" s="94"/>
      <c r="I308" s="97">
        <f>I307/I305*100</f>
        <v>25.862068965517242</v>
      </c>
      <c r="J308" s="94"/>
      <c r="K308" s="28"/>
      <c r="L308" s="21"/>
    </row>
    <row r="309" spans="1:14" hidden="1" x14ac:dyDescent="0.25">
      <c r="A309" s="1815"/>
      <c r="B309" s="1220"/>
      <c r="C309" s="1117" t="s">
        <v>418</v>
      </c>
      <c r="D309" s="144" t="s">
        <v>251</v>
      </c>
      <c r="E309" s="94"/>
      <c r="F309" s="80">
        <v>1140</v>
      </c>
      <c r="G309" s="80"/>
      <c r="H309" s="80"/>
      <c r="I309" s="80">
        <v>1743</v>
      </c>
      <c r="J309" s="94"/>
      <c r="K309" s="28"/>
      <c r="L309" s="21"/>
    </row>
    <row r="310" spans="1:14" hidden="1" x14ac:dyDescent="0.25">
      <c r="A310" s="1815"/>
      <c r="B310" s="1220"/>
      <c r="C310" s="1117"/>
      <c r="D310" s="28" t="s">
        <v>263</v>
      </c>
      <c r="E310" s="94"/>
      <c r="F310" s="80">
        <v>1020</v>
      </c>
      <c r="G310" s="80"/>
      <c r="H310" s="80"/>
      <c r="I310" s="80">
        <v>1377</v>
      </c>
      <c r="J310" s="94"/>
      <c r="K310" s="28"/>
      <c r="L310" s="21"/>
    </row>
    <row r="311" spans="1:14" ht="14.85" hidden="1" customHeight="1" x14ac:dyDescent="0.25">
      <c r="A311" s="1815"/>
      <c r="B311" s="1220"/>
      <c r="C311" s="1117"/>
      <c r="D311" s="28" t="s">
        <v>257</v>
      </c>
      <c r="E311" s="94"/>
      <c r="F311" s="80">
        <v>120</v>
      </c>
      <c r="G311" s="80"/>
      <c r="H311" s="80"/>
      <c r="I311" s="80">
        <v>369</v>
      </c>
      <c r="J311" s="94"/>
      <c r="K311" s="28"/>
      <c r="L311" s="21"/>
    </row>
    <row r="312" spans="1:14" hidden="1" x14ac:dyDescent="0.25">
      <c r="A312" s="1815"/>
      <c r="B312" s="1220"/>
      <c r="C312" s="1117"/>
      <c r="D312" s="28" t="s">
        <v>357</v>
      </c>
      <c r="E312" s="94"/>
      <c r="F312" s="97">
        <f>(F311/F309)*100</f>
        <v>10.526315789473683</v>
      </c>
      <c r="G312" s="94"/>
      <c r="H312" s="94"/>
      <c r="I312" s="97">
        <f>I311/I309*100</f>
        <v>21.170395869191051</v>
      </c>
      <c r="J312" s="94"/>
      <c r="K312" s="28"/>
      <c r="L312" s="21"/>
    </row>
    <row r="313" spans="1:14" x14ac:dyDescent="0.25">
      <c r="A313" s="1815"/>
      <c r="B313" s="1220"/>
      <c r="C313" s="1174" t="s">
        <v>419</v>
      </c>
      <c r="D313" s="1110"/>
      <c r="E313" s="94"/>
      <c r="F313" s="100">
        <f>30/61*100</f>
        <v>49.180327868852459</v>
      </c>
      <c r="G313" s="92"/>
      <c r="H313" s="92"/>
      <c r="I313" s="101">
        <f>31/60*100</f>
        <v>51.666666666666671</v>
      </c>
      <c r="J313" s="94"/>
      <c r="K313" s="28"/>
      <c r="L313" s="21"/>
    </row>
    <row r="314" spans="1:14" x14ac:dyDescent="0.25">
      <c r="A314" s="1815"/>
      <c r="B314" s="1220"/>
      <c r="C314" s="1174" t="s">
        <v>420</v>
      </c>
      <c r="D314" s="1110"/>
      <c r="E314" s="94"/>
      <c r="F314" s="102">
        <f>18/61*100</f>
        <v>29.508196721311474</v>
      </c>
      <c r="G314" s="92"/>
      <c r="H314" s="92"/>
      <c r="I314" s="102">
        <f>16/60*100</f>
        <v>26.666666666666668</v>
      </c>
      <c r="J314" s="94"/>
      <c r="K314" s="28"/>
      <c r="L314" s="21"/>
    </row>
    <row r="315" spans="1:14" ht="16.5" thickBot="1" x14ac:dyDescent="0.3">
      <c r="A315" s="1816"/>
      <c r="B315" s="1221"/>
      <c r="C315" s="1175" t="s">
        <v>421</v>
      </c>
      <c r="D315" s="1157"/>
      <c r="E315" s="126"/>
      <c r="F315" s="909">
        <f>13/61*100</f>
        <v>21.311475409836063</v>
      </c>
      <c r="G315" s="128"/>
      <c r="H315" s="128"/>
      <c r="I315" s="909">
        <f>13/60*100</f>
        <v>21.666666666666668</v>
      </c>
      <c r="J315" s="126"/>
      <c r="K315" s="110"/>
      <c r="L315" s="53"/>
    </row>
    <row r="316" spans="1:14" ht="16.5" thickBot="1" x14ac:dyDescent="0.3">
      <c r="A316" s="338" t="s">
        <v>248</v>
      </c>
      <c r="B316" s="822" t="s">
        <v>249</v>
      </c>
      <c r="C316" s="1422"/>
      <c r="D316" s="1422"/>
      <c r="E316" s="616">
        <v>2005</v>
      </c>
      <c r="F316" s="616">
        <v>2010</v>
      </c>
      <c r="G316" s="616">
        <v>2015</v>
      </c>
      <c r="H316" s="616">
        <v>2020</v>
      </c>
      <c r="I316" s="616">
        <v>2021</v>
      </c>
      <c r="J316" s="616">
        <v>2022</v>
      </c>
      <c r="K316" s="616">
        <v>2023</v>
      </c>
      <c r="L316" s="616">
        <v>2024</v>
      </c>
    </row>
    <row r="317" spans="1:14" ht="14.85" customHeight="1" x14ac:dyDescent="0.25">
      <c r="A317" s="1864" t="s">
        <v>422</v>
      </c>
      <c r="B317" s="1408" t="s">
        <v>164</v>
      </c>
      <c r="C317" s="1520" t="s">
        <v>424</v>
      </c>
      <c r="D317" s="1520"/>
      <c r="E317" s="36"/>
      <c r="F317" s="37">
        <v>883.37</v>
      </c>
      <c r="G317" s="37">
        <v>974.31</v>
      </c>
      <c r="H317" s="37">
        <v>1069</v>
      </c>
      <c r="I317" s="37">
        <v>1094</v>
      </c>
      <c r="J317" s="37">
        <v>1112</v>
      </c>
      <c r="K317" s="37">
        <v>1246</v>
      </c>
      <c r="L317" s="334">
        <v>1256</v>
      </c>
    </row>
    <row r="318" spans="1:14" x14ac:dyDescent="0.25">
      <c r="A318" s="1865"/>
      <c r="B318" s="1272"/>
      <c r="C318" s="1331" t="s">
        <v>425</v>
      </c>
      <c r="D318" s="1331"/>
      <c r="E318" s="28"/>
      <c r="F318" s="29">
        <v>1119.7</v>
      </c>
      <c r="G318" s="29">
        <v>1248.55</v>
      </c>
      <c r="H318" s="29">
        <v>1331</v>
      </c>
      <c r="I318" s="29">
        <v>1366</v>
      </c>
      <c r="J318" s="29">
        <v>1388</v>
      </c>
      <c r="K318" s="29">
        <v>1541</v>
      </c>
      <c r="L318" s="39">
        <v>1547</v>
      </c>
    </row>
    <row r="319" spans="1:14" x14ac:dyDescent="0.25">
      <c r="A319" s="1865"/>
      <c r="B319" s="1272"/>
      <c r="C319" s="1331" t="s">
        <v>426</v>
      </c>
      <c r="D319" s="1331"/>
      <c r="E319" s="28"/>
      <c r="F319" s="29">
        <v>631.96</v>
      </c>
      <c r="G319" s="29">
        <v>712.49</v>
      </c>
      <c r="H319" s="29">
        <v>827</v>
      </c>
      <c r="I319" s="29">
        <v>856</v>
      </c>
      <c r="J319" s="29">
        <v>876</v>
      </c>
      <c r="K319" s="29">
        <v>993</v>
      </c>
      <c r="L319" s="39">
        <v>1012</v>
      </c>
    </row>
    <row r="320" spans="1:14" x14ac:dyDescent="0.25">
      <c r="A320" s="1865"/>
      <c r="B320" s="1272"/>
      <c r="C320" s="1333" t="s">
        <v>427</v>
      </c>
      <c r="D320" s="1333"/>
      <c r="E320" s="28"/>
      <c r="F320" s="31">
        <f t="shared" ref="F320:L320" si="17">+F319-F318</f>
        <v>-487.74</v>
      </c>
      <c r="G320" s="31">
        <f t="shared" si="17"/>
        <v>-536.05999999999995</v>
      </c>
      <c r="H320" s="31">
        <f t="shared" si="17"/>
        <v>-504</v>
      </c>
      <c r="I320" s="31">
        <f t="shared" si="17"/>
        <v>-510</v>
      </c>
      <c r="J320" s="31">
        <f t="shared" si="17"/>
        <v>-512</v>
      </c>
      <c r="K320" s="31">
        <f t="shared" si="17"/>
        <v>-548</v>
      </c>
      <c r="L320" s="32">
        <f t="shared" si="17"/>
        <v>-535</v>
      </c>
      <c r="M320" s="905"/>
      <c r="N320" s="905"/>
    </row>
    <row r="321" spans="1:12" ht="16.5" thickBot="1" x14ac:dyDescent="0.3">
      <c r="A321" s="1865"/>
      <c r="B321" s="1409"/>
      <c r="C321" s="1335" t="s">
        <v>428</v>
      </c>
      <c r="D321" s="1335"/>
      <c r="E321" s="33"/>
      <c r="F321" s="34">
        <f t="shared" ref="F321:L321" si="18">(F319-F318)/F318*100</f>
        <v>-43.559882111279805</v>
      </c>
      <c r="G321" s="34">
        <f t="shared" si="18"/>
        <v>-42.93460414080333</v>
      </c>
      <c r="H321" s="34">
        <f t="shared" si="18"/>
        <v>-37.866265965439524</v>
      </c>
      <c r="I321" s="34">
        <f t="shared" si="18"/>
        <v>-37.335285505124446</v>
      </c>
      <c r="J321" s="34">
        <f t="shared" si="18"/>
        <v>-36.887608069164266</v>
      </c>
      <c r="K321" s="34">
        <f t="shared" si="18"/>
        <v>-35.561323815704085</v>
      </c>
      <c r="L321" s="35">
        <f t="shared" si="18"/>
        <v>-34.583063994828699</v>
      </c>
    </row>
    <row r="322" spans="1:12" x14ac:dyDescent="0.25">
      <c r="A322" s="1865"/>
      <c r="B322" s="1408" t="s">
        <v>429</v>
      </c>
      <c r="C322" s="1147" t="s">
        <v>430</v>
      </c>
      <c r="D322" s="1147"/>
      <c r="E322" s="36"/>
      <c r="F322" s="40"/>
      <c r="G322" s="37">
        <v>36.783248273791649</v>
      </c>
      <c r="H322" s="37">
        <v>33.055496188644298</v>
      </c>
      <c r="I322" s="37">
        <v>34.781091923949063</v>
      </c>
      <c r="J322" s="37">
        <v>40.036820446177174</v>
      </c>
      <c r="K322" s="37">
        <v>40.475678002582868</v>
      </c>
      <c r="L322" s="20">
        <v>41</v>
      </c>
    </row>
    <row r="323" spans="1:12" x14ac:dyDescent="0.25">
      <c r="A323" s="1865"/>
      <c r="B323" s="1272"/>
      <c r="C323" s="1124" t="s">
        <v>431</v>
      </c>
      <c r="D323" s="1124"/>
      <c r="E323" s="28"/>
      <c r="F323" s="28"/>
      <c r="G323" s="29">
        <v>41.333938294010892</v>
      </c>
      <c r="H323" s="29">
        <v>37.458691341705219</v>
      </c>
      <c r="I323" s="29">
        <v>40.349768225874421</v>
      </c>
      <c r="J323" s="29">
        <v>47.357619291944587</v>
      </c>
      <c r="K323" s="29">
        <v>47.942438778086341</v>
      </c>
      <c r="L323" s="21">
        <v>47.8</v>
      </c>
    </row>
    <row r="324" spans="1:12" x14ac:dyDescent="0.25">
      <c r="A324" s="1865"/>
      <c r="B324" s="1272"/>
      <c r="C324" s="1124" t="s">
        <v>432</v>
      </c>
      <c r="D324" s="1124"/>
      <c r="E324" s="28"/>
      <c r="F324" s="28"/>
      <c r="G324" s="29">
        <v>32.300357568533968</v>
      </c>
      <c r="H324" s="29">
        <v>29.718221665623044</v>
      </c>
      <c r="I324" s="29">
        <v>30.848214285714288</v>
      </c>
      <c r="J324" s="29">
        <v>34.688905547226383</v>
      </c>
      <c r="K324" s="29">
        <v>34.927780904145564</v>
      </c>
      <c r="L324" s="21">
        <v>36.1</v>
      </c>
    </row>
    <row r="325" spans="1:12" ht="16.5" thickBot="1" x14ac:dyDescent="0.3">
      <c r="A325" s="1865"/>
      <c r="B325" s="1409"/>
      <c r="C325" s="1225" t="s">
        <v>354</v>
      </c>
      <c r="D325" s="1225"/>
      <c r="E325" s="33"/>
      <c r="F325" s="33"/>
      <c r="G325" s="34">
        <f t="shared" ref="G325:L325" si="19">+G324-G323</f>
        <v>-9.0335807254769236</v>
      </c>
      <c r="H325" s="34">
        <f t="shared" si="19"/>
        <v>-7.7404696760821743</v>
      </c>
      <c r="I325" s="34">
        <f t="shared" si="19"/>
        <v>-9.5015539401601323</v>
      </c>
      <c r="J325" s="34">
        <f t="shared" si="19"/>
        <v>-12.668713744718204</v>
      </c>
      <c r="K325" s="34">
        <f t="shared" si="19"/>
        <v>-13.014657873940777</v>
      </c>
      <c r="L325" s="35">
        <f t="shared" si="19"/>
        <v>-11.699999999999996</v>
      </c>
    </row>
    <row r="326" spans="1:12" x14ac:dyDescent="0.25">
      <c r="A326" s="1865"/>
      <c r="B326" s="1408" t="s">
        <v>545</v>
      </c>
      <c r="C326" s="1317" t="s">
        <v>434</v>
      </c>
      <c r="D326" s="146" t="s">
        <v>435</v>
      </c>
      <c r="E326" s="36"/>
      <c r="F326" s="36"/>
      <c r="G326" s="36"/>
      <c r="H326" s="36"/>
      <c r="I326" s="40">
        <v>298</v>
      </c>
      <c r="J326" s="40">
        <v>130</v>
      </c>
      <c r="K326" s="40">
        <v>90</v>
      </c>
      <c r="L326" s="1061">
        <v>32</v>
      </c>
    </row>
    <row r="327" spans="1:12" x14ac:dyDescent="0.25">
      <c r="A327" s="1865"/>
      <c r="B327" s="1272"/>
      <c r="C327" s="1309"/>
      <c r="D327" s="147" t="s">
        <v>436</v>
      </c>
      <c r="E327" s="28"/>
      <c r="F327" s="28"/>
      <c r="G327" s="28"/>
      <c r="H327" s="28"/>
      <c r="I327" s="28">
        <v>84</v>
      </c>
      <c r="J327" s="28">
        <v>44</v>
      </c>
      <c r="K327" s="28">
        <v>38</v>
      </c>
      <c r="L327" s="1061">
        <v>7</v>
      </c>
    </row>
    <row r="328" spans="1:12" x14ac:dyDescent="0.25">
      <c r="A328" s="1865"/>
      <c r="B328" s="1272"/>
      <c r="C328" s="1309"/>
      <c r="D328" s="28" t="s">
        <v>437</v>
      </c>
      <c r="E328" s="28"/>
      <c r="F328" s="28"/>
      <c r="G328" s="28"/>
      <c r="H328" s="28"/>
      <c r="I328" s="28">
        <v>214</v>
      </c>
      <c r="J328" s="28">
        <v>86</v>
      </c>
      <c r="K328" s="28">
        <v>52</v>
      </c>
      <c r="L328" s="1061">
        <v>25</v>
      </c>
    </row>
    <row r="329" spans="1:12" x14ac:dyDescent="0.25">
      <c r="A329" s="1865"/>
      <c r="B329" s="1272"/>
      <c r="C329" s="1309"/>
      <c r="D329" s="148" t="s">
        <v>353</v>
      </c>
      <c r="E329" s="28"/>
      <c r="F329" s="28"/>
      <c r="G329" s="28"/>
      <c r="H329" s="28"/>
      <c r="I329" s="157">
        <f>I328-I327</f>
        <v>130</v>
      </c>
      <c r="J329" s="157">
        <f>J328-J327</f>
        <v>42</v>
      </c>
      <c r="K329" s="157">
        <f>K328-K327</f>
        <v>14</v>
      </c>
      <c r="L329" s="157">
        <f>L328-L327</f>
        <v>18</v>
      </c>
    </row>
    <row r="330" spans="1:12" x14ac:dyDescent="0.25">
      <c r="A330" s="1865"/>
      <c r="B330" s="1272"/>
      <c r="C330" s="1309"/>
      <c r="D330" s="148" t="s">
        <v>270</v>
      </c>
      <c r="E330" s="28"/>
      <c r="F330" s="28"/>
      <c r="G330" s="28"/>
      <c r="H330" s="28"/>
      <c r="I330" s="158">
        <f>I328/I326*100</f>
        <v>71.812080536912745</v>
      </c>
      <c r="J330" s="158">
        <f>J328/J326*100</f>
        <v>66.153846153846146</v>
      </c>
      <c r="K330" s="158">
        <f>K328/K326*100</f>
        <v>57.777777777777771</v>
      </c>
      <c r="L330" s="158">
        <f>L328/L326*100</f>
        <v>78.125</v>
      </c>
    </row>
    <row r="331" spans="1:12" x14ac:dyDescent="0.25">
      <c r="A331" s="1865"/>
      <c r="B331" s="1272"/>
      <c r="C331" s="1309" t="s">
        <v>438</v>
      </c>
      <c r="D331" s="149" t="s">
        <v>435</v>
      </c>
      <c r="E331" s="28"/>
      <c r="F331" s="28"/>
      <c r="G331" s="28"/>
      <c r="H331" s="28"/>
      <c r="I331" s="44">
        <v>725</v>
      </c>
      <c r="J331" s="44">
        <v>376</v>
      </c>
      <c r="K331" s="44">
        <v>157</v>
      </c>
      <c r="L331" s="1061">
        <v>225</v>
      </c>
    </row>
    <row r="332" spans="1:12" x14ac:dyDescent="0.25">
      <c r="A332" s="1865"/>
      <c r="B332" s="1272"/>
      <c r="C332" s="1309"/>
      <c r="D332" s="147" t="s">
        <v>436</v>
      </c>
      <c r="E332" s="28"/>
      <c r="F332" s="28"/>
      <c r="G332" s="28"/>
      <c r="H332" s="28"/>
      <c r="I332" s="28">
        <v>206</v>
      </c>
      <c r="J332" s="28">
        <v>112</v>
      </c>
      <c r="K332" s="28">
        <v>42</v>
      </c>
      <c r="L332" s="1061">
        <v>118</v>
      </c>
    </row>
    <row r="333" spans="1:12" x14ac:dyDescent="0.25">
      <c r="A333" s="1865"/>
      <c r="B333" s="1272"/>
      <c r="C333" s="1309"/>
      <c r="D333" s="28" t="s">
        <v>437</v>
      </c>
      <c r="E333" s="28"/>
      <c r="F333" s="28"/>
      <c r="G333" s="28"/>
      <c r="H333" s="28"/>
      <c r="I333" s="28">
        <v>519</v>
      </c>
      <c r="J333" s="28">
        <v>264</v>
      </c>
      <c r="K333" s="28">
        <v>115</v>
      </c>
      <c r="L333" s="1061">
        <v>107</v>
      </c>
    </row>
    <row r="334" spans="1:12" x14ac:dyDescent="0.25">
      <c r="A334" s="1865"/>
      <c r="B334" s="1272"/>
      <c r="C334" s="1309"/>
      <c r="D334" s="148" t="s">
        <v>353</v>
      </c>
      <c r="E334" s="28"/>
      <c r="F334" s="28"/>
      <c r="G334" s="28"/>
      <c r="H334" s="28"/>
      <c r="I334" s="157">
        <f>I333-I332</f>
        <v>313</v>
      </c>
      <c r="J334" s="157">
        <f>J333-J332</f>
        <v>152</v>
      </c>
      <c r="K334" s="157">
        <f>K333-K332</f>
        <v>73</v>
      </c>
      <c r="L334" s="157">
        <f>L333-L332</f>
        <v>-11</v>
      </c>
    </row>
    <row r="335" spans="1:12" ht="16.5" thickBot="1" x14ac:dyDescent="0.3">
      <c r="A335" s="1865"/>
      <c r="B335" s="1273"/>
      <c r="C335" s="1310"/>
      <c r="D335" s="150" t="s">
        <v>270</v>
      </c>
      <c r="E335" s="110"/>
      <c r="F335" s="110"/>
      <c r="G335" s="110"/>
      <c r="H335" s="110"/>
      <c r="I335" s="165">
        <f>I333/I331*100</f>
        <v>71.58620689655173</v>
      </c>
      <c r="J335" s="165">
        <f>J333/J331*100</f>
        <v>70.212765957446805</v>
      </c>
      <c r="K335" s="165">
        <f>K333/K331*100</f>
        <v>73.248407643312092</v>
      </c>
      <c r="L335" s="165">
        <f>L333/L331*100</f>
        <v>47.555555555555557</v>
      </c>
    </row>
    <row r="336" spans="1:12" ht="15" customHeight="1" x14ac:dyDescent="0.25">
      <c r="A336" s="1865"/>
      <c r="B336" s="1408" t="s">
        <v>180</v>
      </c>
      <c r="C336" s="1147" t="s">
        <v>435</v>
      </c>
      <c r="D336" s="1147"/>
      <c r="E336" s="36"/>
      <c r="F336" s="36"/>
      <c r="G336" s="36"/>
      <c r="H336" s="195">
        <v>37314</v>
      </c>
      <c r="I336" s="195">
        <v>33321</v>
      </c>
      <c r="J336" s="195">
        <v>34177</v>
      </c>
      <c r="K336" s="195">
        <v>35749</v>
      </c>
      <c r="L336" s="20"/>
    </row>
    <row r="337" spans="1:14" x14ac:dyDescent="0.25">
      <c r="A337" s="1865"/>
      <c r="B337" s="1272"/>
      <c r="C337" s="1124" t="s">
        <v>436</v>
      </c>
      <c r="D337" s="1124"/>
      <c r="E337" s="28"/>
      <c r="F337" s="28"/>
      <c r="G337" s="28"/>
      <c r="H337" s="96">
        <v>15738</v>
      </c>
      <c r="I337" s="96">
        <v>13896</v>
      </c>
      <c r="J337" s="96">
        <v>14193</v>
      </c>
      <c r="K337" s="96">
        <v>14857</v>
      </c>
      <c r="L337" s="21"/>
    </row>
    <row r="338" spans="1:14" x14ac:dyDescent="0.25">
      <c r="A338" s="1865"/>
      <c r="B338" s="1272"/>
      <c r="C338" s="1124" t="s">
        <v>437</v>
      </c>
      <c r="D338" s="1124"/>
      <c r="E338" s="28"/>
      <c r="F338" s="28"/>
      <c r="G338" s="28"/>
      <c r="H338" s="96">
        <v>21576</v>
      </c>
      <c r="I338" s="96">
        <v>19425</v>
      </c>
      <c r="J338" s="96">
        <v>19984</v>
      </c>
      <c r="K338" s="96">
        <v>20892</v>
      </c>
      <c r="L338" s="21"/>
    </row>
    <row r="339" spans="1:14" x14ac:dyDescent="0.25">
      <c r="A339" s="1865"/>
      <c r="B339" s="1272"/>
      <c r="C339" s="1112" t="s">
        <v>353</v>
      </c>
      <c r="D339" s="1112"/>
      <c r="E339" s="28"/>
      <c r="F339" s="28"/>
      <c r="G339" s="28"/>
      <c r="H339" s="157">
        <f>H338-H337</f>
        <v>5838</v>
      </c>
      <c r="I339" s="157">
        <f>I338-I337</f>
        <v>5529</v>
      </c>
      <c r="J339" s="157">
        <f>J338-J337</f>
        <v>5791</v>
      </c>
      <c r="K339" s="157">
        <f>K338-K337</f>
        <v>6035</v>
      </c>
      <c r="L339" s="21"/>
    </row>
    <row r="340" spans="1:14" x14ac:dyDescent="0.25">
      <c r="A340" s="1866"/>
      <c r="B340" s="1273"/>
      <c r="C340" s="1178" t="s">
        <v>270</v>
      </c>
      <c r="D340" s="1178"/>
      <c r="E340" s="110"/>
      <c r="F340" s="110"/>
      <c r="G340" s="110"/>
      <c r="H340" s="165">
        <f>H338/H336*100</f>
        <v>57.822801093423379</v>
      </c>
      <c r="I340" s="165">
        <f>I338/I336*100</f>
        <v>58.2965697308004</v>
      </c>
      <c r="J340" s="165">
        <f>J338/J336*100</f>
        <v>58.4720718611932</v>
      </c>
      <c r="K340" s="165">
        <f>K338/K336*100</f>
        <v>58.440795546728573</v>
      </c>
      <c r="L340" s="53"/>
    </row>
    <row r="341" spans="1:14" ht="16.5" thickBot="1" x14ac:dyDescent="0.3">
      <c r="A341" s="338" t="s">
        <v>248</v>
      </c>
      <c r="B341" s="463" t="s">
        <v>249</v>
      </c>
      <c r="C341" s="1422"/>
      <c r="D341" s="1422"/>
      <c r="E341" s="616">
        <v>2005</v>
      </c>
      <c r="F341" s="616">
        <v>2010</v>
      </c>
      <c r="G341" s="616">
        <v>2015</v>
      </c>
      <c r="H341" s="616">
        <v>2020</v>
      </c>
      <c r="I341" s="616">
        <v>2021</v>
      </c>
      <c r="J341" s="616">
        <v>2022</v>
      </c>
      <c r="K341" s="616">
        <v>2023</v>
      </c>
      <c r="L341" s="616">
        <v>2024</v>
      </c>
    </row>
    <row r="342" spans="1:14" x14ac:dyDescent="0.25">
      <c r="A342" s="1868" t="s">
        <v>439</v>
      </c>
      <c r="B342" s="1612" t="s">
        <v>440</v>
      </c>
      <c r="C342" s="1250" t="s">
        <v>251</v>
      </c>
      <c r="D342" s="1250"/>
      <c r="E342" s="107">
        <v>81.400000000000006</v>
      </c>
      <c r="F342" s="910">
        <v>83.3</v>
      </c>
      <c r="G342" s="910">
        <v>83</v>
      </c>
      <c r="H342" s="910">
        <v>81.8</v>
      </c>
      <c r="I342" s="910">
        <v>84.1</v>
      </c>
      <c r="J342" s="911">
        <v>85.157211701638033</v>
      </c>
      <c r="K342" s="40">
        <v>85.9</v>
      </c>
      <c r="L342" s="108"/>
      <c r="M342" s="326"/>
      <c r="N342" s="326"/>
    </row>
    <row r="343" spans="1:14" x14ac:dyDescent="0.25">
      <c r="A343" s="1822"/>
      <c r="B343" s="1613"/>
      <c r="C343" s="1236" t="s">
        <v>257</v>
      </c>
      <c r="D343" s="1236"/>
      <c r="E343" s="57">
        <v>77.900000000000006</v>
      </c>
      <c r="F343" s="58">
        <v>80.099999999999994</v>
      </c>
      <c r="G343" s="58">
        <v>79.900000000000006</v>
      </c>
      <c r="H343" s="58">
        <v>78.7</v>
      </c>
      <c r="I343" s="58">
        <v>80.599999999999994</v>
      </c>
      <c r="J343" s="59">
        <v>82.222808912281792</v>
      </c>
      <c r="K343" s="28">
        <v>82.8</v>
      </c>
      <c r="L343" s="21"/>
    </row>
    <row r="344" spans="1:14" x14ac:dyDescent="0.25">
      <c r="A344" s="1822"/>
      <c r="B344" s="1613"/>
      <c r="C344" s="1236" t="s">
        <v>263</v>
      </c>
      <c r="D344" s="1236"/>
      <c r="E344" s="57">
        <v>84.8</v>
      </c>
      <c r="F344" s="58">
        <v>86.2</v>
      </c>
      <c r="G344" s="58">
        <v>85.8</v>
      </c>
      <c r="H344" s="58">
        <v>84.6</v>
      </c>
      <c r="I344" s="58">
        <v>87.4</v>
      </c>
      <c r="J344" s="59">
        <v>87.749232452551254</v>
      </c>
      <c r="K344" s="28">
        <v>88.6</v>
      </c>
      <c r="L344" s="21"/>
    </row>
    <row r="345" spans="1:14" ht="16.5" thickBot="1" x14ac:dyDescent="0.3">
      <c r="A345" s="1822"/>
      <c r="B345" s="1614"/>
      <c r="C345" s="1243" t="s">
        <v>441</v>
      </c>
      <c r="D345" s="1243"/>
      <c r="E345" s="339">
        <f t="shared" ref="E345:K345" si="20">+E344-E343</f>
        <v>6.8999999999999915</v>
      </c>
      <c r="F345" s="339">
        <f t="shared" si="20"/>
        <v>6.1000000000000085</v>
      </c>
      <c r="G345" s="339">
        <f t="shared" si="20"/>
        <v>5.8999999999999915</v>
      </c>
      <c r="H345" s="339">
        <f t="shared" si="20"/>
        <v>5.8999999999999915</v>
      </c>
      <c r="I345" s="339">
        <f t="shared" si="20"/>
        <v>6.8000000000000114</v>
      </c>
      <c r="J345" s="426">
        <f t="shared" si="20"/>
        <v>5.5264235402694624</v>
      </c>
      <c r="K345" s="426">
        <f t="shared" si="20"/>
        <v>5.7999999999999972</v>
      </c>
      <c r="L345" s="22"/>
    </row>
    <row r="346" spans="1:14" x14ac:dyDescent="0.25">
      <c r="A346" s="1822"/>
      <c r="B346" s="1612" t="s">
        <v>192</v>
      </c>
      <c r="C346" s="1250" t="s">
        <v>251</v>
      </c>
      <c r="D346" s="1250"/>
      <c r="E346" s="107"/>
      <c r="F346" s="341"/>
      <c r="G346" s="224">
        <v>8584</v>
      </c>
      <c r="H346" s="224">
        <v>11342</v>
      </c>
      <c r="I346" s="224">
        <v>11539</v>
      </c>
      <c r="J346" s="195">
        <v>12112</v>
      </c>
      <c r="K346" s="195">
        <v>8653</v>
      </c>
      <c r="L346" s="20"/>
    </row>
    <row r="347" spans="1:14" x14ac:dyDescent="0.25">
      <c r="A347" s="1822"/>
      <c r="B347" s="1613"/>
      <c r="C347" s="1236" t="s">
        <v>257</v>
      </c>
      <c r="D347" s="1236"/>
      <c r="E347" s="57"/>
      <c r="F347" s="218"/>
      <c r="G347" s="219">
        <v>4360</v>
      </c>
      <c r="H347" s="219">
        <v>5733</v>
      </c>
      <c r="I347" s="219">
        <v>5811</v>
      </c>
      <c r="J347" s="96">
        <v>6055</v>
      </c>
      <c r="K347" s="96">
        <v>4290</v>
      </c>
      <c r="L347" s="21"/>
    </row>
    <row r="348" spans="1:14" x14ac:dyDescent="0.25">
      <c r="A348" s="1822"/>
      <c r="B348" s="1613"/>
      <c r="C348" s="1236" t="s">
        <v>263</v>
      </c>
      <c r="D348" s="1236"/>
      <c r="E348" s="57"/>
      <c r="F348" s="218"/>
      <c r="G348" s="219">
        <v>4224</v>
      </c>
      <c r="H348" s="219">
        <v>5609</v>
      </c>
      <c r="I348" s="219">
        <v>5728</v>
      </c>
      <c r="J348" s="96">
        <v>6057</v>
      </c>
      <c r="K348" s="96">
        <v>4363</v>
      </c>
      <c r="L348" s="21"/>
    </row>
    <row r="349" spans="1:14" ht="16.5" thickBot="1" x14ac:dyDescent="0.3">
      <c r="A349" s="1869"/>
      <c r="B349" s="1614"/>
      <c r="C349" s="1225" t="s">
        <v>270</v>
      </c>
      <c r="D349" s="1225"/>
      <c r="E349" s="912"/>
      <c r="F349" s="912"/>
      <c r="G349" s="366">
        <f>G348/G346*100</f>
        <v>49.207828518173343</v>
      </c>
      <c r="H349" s="366">
        <f>H348/H346*100</f>
        <v>49.453359195909016</v>
      </c>
      <c r="I349" s="366">
        <f>I348/I346*100</f>
        <v>49.64035011699454</v>
      </c>
      <c r="J349" s="366">
        <f>J348/J346*100</f>
        <v>50.008256274768826</v>
      </c>
      <c r="K349" s="366">
        <f>K348/K346*100</f>
        <v>50.421819022304405</v>
      </c>
      <c r="L349" s="22"/>
    </row>
    <row r="350" spans="1:14" ht="16.5" thickBot="1" x14ac:dyDescent="0.3">
      <c r="A350" s="338" t="s">
        <v>248</v>
      </c>
      <c r="B350" s="822" t="s">
        <v>249</v>
      </c>
      <c r="C350" s="1675"/>
      <c r="D350" s="1675"/>
      <c r="E350" s="112"/>
      <c r="F350" s="112" t="s">
        <v>443</v>
      </c>
      <c r="G350" s="112" t="s">
        <v>444</v>
      </c>
      <c r="H350" s="112" t="s">
        <v>445</v>
      </c>
      <c r="I350" s="112" t="s">
        <v>446</v>
      </c>
      <c r="J350" s="112" t="s">
        <v>447</v>
      </c>
      <c r="K350" s="112" t="s">
        <v>448</v>
      </c>
      <c r="L350" s="112" t="s">
        <v>449</v>
      </c>
    </row>
    <row r="351" spans="1:14" ht="15" customHeight="1" x14ac:dyDescent="0.25">
      <c r="A351" s="1801" t="s">
        <v>450</v>
      </c>
      <c r="B351" s="1900" t="s">
        <v>199</v>
      </c>
      <c r="C351" s="1347" t="s">
        <v>451</v>
      </c>
      <c r="D351" s="430" t="s">
        <v>435</v>
      </c>
      <c r="E351" s="195"/>
      <c r="F351" s="195">
        <v>12510</v>
      </c>
      <c r="G351" s="195">
        <v>10434</v>
      </c>
      <c r="H351" s="195">
        <v>9915</v>
      </c>
      <c r="I351" s="195">
        <v>9627</v>
      </c>
      <c r="J351" s="195">
        <v>9725</v>
      </c>
      <c r="K351" s="195">
        <v>9869</v>
      </c>
      <c r="L351" s="20"/>
    </row>
    <row r="352" spans="1:14" x14ac:dyDescent="0.25">
      <c r="A352" s="1802"/>
      <c r="B352" s="1569"/>
      <c r="C352" s="1348"/>
      <c r="D352" s="428" t="s">
        <v>436</v>
      </c>
      <c r="E352" s="96"/>
      <c r="F352" s="96">
        <v>6505</v>
      </c>
      <c r="G352" s="96">
        <v>5398</v>
      </c>
      <c r="H352" s="96">
        <v>5049</v>
      </c>
      <c r="I352" s="96">
        <v>4923</v>
      </c>
      <c r="J352" s="96">
        <v>4957</v>
      </c>
      <c r="K352" s="96">
        <v>5047</v>
      </c>
      <c r="L352" s="21"/>
    </row>
    <row r="353" spans="1:12" x14ac:dyDescent="0.25">
      <c r="A353" s="1802"/>
      <c r="B353" s="1569"/>
      <c r="C353" s="1348"/>
      <c r="D353" s="428" t="s">
        <v>437</v>
      </c>
      <c r="E353" s="96"/>
      <c r="F353" s="96">
        <v>6005</v>
      </c>
      <c r="G353" s="96">
        <v>5036</v>
      </c>
      <c r="H353" s="96">
        <v>4866</v>
      </c>
      <c r="I353" s="96">
        <v>4704</v>
      </c>
      <c r="J353" s="96">
        <v>4768</v>
      </c>
      <c r="K353" s="96">
        <v>4822</v>
      </c>
      <c r="L353" s="21"/>
    </row>
    <row r="354" spans="1:12" ht="15" customHeight="1" x14ac:dyDescent="0.25">
      <c r="A354" s="1802"/>
      <c r="B354" s="1569"/>
      <c r="C354" s="1348" t="s">
        <v>452</v>
      </c>
      <c r="D354" s="427" t="s">
        <v>435</v>
      </c>
      <c r="E354" s="157"/>
      <c r="F354" s="157">
        <f>F355+F356</f>
        <v>6536</v>
      </c>
      <c r="G354" s="157">
        <f t="shared" ref="G354:J354" si="21">G355+G356</f>
        <v>5888</v>
      </c>
      <c r="H354" s="157">
        <f t="shared" si="21"/>
        <v>5464</v>
      </c>
      <c r="I354" s="157">
        <f t="shared" si="21"/>
        <v>5509</v>
      </c>
      <c r="J354" s="157">
        <f t="shared" si="21"/>
        <v>5476</v>
      </c>
      <c r="K354" s="157">
        <f>SUM(K355:K356)</f>
        <v>5520</v>
      </c>
      <c r="L354" s="21"/>
    </row>
    <row r="355" spans="1:12" x14ac:dyDescent="0.25">
      <c r="A355" s="1802"/>
      <c r="B355" s="1569"/>
      <c r="C355" s="1348"/>
      <c r="D355" s="428" t="s">
        <v>436</v>
      </c>
      <c r="E355" s="96"/>
      <c r="F355" s="96">
        <v>3346</v>
      </c>
      <c r="G355" s="96">
        <v>3066</v>
      </c>
      <c r="H355" s="96">
        <v>2781</v>
      </c>
      <c r="I355" s="96">
        <v>2773</v>
      </c>
      <c r="J355" s="96">
        <v>2784</v>
      </c>
      <c r="K355" s="157">
        <v>2752</v>
      </c>
      <c r="L355" s="21"/>
    </row>
    <row r="356" spans="1:12" ht="16.5" thickBot="1" x14ac:dyDescent="0.3">
      <c r="A356" s="1802"/>
      <c r="B356" s="1569"/>
      <c r="C356" s="1506"/>
      <c r="D356" s="434" t="s">
        <v>437</v>
      </c>
      <c r="E356" s="360"/>
      <c r="F356" s="360">
        <v>3190</v>
      </c>
      <c r="G356" s="360">
        <v>2822</v>
      </c>
      <c r="H356" s="360">
        <v>2683</v>
      </c>
      <c r="I356" s="360">
        <v>2736</v>
      </c>
      <c r="J356" s="360">
        <v>2692</v>
      </c>
      <c r="K356" s="441">
        <v>2768</v>
      </c>
      <c r="L356" s="53"/>
    </row>
    <row r="357" spans="1:12" x14ac:dyDescent="0.25">
      <c r="A357" s="1802"/>
      <c r="B357" s="1569"/>
      <c r="C357" s="1352" t="s">
        <v>453</v>
      </c>
      <c r="D357" s="1250"/>
      <c r="E357" s="195"/>
      <c r="F357" s="37">
        <f>+(F354/F351)*100</f>
        <v>52.246203037569948</v>
      </c>
      <c r="G357" s="37">
        <f t="shared" ref="G357:K357" si="22">+(G354/G351)*100</f>
        <v>56.430898984090469</v>
      </c>
      <c r="H357" s="37">
        <f t="shared" si="22"/>
        <v>55.10842158345941</v>
      </c>
      <c r="I357" s="37">
        <f t="shared" si="22"/>
        <v>57.224472836813135</v>
      </c>
      <c r="J357" s="37">
        <f t="shared" si="22"/>
        <v>56.308483290488432</v>
      </c>
      <c r="K357" s="37">
        <f t="shared" si="22"/>
        <v>55.932718613841324</v>
      </c>
      <c r="L357" s="20"/>
    </row>
    <row r="358" spans="1:12" ht="15" customHeight="1" x14ac:dyDescent="0.25">
      <c r="A358" s="1802"/>
      <c r="B358" s="1569"/>
      <c r="C358" s="1363" t="s">
        <v>454</v>
      </c>
      <c r="D358" s="1236"/>
      <c r="E358" s="28"/>
      <c r="F358" s="187">
        <f>F355/F352*100</f>
        <v>51.437355880092241</v>
      </c>
      <c r="G358" s="187">
        <f>G355/G352*100</f>
        <v>56.798814375694704</v>
      </c>
      <c r="H358" s="187">
        <f t="shared" ref="H358:I358" si="23">H355/H352*100</f>
        <v>55.080213903743314</v>
      </c>
      <c r="I358" s="187">
        <f t="shared" si="23"/>
        <v>56.327442616290881</v>
      </c>
      <c r="J358" s="187">
        <f>J355/J352*100</f>
        <v>56.16300181561428</v>
      </c>
      <c r="K358" s="187">
        <f>K355/K352*100</f>
        <v>54.527442044779072</v>
      </c>
      <c r="L358" s="21"/>
    </row>
    <row r="359" spans="1:12" ht="15" customHeight="1" x14ac:dyDescent="0.25">
      <c r="A359" s="1802"/>
      <c r="B359" s="1569"/>
      <c r="C359" s="1363" t="s">
        <v>455</v>
      </c>
      <c r="D359" s="1236"/>
      <c r="E359" s="28"/>
      <c r="F359" s="187">
        <f>F356/F353*100</f>
        <v>53.122398001665282</v>
      </c>
      <c r="G359" s="187">
        <f>G356/G353*100</f>
        <v>56.036536934074668</v>
      </c>
      <c r="H359" s="187">
        <f t="shared" ref="H359:I359" si="24">H356/H353*100</f>
        <v>55.137690094533497</v>
      </c>
      <c r="I359" s="187">
        <f t="shared" si="24"/>
        <v>58.163265306122447</v>
      </c>
      <c r="J359" s="187">
        <f>J356/J353*100</f>
        <v>56.459731543624159</v>
      </c>
      <c r="K359" s="187">
        <f>K356/K353*100</f>
        <v>57.403566984653679</v>
      </c>
      <c r="L359" s="21"/>
    </row>
    <row r="360" spans="1:12" x14ac:dyDescent="0.25">
      <c r="A360" s="1871"/>
      <c r="B360" s="1570"/>
      <c r="C360" s="1383" t="s">
        <v>354</v>
      </c>
      <c r="D360" s="1384"/>
      <c r="E360" s="336"/>
      <c r="F360" s="454">
        <f>+F359-F358</f>
        <v>1.6850421215730407</v>
      </c>
      <c r="G360" s="349">
        <f t="shared" ref="G360:I360" si="25">+G359-G358</f>
        <v>-0.76227744162003575</v>
      </c>
      <c r="H360" s="593">
        <f t="shared" si="25"/>
        <v>5.7476190790183068E-2</v>
      </c>
      <c r="I360" s="593">
        <f t="shared" si="25"/>
        <v>1.8358226898315664</v>
      </c>
      <c r="J360" s="593">
        <f>+J359-J358</f>
        <v>0.29672972800987907</v>
      </c>
      <c r="K360" s="593">
        <f>+K359-K358</f>
        <v>2.8761249398746074</v>
      </c>
      <c r="L360" s="53"/>
    </row>
    <row r="361" spans="1:12" ht="16.5" thickBot="1" x14ac:dyDescent="0.3">
      <c r="A361" s="338" t="s">
        <v>248</v>
      </c>
      <c r="B361" s="463" t="s">
        <v>249</v>
      </c>
      <c r="C361" s="1422"/>
      <c r="D361" s="1422"/>
      <c r="E361" s="616" t="s">
        <v>442</v>
      </c>
      <c r="F361" s="616" t="s">
        <v>443</v>
      </c>
      <c r="G361" s="616" t="s">
        <v>444</v>
      </c>
      <c r="H361" s="616" t="s">
        <v>445</v>
      </c>
      <c r="I361" s="616" t="s">
        <v>446</v>
      </c>
      <c r="J361" s="616" t="s">
        <v>447</v>
      </c>
      <c r="K361" s="616" t="s">
        <v>448</v>
      </c>
      <c r="L361" s="616" t="s">
        <v>449</v>
      </c>
    </row>
    <row r="362" spans="1:12" x14ac:dyDescent="0.25">
      <c r="A362" s="1892" t="s">
        <v>456</v>
      </c>
      <c r="B362" s="1150" t="s">
        <v>457</v>
      </c>
      <c r="C362" s="1187" t="s">
        <v>458</v>
      </c>
      <c r="D362" s="229" t="s">
        <v>459</v>
      </c>
      <c r="E362" s="225" t="s">
        <v>460</v>
      </c>
      <c r="F362" s="195">
        <v>979</v>
      </c>
      <c r="G362" s="195">
        <v>1153</v>
      </c>
      <c r="H362" s="195">
        <v>1290</v>
      </c>
      <c r="I362" s="195">
        <v>1287</v>
      </c>
      <c r="J362" s="195">
        <v>1336</v>
      </c>
      <c r="K362" s="793">
        <v>1353</v>
      </c>
      <c r="L362" s="20"/>
    </row>
    <row r="363" spans="1:12" ht="14.1" customHeight="1" x14ac:dyDescent="0.25">
      <c r="A363" s="1776"/>
      <c r="B363" s="1151"/>
      <c r="C363" s="1173"/>
      <c r="D363" s="227" t="s">
        <v>436</v>
      </c>
      <c r="E363" s="96"/>
      <c r="F363" s="96">
        <v>481</v>
      </c>
      <c r="G363" s="96">
        <v>563</v>
      </c>
      <c r="H363" s="96">
        <v>645</v>
      </c>
      <c r="I363" s="96">
        <v>626</v>
      </c>
      <c r="J363" s="96">
        <v>625</v>
      </c>
      <c r="K363" s="433">
        <v>640</v>
      </c>
      <c r="L363" s="21"/>
    </row>
    <row r="364" spans="1:12" x14ac:dyDescent="0.25">
      <c r="A364" s="1776"/>
      <c r="B364" s="1151"/>
      <c r="C364" s="1173"/>
      <c r="D364" s="227" t="s">
        <v>437</v>
      </c>
      <c r="E364" s="96"/>
      <c r="F364" s="96">
        <v>498</v>
      </c>
      <c r="G364" s="96">
        <v>590</v>
      </c>
      <c r="H364" s="96">
        <v>645</v>
      </c>
      <c r="I364" s="96">
        <v>661</v>
      </c>
      <c r="J364" s="96">
        <v>711</v>
      </c>
      <c r="K364" s="433">
        <v>713</v>
      </c>
      <c r="L364" s="21"/>
    </row>
    <row r="365" spans="1:12" x14ac:dyDescent="0.25">
      <c r="A365" s="1776"/>
      <c r="B365" s="1151"/>
      <c r="C365" s="1173" t="s">
        <v>461</v>
      </c>
      <c r="D365" s="226" t="s">
        <v>459</v>
      </c>
      <c r="E365" s="96"/>
      <c r="F365" s="157">
        <v>455</v>
      </c>
      <c r="G365" s="157">
        <f>271+271</f>
        <v>542</v>
      </c>
      <c r="H365" s="44">
        <v>620</v>
      </c>
      <c r="I365" s="157">
        <v>631</v>
      </c>
      <c r="J365" s="157">
        <f>325+338</f>
        <v>663</v>
      </c>
      <c r="K365" s="433">
        <v>662</v>
      </c>
      <c r="L365" s="21"/>
    </row>
    <row r="366" spans="1:12" x14ac:dyDescent="0.25">
      <c r="A366" s="1776"/>
      <c r="B366" s="1151"/>
      <c r="C366" s="1173"/>
      <c r="D366" s="227" t="s">
        <v>436</v>
      </c>
      <c r="E366" s="96"/>
      <c r="F366" s="96">
        <v>255</v>
      </c>
      <c r="G366" s="96">
        <f>139+147</f>
        <v>286</v>
      </c>
      <c r="H366" s="96">
        <v>362</v>
      </c>
      <c r="I366" s="96">
        <v>332</v>
      </c>
      <c r="J366" s="96">
        <f>170+164</f>
        <v>334</v>
      </c>
      <c r="K366" s="433">
        <v>347</v>
      </c>
      <c r="L366" s="21"/>
    </row>
    <row r="367" spans="1:12" ht="16.5" thickBot="1" x14ac:dyDescent="0.3">
      <c r="A367" s="1776"/>
      <c r="B367" s="1151"/>
      <c r="C367" s="1797"/>
      <c r="D367" s="511" t="s">
        <v>437</v>
      </c>
      <c r="E367" s="360"/>
      <c r="F367" s="360">
        <v>200</v>
      </c>
      <c r="G367" s="360">
        <f>132+124</f>
        <v>256</v>
      </c>
      <c r="H367" s="360">
        <v>258</v>
      </c>
      <c r="I367" s="360">
        <v>299</v>
      </c>
      <c r="J367" s="360">
        <f>155+174</f>
        <v>329</v>
      </c>
      <c r="K367" s="1054">
        <v>315</v>
      </c>
      <c r="L367" s="53"/>
    </row>
    <row r="368" spans="1:12" x14ac:dyDescent="0.25">
      <c r="A368" s="1776"/>
      <c r="B368" s="1151"/>
      <c r="C368" s="1389" t="s">
        <v>462</v>
      </c>
      <c r="D368" s="1390"/>
      <c r="E368" s="225"/>
      <c r="F368" s="283">
        <f>F366/F363*100</f>
        <v>53.014553014553009</v>
      </c>
      <c r="G368" s="283">
        <f>G366/G363*100</f>
        <v>50.799289520426285</v>
      </c>
      <c r="H368" s="283">
        <f t="shared" ref="H368:I369" si="26">H366/H363*100</f>
        <v>56.124031007751938</v>
      </c>
      <c r="I368" s="283">
        <f t="shared" si="26"/>
        <v>53.035143769968052</v>
      </c>
      <c r="J368" s="283">
        <f>J366/J363*100</f>
        <v>53.44</v>
      </c>
      <c r="K368" s="283">
        <f>K366/K363*100</f>
        <v>54.218750000000007</v>
      </c>
      <c r="L368" s="20"/>
    </row>
    <row r="369" spans="1:12" x14ac:dyDescent="0.25">
      <c r="A369" s="1776"/>
      <c r="B369" s="1151"/>
      <c r="C369" s="1123" t="s">
        <v>463</v>
      </c>
      <c r="D369" s="1124"/>
      <c r="E369" s="96"/>
      <c r="F369" s="29">
        <f>F367/F364*100</f>
        <v>40.160642570281126</v>
      </c>
      <c r="G369" s="29">
        <f>G367/G364*100</f>
        <v>43.389830508474574</v>
      </c>
      <c r="H369" s="29">
        <f t="shared" si="26"/>
        <v>40</v>
      </c>
      <c r="I369" s="29">
        <f t="shared" si="26"/>
        <v>45.234493192133129</v>
      </c>
      <c r="J369" s="29">
        <f>J367/J364*100</f>
        <v>46.272855133614627</v>
      </c>
      <c r="K369" s="29">
        <f>K367/K364*100</f>
        <v>44.179523141654983</v>
      </c>
      <c r="L369" s="21"/>
    </row>
    <row r="370" spans="1:12" ht="16.5" thickBot="1" x14ac:dyDescent="0.3">
      <c r="A370" s="1776"/>
      <c r="B370" s="1152"/>
      <c r="C370" s="1359" t="s">
        <v>354</v>
      </c>
      <c r="D370" s="1225"/>
      <c r="E370" s="33"/>
      <c r="F370" s="161">
        <f>+F369-F368</f>
        <v>-12.853910444271882</v>
      </c>
      <c r="G370" s="161">
        <f t="shared" ref="G370:I370" si="27">+G369-G368</f>
        <v>-7.4094590119517107</v>
      </c>
      <c r="H370" s="161">
        <f t="shared" si="27"/>
        <v>-16.124031007751938</v>
      </c>
      <c r="I370" s="161">
        <f t="shared" si="27"/>
        <v>-7.8006505778349222</v>
      </c>
      <c r="J370" s="161">
        <f>+J369-J368</f>
        <v>-7.167144866385371</v>
      </c>
      <c r="K370" s="161">
        <f>+K369-K368</f>
        <v>-10.039226858345025</v>
      </c>
      <c r="L370" s="22"/>
    </row>
    <row r="371" spans="1:12" ht="16.5" thickBot="1" x14ac:dyDescent="0.3">
      <c r="A371" s="1776"/>
      <c r="B371" s="463" t="s">
        <v>249</v>
      </c>
      <c r="C371" s="1422"/>
      <c r="D371" s="1422"/>
      <c r="E371" s="616" t="s">
        <v>442</v>
      </c>
      <c r="F371" s="616" t="s">
        <v>443</v>
      </c>
      <c r="G371" s="616" t="s">
        <v>444</v>
      </c>
      <c r="H371" s="616" t="s">
        <v>445</v>
      </c>
      <c r="I371" s="616" t="s">
        <v>446</v>
      </c>
      <c r="J371" s="616" t="s">
        <v>447</v>
      </c>
      <c r="K371" s="616" t="s">
        <v>448</v>
      </c>
      <c r="L371" s="616" t="s">
        <v>449</v>
      </c>
    </row>
    <row r="372" spans="1:12" ht="15" customHeight="1" x14ac:dyDescent="0.25">
      <c r="A372" s="1776"/>
      <c r="B372" s="1744" t="s">
        <v>464</v>
      </c>
      <c r="C372" s="1251" t="s">
        <v>459</v>
      </c>
      <c r="D372" s="1390"/>
      <c r="E372" s="36"/>
      <c r="F372" s="195">
        <v>570</v>
      </c>
      <c r="G372" s="195">
        <v>557</v>
      </c>
      <c r="H372" s="195">
        <v>954</v>
      </c>
      <c r="I372" s="195">
        <v>879</v>
      </c>
      <c r="J372" s="195">
        <v>813</v>
      </c>
      <c r="K372" s="40">
        <v>806</v>
      </c>
      <c r="L372" s="20"/>
    </row>
    <row r="373" spans="1:12" x14ac:dyDescent="0.25">
      <c r="A373" s="1776"/>
      <c r="B373" s="1678"/>
      <c r="C373" s="1123" t="s">
        <v>436</v>
      </c>
      <c r="D373" s="1124"/>
      <c r="E373" s="96"/>
      <c r="F373" s="96">
        <v>188</v>
      </c>
      <c r="G373" s="96">
        <v>210</v>
      </c>
      <c r="H373" s="96">
        <v>315</v>
      </c>
      <c r="I373" s="96">
        <v>302</v>
      </c>
      <c r="J373" s="96">
        <v>275</v>
      </c>
      <c r="K373" s="157">
        <v>265</v>
      </c>
      <c r="L373" s="21"/>
    </row>
    <row r="374" spans="1:12" x14ac:dyDescent="0.25">
      <c r="A374" s="1776"/>
      <c r="B374" s="1678"/>
      <c r="C374" s="1123" t="s">
        <v>437</v>
      </c>
      <c r="D374" s="1124"/>
      <c r="E374" s="96"/>
      <c r="F374" s="96">
        <v>382</v>
      </c>
      <c r="G374" s="96">
        <v>347</v>
      </c>
      <c r="H374" s="96">
        <v>639</v>
      </c>
      <c r="I374" s="96">
        <v>577</v>
      </c>
      <c r="J374" s="96">
        <v>538</v>
      </c>
      <c r="K374" s="157">
        <v>541</v>
      </c>
      <c r="L374" s="21"/>
    </row>
    <row r="375" spans="1:12" ht="16.5" thickBot="1" x14ac:dyDescent="0.3">
      <c r="A375" s="1776"/>
      <c r="B375" s="1678"/>
      <c r="C375" s="1170" t="s">
        <v>270</v>
      </c>
      <c r="D375" s="1155"/>
      <c r="E375" s="190"/>
      <c r="F375" s="285">
        <f t="shared" ref="F375:J375" si="28">F374/F372*100</f>
        <v>67.017543859649123</v>
      </c>
      <c r="G375" s="285">
        <f t="shared" si="28"/>
        <v>62.298025134649912</v>
      </c>
      <c r="H375" s="285">
        <f t="shared" si="28"/>
        <v>66.981132075471692</v>
      </c>
      <c r="I375" s="285">
        <f t="shared" si="28"/>
        <v>65.642775881683733</v>
      </c>
      <c r="J375" s="285">
        <f t="shared" si="28"/>
        <v>66.174661746617474</v>
      </c>
      <c r="K375" s="285">
        <f>K374/K372*100</f>
        <v>67.121588089330018</v>
      </c>
      <c r="L375" s="22"/>
    </row>
    <row r="376" spans="1:12" x14ac:dyDescent="0.25">
      <c r="A376" s="1776"/>
      <c r="B376" s="1678"/>
      <c r="C376" s="1159" t="s">
        <v>465</v>
      </c>
      <c r="D376" s="248" t="s">
        <v>251</v>
      </c>
      <c r="E376" s="249"/>
      <c r="F376" s="250">
        <v>273</v>
      </c>
      <c r="G376" s="250">
        <v>267</v>
      </c>
      <c r="H376" s="250">
        <v>346</v>
      </c>
      <c r="I376" s="250">
        <v>322</v>
      </c>
      <c r="J376" s="250">
        <v>305</v>
      </c>
      <c r="K376" s="36">
        <v>319</v>
      </c>
      <c r="L376" s="20"/>
    </row>
    <row r="377" spans="1:12" x14ac:dyDescent="0.25">
      <c r="A377" s="1776"/>
      <c r="B377" s="1678"/>
      <c r="C377" s="1160"/>
      <c r="D377" s="28" t="s">
        <v>257</v>
      </c>
      <c r="E377" s="94"/>
      <c r="F377" s="80">
        <v>38</v>
      </c>
      <c r="G377" s="80">
        <v>32</v>
      </c>
      <c r="H377" s="80">
        <v>59</v>
      </c>
      <c r="I377" s="80">
        <v>55</v>
      </c>
      <c r="J377" s="80">
        <v>44</v>
      </c>
      <c r="K377" s="28">
        <v>37</v>
      </c>
      <c r="L377" s="21"/>
    </row>
    <row r="378" spans="1:12" x14ac:dyDescent="0.25">
      <c r="A378" s="1776"/>
      <c r="B378" s="1678"/>
      <c r="C378" s="1160"/>
      <c r="D378" s="28" t="s">
        <v>263</v>
      </c>
      <c r="E378" s="94"/>
      <c r="F378" s="80">
        <v>235</v>
      </c>
      <c r="G378" s="80">
        <v>235</v>
      </c>
      <c r="H378" s="80">
        <v>287</v>
      </c>
      <c r="I378" s="80">
        <v>267</v>
      </c>
      <c r="J378" s="80">
        <v>261</v>
      </c>
      <c r="K378" s="28">
        <v>282</v>
      </c>
      <c r="L378" s="21"/>
    </row>
    <row r="379" spans="1:12" ht="16.5" thickBot="1" x14ac:dyDescent="0.3">
      <c r="A379" s="1776"/>
      <c r="B379" s="1678"/>
      <c r="C379" s="1161"/>
      <c r="D379" s="203" t="s">
        <v>270</v>
      </c>
      <c r="E379" s="104"/>
      <c r="F379" s="251">
        <f>(F378/F376)*100</f>
        <v>86.080586080586087</v>
      </c>
      <c r="G379" s="251">
        <f>(G378/G376)*100</f>
        <v>88.014981273408239</v>
      </c>
      <c r="H379" s="251">
        <f>(H378/H376)*100</f>
        <v>82.947976878612721</v>
      </c>
      <c r="I379" s="251">
        <f>I378/I376*100</f>
        <v>82.919254658385086</v>
      </c>
      <c r="J379" s="251">
        <f>J378/J376*100</f>
        <v>85.573770491803288</v>
      </c>
      <c r="K379" s="251">
        <f>K378/K376*100</f>
        <v>88.401253918495286</v>
      </c>
      <c r="L379" s="22"/>
    </row>
    <row r="380" spans="1:12" ht="14.85" customHeight="1" x14ac:dyDescent="0.25">
      <c r="A380" s="1776"/>
      <c r="B380" s="1678"/>
      <c r="C380" s="1159" t="s">
        <v>470</v>
      </c>
      <c r="D380" s="248" t="s">
        <v>251</v>
      </c>
      <c r="E380" s="249"/>
      <c r="F380" s="250">
        <v>103</v>
      </c>
      <c r="G380" s="250">
        <v>92</v>
      </c>
      <c r="H380" s="250">
        <v>346</v>
      </c>
      <c r="I380" s="250">
        <v>291</v>
      </c>
      <c r="J380" s="250">
        <v>248</v>
      </c>
      <c r="K380" s="36">
        <v>220</v>
      </c>
      <c r="L380" s="20"/>
    </row>
    <row r="381" spans="1:12" x14ac:dyDescent="0.25">
      <c r="A381" s="1776"/>
      <c r="B381" s="1678"/>
      <c r="C381" s="1160"/>
      <c r="D381" s="28" t="s">
        <v>257</v>
      </c>
      <c r="E381" s="94"/>
      <c r="F381" s="80">
        <v>8</v>
      </c>
      <c r="G381" s="80">
        <v>17</v>
      </c>
      <c r="H381" s="80">
        <v>46</v>
      </c>
      <c r="I381" s="80">
        <v>27</v>
      </c>
      <c r="J381" s="80">
        <v>21</v>
      </c>
      <c r="K381" s="28">
        <v>15</v>
      </c>
      <c r="L381" s="21"/>
    </row>
    <row r="382" spans="1:12" x14ac:dyDescent="0.25">
      <c r="A382" s="1776"/>
      <c r="B382" s="1678"/>
      <c r="C382" s="1160"/>
      <c r="D382" s="28" t="s">
        <v>263</v>
      </c>
      <c r="E382" s="94"/>
      <c r="F382" s="80">
        <v>95</v>
      </c>
      <c r="G382" s="80">
        <v>75</v>
      </c>
      <c r="H382" s="80">
        <v>300</v>
      </c>
      <c r="I382" s="80">
        <v>264</v>
      </c>
      <c r="J382" s="80">
        <v>227</v>
      </c>
      <c r="K382" s="28">
        <v>205</v>
      </c>
      <c r="L382" s="21"/>
    </row>
    <row r="383" spans="1:12" ht="16.5" thickBot="1" x14ac:dyDescent="0.3">
      <c r="A383" s="1776"/>
      <c r="B383" s="1678"/>
      <c r="C383" s="1161"/>
      <c r="D383" s="203" t="s">
        <v>270</v>
      </c>
      <c r="E383" s="106"/>
      <c r="F383" s="251">
        <f t="shared" ref="F383:J383" si="29">(F382/F380)*100</f>
        <v>92.233009708737868</v>
      </c>
      <c r="G383" s="251">
        <f t="shared" si="29"/>
        <v>81.521739130434781</v>
      </c>
      <c r="H383" s="251">
        <f t="shared" si="29"/>
        <v>86.705202312138724</v>
      </c>
      <c r="I383" s="251">
        <f t="shared" si="29"/>
        <v>90.721649484536087</v>
      </c>
      <c r="J383" s="251">
        <f t="shared" si="29"/>
        <v>91.532258064516128</v>
      </c>
      <c r="K383" s="251">
        <f>(K382/K380)*100</f>
        <v>93.181818181818173</v>
      </c>
      <c r="L383" s="22"/>
    </row>
    <row r="384" spans="1:12" ht="14.85" customHeight="1" x14ac:dyDescent="0.25">
      <c r="A384" s="1776"/>
      <c r="B384" s="1678"/>
      <c r="C384" s="1159" t="s">
        <v>467</v>
      </c>
      <c r="D384" s="248" t="s">
        <v>251</v>
      </c>
      <c r="E384" s="249"/>
      <c r="F384" s="250">
        <v>113</v>
      </c>
      <c r="G384" s="250">
        <v>115</v>
      </c>
      <c r="H384" s="250">
        <v>160</v>
      </c>
      <c r="I384" s="250">
        <v>164</v>
      </c>
      <c r="J384" s="250">
        <v>165</v>
      </c>
      <c r="K384" s="36">
        <v>172</v>
      </c>
      <c r="L384" s="20"/>
    </row>
    <row r="385" spans="1:12" x14ac:dyDescent="0.25">
      <c r="A385" s="1776"/>
      <c r="B385" s="1678"/>
      <c r="C385" s="1160"/>
      <c r="D385" s="28" t="s">
        <v>257</v>
      </c>
      <c r="E385" s="94"/>
      <c r="F385" s="80">
        <v>98</v>
      </c>
      <c r="G385" s="80">
        <v>106</v>
      </c>
      <c r="H385" s="80">
        <v>146</v>
      </c>
      <c r="I385" s="80">
        <v>155</v>
      </c>
      <c r="J385" s="80">
        <v>151</v>
      </c>
      <c r="K385" s="28">
        <v>152</v>
      </c>
      <c r="L385" s="21"/>
    </row>
    <row r="386" spans="1:12" x14ac:dyDescent="0.25">
      <c r="A386" s="1776"/>
      <c r="B386" s="1678"/>
      <c r="C386" s="1160"/>
      <c r="D386" s="28" t="s">
        <v>263</v>
      </c>
      <c r="E386" s="94"/>
      <c r="F386" s="80">
        <v>15</v>
      </c>
      <c r="G386" s="80">
        <v>9</v>
      </c>
      <c r="H386" s="80">
        <v>14</v>
      </c>
      <c r="I386" s="80">
        <v>9</v>
      </c>
      <c r="J386" s="80">
        <v>14</v>
      </c>
      <c r="K386" s="28">
        <v>20</v>
      </c>
      <c r="L386" s="21"/>
    </row>
    <row r="387" spans="1:12" ht="16.5" thickBot="1" x14ac:dyDescent="0.3">
      <c r="A387" s="1776"/>
      <c r="B387" s="1678"/>
      <c r="C387" s="1161"/>
      <c r="D387" s="203" t="s">
        <v>270</v>
      </c>
      <c r="E387" s="106"/>
      <c r="F387" s="253">
        <f>(F386/F384)*100</f>
        <v>13.274336283185843</v>
      </c>
      <c r="G387" s="253">
        <f t="shared" ref="G387:J387" si="30">(G386/G384)*100</f>
        <v>7.8260869565217401</v>
      </c>
      <c r="H387" s="253">
        <f t="shared" si="30"/>
        <v>8.75</v>
      </c>
      <c r="I387" s="253">
        <f t="shared" si="30"/>
        <v>5.4878048780487809</v>
      </c>
      <c r="J387" s="253">
        <f t="shared" si="30"/>
        <v>8.4848484848484862</v>
      </c>
      <c r="K387" s="253">
        <f>(K386/K384)*100</f>
        <v>11.627906976744185</v>
      </c>
      <c r="L387" s="22"/>
    </row>
    <row r="388" spans="1:12" ht="14.85" customHeight="1" x14ac:dyDescent="0.25">
      <c r="A388" s="1776"/>
      <c r="B388" s="1678"/>
      <c r="C388" s="1159" t="s">
        <v>466</v>
      </c>
      <c r="D388" s="248" t="s">
        <v>251</v>
      </c>
      <c r="E388" s="249"/>
      <c r="F388" s="250">
        <v>45</v>
      </c>
      <c r="G388" s="250">
        <v>51</v>
      </c>
      <c r="H388" s="250">
        <v>67</v>
      </c>
      <c r="I388" s="250">
        <v>68</v>
      </c>
      <c r="J388" s="250">
        <v>64</v>
      </c>
      <c r="K388" s="36">
        <v>62</v>
      </c>
      <c r="L388" s="20"/>
    </row>
    <row r="389" spans="1:12" ht="14.85" customHeight="1" x14ac:dyDescent="0.25">
      <c r="A389" s="1776"/>
      <c r="B389" s="1678"/>
      <c r="C389" s="1160"/>
      <c r="D389" s="28" t="s">
        <v>257</v>
      </c>
      <c r="E389" s="94"/>
      <c r="F389" s="80">
        <v>10</v>
      </c>
      <c r="G389" s="80">
        <v>23</v>
      </c>
      <c r="H389" s="80">
        <v>29</v>
      </c>
      <c r="I389" s="80">
        <v>33</v>
      </c>
      <c r="J389" s="80">
        <v>30</v>
      </c>
      <c r="K389" s="28">
        <v>30</v>
      </c>
      <c r="L389" s="21"/>
    </row>
    <row r="390" spans="1:12" x14ac:dyDescent="0.25">
      <c r="A390" s="1776"/>
      <c r="B390" s="1678"/>
      <c r="C390" s="1160"/>
      <c r="D390" s="28" t="s">
        <v>263</v>
      </c>
      <c r="E390" s="94"/>
      <c r="F390" s="80">
        <v>35</v>
      </c>
      <c r="G390" s="80">
        <v>28</v>
      </c>
      <c r="H390" s="80">
        <v>38</v>
      </c>
      <c r="I390" s="80">
        <v>35</v>
      </c>
      <c r="J390" s="80">
        <v>34</v>
      </c>
      <c r="K390" s="28">
        <v>31</v>
      </c>
      <c r="L390" s="21"/>
    </row>
    <row r="391" spans="1:12" ht="16.5" thickBot="1" x14ac:dyDescent="0.3">
      <c r="A391" s="1776"/>
      <c r="B391" s="1678"/>
      <c r="C391" s="1161"/>
      <c r="D391" s="203" t="s">
        <v>270</v>
      </c>
      <c r="E391" s="106"/>
      <c r="F391" s="251">
        <f t="shared" ref="F391:J391" si="31">(F390/F388)*100</f>
        <v>77.777777777777786</v>
      </c>
      <c r="G391" s="252">
        <f t="shared" si="31"/>
        <v>54.901960784313729</v>
      </c>
      <c r="H391" s="252">
        <f t="shared" si="31"/>
        <v>56.71641791044776</v>
      </c>
      <c r="I391" s="252">
        <f t="shared" si="31"/>
        <v>51.470588235294116</v>
      </c>
      <c r="J391" s="252">
        <f t="shared" si="31"/>
        <v>53.125</v>
      </c>
      <c r="K391" s="252">
        <f>(K390/K388)*100</f>
        <v>50</v>
      </c>
      <c r="L391" s="22"/>
    </row>
    <row r="392" spans="1:12" ht="14.85" customHeight="1" x14ac:dyDescent="0.25">
      <c r="A392" s="1776"/>
      <c r="B392" s="1678"/>
      <c r="C392" s="1159" t="s">
        <v>581</v>
      </c>
      <c r="D392" s="248" t="s">
        <v>251</v>
      </c>
      <c r="E392" s="249"/>
      <c r="F392" s="250">
        <v>36</v>
      </c>
      <c r="G392" s="250">
        <v>32</v>
      </c>
      <c r="H392" s="250">
        <v>35</v>
      </c>
      <c r="I392" s="250">
        <v>34</v>
      </c>
      <c r="J392" s="250">
        <v>31</v>
      </c>
      <c r="K392" s="36">
        <v>33</v>
      </c>
      <c r="L392" s="20"/>
    </row>
    <row r="393" spans="1:12" ht="14.85" customHeight="1" x14ac:dyDescent="0.25">
      <c r="A393" s="1776"/>
      <c r="B393" s="1678"/>
      <c r="C393" s="1160"/>
      <c r="D393" s="28" t="s">
        <v>257</v>
      </c>
      <c r="E393" s="94"/>
      <c r="F393" s="236">
        <v>34</v>
      </c>
      <c r="G393" s="236">
        <v>32</v>
      </c>
      <c r="H393" s="236">
        <v>35</v>
      </c>
      <c r="I393" s="236">
        <v>32</v>
      </c>
      <c r="J393" s="236">
        <v>29</v>
      </c>
      <c r="K393" s="28">
        <v>31</v>
      </c>
      <c r="L393" s="21"/>
    </row>
    <row r="394" spans="1:12" x14ac:dyDescent="0.25">
      <c r="A394" s="1776"/>
      <c r="B394" s="1678"/>
      <c r="C394" s="1160"/>
      <c r="D394" s="28" t="s">
        <v>263</v>
      </c>
      <c r="E394" s="94"/>
      <c r="F394" s="236">
        <v>2</v>
      </c>
      <c r="G394" s="236">
        <v>0</v>
      </c>
      <c r="H394" s="236">
        <v>0</v>
      </c>
      <c r="I394" s="236">
        <v>2</v>
      </c>
      <c r="J394" s="236">
        <v>2</v>
      </c>
      <c r="K394" s="28">
        <v>2</v>
      </c>
      <c r="L394" s="21"/>
    </row>
    <row r="395" spans="1:12" ht="16.5" thickBot="1" x14ac:dyDescent="0.3">
      <c r="A395" s="1776"/>
      <c r="B395" s="1678"/>
      <c r="C395" s="1519"/>
      <c r="D395" s="336" t="s">
        <v>270</v>
      </c>
      <c r="E395" s="128"/>
      <c r="F395" s="596">
        <f>(F394/F392)*100</f>
        <v>5.5555555555555554</v>
      </c>
      <c r="G395" s="596">
        <f>(G394/G392)*100</f>
        <v>0</v>
      </c>
      <c r="H395" s="596">
        <f>(H394/H392)*100</f>
        <v>0</v>
      </c>
      <c r="I395" s="596">
        <f t="shared" ref="I395:J395" si="32">(I394/I392)*100</f>
        <v>5.8823529411764701</v>
      </c>
      <c r="J395" s="596">
        <f t="shared" si="32"/>
        <v>6.4516129032258061</v>
      </c>
      <c r="K395" s="596">
        <f>(K394/K392)*100</f>
        <v>6.0606060606060606</v>
      </c>
      <c r="L395" s="53"/>
    </row>
    <row r="396" spans="1:12" x14ac:dyDescent="0.25">
      <c r="A396" s="1776"/>
      <c r="B396" s="1678"/>
      <c r="C396" s="1166" t="s">
        <v>529</v>
      </c>
      <c r="D396" s="308" t="s">
        <v>473</v>
      </c>
      <c r="E396" s="612"/>
      <c r="F396" s="261">
        <f t="shared" ref="F396:K396" si="33">2/5*100</f>
        <v>40</v>
      </c>
      <c r="G396" s="261">
        <f t="shared" si="33"/>
        <v>40</v>
      </c>
      <c r="H396" s="261">
        <f t="shared" si="33"/>
        <v>40</v>
      </c>
      <c r="I396" s="261">
        <f t="shared" si="33"/>
        <v>40</v>
      </c>
      <c r="J396" s="261">
        <f t="shared" si="33"/>
        <v>40</v>
      </c>
      <c r="K396" s="261">
        <f t="shared" si="33"/>
        <v>40</v>
      </c>
      <c r="L396" s="20"/>
    </row>
    <row r="397" spans="1:12" x14ac:dyDescent="0.25">
      <c r="A397" s="1776"/>
      <c r="B397" s="1678"/>
      <c r="C397" s="1167"/>
      <c r="D397" s="232" t="s">
        <v>474</v>
      </c>
      <c r="E397" s="92"/>
      <c r="F397" s="234">
        <f>3/5*100</f>
        <v>60</v>
      </c>
      <c r="G397" s="234">
        <f>2/5*100</f>
        <v>40</v>
      </c>
      <c r="H397" s="234">
        <f>2/5*100</f>
        <v>40</v>
      </c>
      <c r="I397" s="234">
        <f>2/5*100</f>
        <v>40</v>
      </c>
      <c r="J397" s="234">
        <f>2/5*100</f>
        <v>40</v>
      </c>
      <c r="K397" s="234">
        <f>2/5*100</f>
        <v>40</v>
      </c>
      <c r="L397" s="21"/>
    </row>
    <row r="398" spans="1:12" ht="16.5" thickBot="1" x14ac:dyDescent="0.3">
      <c r="A398" s="1776"/>
      <c r="B398" s="1745"/>
      <c r="C398" s="1255"/>
      <c r="D398" s="311" t="s">
        <v>475</v>
      </c>
      <c r="E398" s="106"/>
      <c r="F398" s="312">
        <f>0/5*100</f>
        <v>0</v>
      </c>
      <c r="G398" s="312">
        <f>1/5*100</f>
        <v>20</v>
      </c>
      <c r="H398" s="312">
        <f>1/5*100</f>
        <v>20</v>
      </c>
      <c r="I398" s="312">
        <f>1/5*100</f>
        <v>20</v>
      </c>
      <c r="J398" s="312">
        <f>1/5*100</f>
        <v>20</v>
      </c>
      <c r="K398" s="312">
        <f>1/5*100</f>
        <v>20</v>
      </c>
      <c r="L398" s="22"/>
    </row>
    <row r="399" spans="1:12" ht="16.5" thickBot="1" x14ac:dyDescent="0.3">
      <c r="A399" s="1775"/>
      <c r="B399" s="577" t="s">
        <v>249</v>
      </c>
      <c r="C399" s="1905"/>
      <c r="D399" s="1588"/>
      <c r="E399" s="819" t="s">
        <v>442</v>
      </c>
      <c r="F399" s="819" t="s">
        <v>443</v>
      </c>
      <c r="G399" s="819" t="s">
        <v>444</v>
      </c>
      <c r="H399" s="819" t="s">
        <v>445</v>
      </c>
      <c r="I399" s="819" t="s">
        <v>446</v>
      </c>
      <c r="J399" s="819" t="s">
        <v>447</v>
      </c>
      <c r="K399" s="819" t="s">
        <v>448</v>
      </c>
      <c r="L399" s="796" t="s">
        <v>449</v>
      </c>
    </row>
    <row r="400" spans="1:12" ht="15" customHeight="1" x14ac:dyDescent="0.25">
      <c r="A400" s="1776"/>
      <c r="B400" s="1744" t="s">
        <v>476</v>
      </c>
      <c r="C400" s="1109" t="s">
        <v>459</v>
      </c>
      <c r="D400" s="1110"/>
      <c r="E400" s="28"/>
      <c r="F400" s="157">
        <v>180</v>
      </c>
      <c r="G400" s="157">
        <v>218</v>
      </c>
      <c r="H400" s="157">
        <v>275</v>
      </c>
      <c r="I400" s="157">
        <v>310</v>
      </c>
      <c r="J400" s="157">
        <v>290</v>
      </c>
      <c r="K400" s="28">
        <v>349</v>
      </c>
      <c r="L400" s="21"/>
    </row>
    <row r="401" spans="1:12" x14ac:dyDescent="0.25">
      <c r="A401" s="1776"/>
      <c r="B401" s="1678"/>
      <c r="C401" s="1123" t="s">
        <v>436</v>
      </c>
      <c r="D401" s="1124"/>
      <c r="E401" s="96"/>
      <c r="F401" s="96">
        <v>30</v>
      </c>
      <c r="G401" s="96">
        <v>66</v>
      </c>
      <c r="H401" s="96">
        <v>125</v>
      </c>
      <c r="I401" s="96">
        <v>142</v>
      </c>
      <c r="J401" s="96">
        <v>142</v>
      </c>
      <c r="K401" s="157">
        <v>162</v>
      </c>
      <c r="L401" s="21"/>
    </row>
    <row r="402" spans="1:12" x14ac:dyDescent="0.25">
      <c r="A402" s="1776"/>
      <c r="B402" s="1678"/>
      <c r="C402" s="1123" t="s">
        <v>437</v>
      </c>
      <c r="D402" s="1124"/>
      <c r="E402" s="96"/>
      <c r="F402" s="96">
        <v>150</v>
      </c>
      <c r="G402" s="96">
        <v>152</v>
      </c>
      <c r="H402" s="96">
        <v>150</v>
      </c>
      <c r="I402" s="96">
        <v>168</v>
      </c>
      <c r="J402" s="96">
        <v>148</v>
      </c>
      <c r="K402" s="157">
        <v>187</v>
      </c>
      <c r="L402" s="21"/>
    </row>
    <row r="403" spans="1:12" ht="16.5" thickBot="1" x14ac:dyDescent="0.3">
      <c r="A403" s="1776"/>
      <c r="B403" s="1678"/>
      <c r="C403" s="1170" t="s">
        <v>270</v>
      </c>
      <c r="D403" s="1155"/>
      <c r="E403" s="190"/>
      <c r="F403" s="285">
        <f t="shared" ref="F403:K403" si="34">F402/F400*100</f>
        <v>83.333333333333343</v>
      </c>
      <c r="G403" s="285">
        <f t="shared" si="34"/>
        <v>69.724770642201833</v>
      </c>
      <c r="H403" s="285">
        <f t="shared" si="34"/>
        <v>54.54545454545454</v>
      </c>
      <c r="I403" s="285">
        <f>I402/I400*100</f>
        <v>54.193548387096783</v>
      </c>
      <c r="J403" s="285">
        <f t="shared" si="34"/>
        <v>51.03448275862069</v>
      </c>
      <c r="K403" s="285">
        <f t="shared" si="34"/>
        <v>53.581661891117484</v>
      </c>
      <c r="L403" s="22"/>
    </row>
    <row r="404" spans="1:12" x14ac:dyDescent="0.25">
      <c r="A404" s="1776"/>
      <c r="B404" s="1151"/>
      <c r="C404" s="1159" t="s">
        <v>465</v>
      </c>
      <c r="D404" s="248" t="s">
        <v>251</v>
      </c>
      <c r="E404" s="249"/>
      <c r="F404" s="250">
        <v>97</v>
      </c>
      <c r="G404" s="250">
        <v>127</v>
      </c>
      <c r="H404" s="250">
        <v>117</v>
      </c>
      <c r="I404" s="250">
        <v>117</v>
      </c>
      <c r="J404" s="250">
        <v>107</v>
      </c>
      <c r="K404" s="36">
        <v>140</v>
      </c>
      <c r="L404" s="20"/>
    </row>
    <row r="405" spans="1:12" x14ac:dyDescent="0.25">
      <c r="A405" s="1776"/>
      <c r="B405" s="1151"/>
      <c r="C405" s="1160"/>
      <c r="D405" s="28" t="s">
        <v>257</v>
      </c>
      <c r="E405" s="94"/>
      <c r="F405" s="80">
        <v>19</v>
      </c>
      <c r="G405" s="80">
        <v>33</v>
      </c>
      <c r="H405" s="80">
        <v>30</v>
      </c>
      <c r="I405" s="80">
        <v>23</v>
      </c>
      <c r="J405" s="80">
        <v>30</v>
      </c>
      <c r="K405" s="28">
        <v>38</v>
      </c>
      <c r="L405" s="21"/>
    </row>
    <row r="406" spans="1:12" x14ac:dyDescent="0.25">
      <c r="A406" s="1776"/>
      <c r="B406" s="1151"/>
      <c r="C406" s="1160"/>
      <c r="D406" s="28" t="s">
        <v>263</v>
      </c>
      <c r="E406" s="94"/>
      <c r="F406" s="80">
        <v>78</v>
      </c>
      <c r="G406" s="80">
        <v>94</v>
      </c>
      <c r="H406" s="80">
        <v>87</v>
      </c>
      <c r="I406" s="80">
        <v>94</v>
      </c>
      <c r="J406" s="80">
        <v>77</v>
      </c>
      <c r="K406" s="28">
        <v>102</v>
      </c>
      <c r="L406" s="21"/>
    </row>
    <row r="407" spans="1:12" ht="16.5" thickBot="1" x14ac:dyDescent="0.3">
      <c r="A407" s="1776"/>
      <c r="B407" s="1151"/>
      <c r="C407" s="1161"/>
      <c r="D407" s="203" t="s">
        <v>270</v>
      </c>
      <c r="E407" s="106"/>
      <c r="F407" s="251">
        <f>(F406/F404)*100</f>
        <v>80.412371134020617</v>
      </c>
      <c r="G407" s="251">
        <f>(G406/G404)*100</f>
        <v>74.015748031496059</v>
      </c>
      <c r="H407" s="251">
        <f>(H406/H404)*100</f>
        <v>74.358974358974365</v>
      </c>
      <c r="I407" s="251">
        <f>I406/I404*100</f>
        <v>80.341880341880341</v>
      </c>
      <c r="J407" s="251">
        <f>J406/J404*100</f>
        <v>71.962616822429908</v>
      </c>
      <c r="K407" s="251">
        <f>K406/K404*100</f>
        <v>72.857142857142847</v>
      </c>
      <c r="L407" s="22"/>
    </row>
    <row r="408" spans="1:12" ht="14.85" customHeight="1" x14ac:dyDescent="0.25">
      <c r="A408" s="1776"/>
      <c r="B408" s="1151"/>
      <c r="C408" s="1159" t="s">
        <v>470</v>
      </c>
      <c r="D408" s="248" t="s">
        <v>251</v>
      </c>
      <c r="E408" s="249"/>
      <c r="F408" s="250">
        <v>53</v>
      </c>
      <c r="G408" s="250">
        <v>59</v>
      </c>
      <c r="H408" s="250">
        <v>56</v>
      </c>
      <c r="I408" s="250">
        <v>59</v>
      </c>
      <c r="J408" s="250">
        <v>60</v>
      </c>
      <c r="K408" s="36">
        <v>69</v>
      </c>
      <c r="L408" s="20"/>
    </row>
    <row r="409" spans="1:12" x14ac:dyDescent="0.25">
      <c r="A409" s="1776"/>
      <c r="B409" s="1151"/>
      <c r="C409" s="1160"/>
      <c r="D409" s="28" t="s">
        <v>257</v>
      </c>
      <c r="E409" s="94"/>
      <c r="F409" s="80">
        <v>3</v>
      </c>
      <c r="G409" s="80">
        <v>7</v>
      </c>
      <c r="H409" s="80">
        <v>5</v>
      </c>
      <c r="I409" s="80">
        <v>7</v>
      </c>
      <c r="J409" s="80">
        <v>5</v>
      </c>
      <c r="K409" s="28">
        <v>5</v>
      </c>
      <c r="L409" s="21"/>
    </row>
    <row r="410" spans="1:12" x14ac:dyDescent="0.25">
      <c r="A410" s="1776"/>
      <c r="B410" s="1151"/>
      <c r="C410" s="1160"/>
      <c r="D410" s="28" t="s">
        <v>263</v>
      </c>
      <c r="E410" s="94"/>
      <c r="F410" s="80">
        <v>50</v>
      </c>
      <c r="G410" s="80">
        <v>52</v>
      </c>
      <c r="H410" s="80">
        <v>51</v>
      </c>
      <c r="I410" s="80">
        <v>52</v>
      </c>
      <c r="J410" s="80">
        <v>55</v>
      </c>
      <c r="K410" s="28">
        <v>64</v>
      </c>
      <c r="L410" s="21"/>
    </row>
    <row r="411" spans="1:12" ht="16.5" thickBot="1" x14ac:dyDescent="0.3">
      <c r="A411" s="1776"/>
      <c r="B411" s="1151"/>
      <c r="C411" s="1161"/>
      <c r="D411" s="203" t="s">
        <v>270</v>
      </c>
      <c r="E411" s="106"/>
      <c r="F411" s="251">
        <f t="shared" ref="F411:K411" si="35">(F410/F408)*100</f>
        <v>94.339622641509436</v>
      </c>
      <c r="G411" s="251">
        <f t="shared" si="35"/>
        <v>88.135593220338976</v>
      </c>
      <c r="H411" s="251">
        <f t="shared" si="35"/>
        <v>91.071428571428569</v>
      </c>
      <c r="I411" s="251">
        <f t="shared" si="35"/>
        <v>88.135593220338976</v>
      </c>
      <c r="J411" s="251">
        <f t="shared" si="35"/>
        <v>91.666666666666657</v>
      </c>
      <c r="K411" s="251">
        <f t="shared" si="35"/>
        <v>92.753623188405797</v>
      </c>
      <c r="L411" s="22"/>
    </row>
    <row r="412" spans="1:12" ht="14.85" customHeight="1" x14ac:dyDescent="0.25">
      <c r="A412" s="1776"/>
      <c r="B412" s="1151"/>
      <c r="C412" s="1159" t="s">
        <v>467</v>
      </c>
      <c r="D412" s="248" t="s">
        <v>251</v>
      </c>
      <c r="E412" s="249"/>
      <c r="F412" s="250"/>
      <c r="G412" s="250"/>
      <c r="H412" s="250">
        <v>86</v>
      </c>
      <c r="I412" s="250">
        <v>112</v>
      </c>
      <c r="J412" s="250">
        <v>123</v>
      </c>
      <c r="K412" s="36">
        <v>140</v>
      </c>
      <c r="L412" s="20"/>
    </row>
    <row r="413" spans="1:12" x14ac:dyDescent="0.25">
      <c r="A413" s="1776"/>
      <c r="B413" s="1151"/>
      <c r="C413" s="1160"/>
      <c r="D413" s="28" t="s">
        <v>257</v>
      </c>
      <c r="E413" s="94"/>
      <c r="F413" s="80"/>
      <c r="G413" s="80"/>
      <c r="H413" s="80">
        <v>74</v>
      </c>
      <c r="I413" s="80">
        <v>93</v>
      </c>
      <c r="J413" s="80">
        <v>107</v>
      </c>
      <c r="K413" s="28">
        <v>119</v>
      </c>
      <c r="L413" s="21"/>
    </row>
    <row r="414" spans="1:12" x14ac:dyDescent="0.25">
      <c r="A414" s="1776"/>
      <c r="B414" s="1151"/>
      <c r="C414" s="1160"/>
      <c r="D414" s="28" t="s">
        <v>263</v>
      </c>
      <c r="E414" s="94"/>
      <c r="F414" s="80"/>
      <c r="G414" s="80"/>
      <c r="H414" s="80">
        <v>12</v>
      </c>
      <c r="I414" s="80">
        <v>19</v>
      </c>
      <c r="J414" s="80">
        <v>16</v>
      </c>
      <c r="K414" s="28">
        <v>21</v>
      </c>
      <c r="L414" s="21"/>
    </row>
    <row r="415" spans="1:12" ht="16.5" thickBot="1" x14ac:dyDescent="0.3">
      <c r="A415" s="1776"/>
      <c r="B415" s="1151"/>
      <c r="C415" s="1161"/>
      <c r="D415" s="203" t="s">
        <v>270</v>
      </c>
      <c r="E415" s="106"/>
      <c r="F415" s="197"/>
      <c r="G415" s="197"/>
      <c r="H415" s="253">
        <f t="shared" ref="H415:K415" si="36">(H414/H412)*100</f>
        <v>13.953488372093023</v>
      </c>
      <c r="I415" s="253">
        <f t="shared" si="36"/>
        <v>16.964285714285715</v>
      </c>
      <c r="J415" s="253">
        <f t="shared" si="36"/>
        <v>13.008130081300814</v>
      </c>
      <c r="K415" s="253">
        <f t="shared" si="36"/>
        <v>15</v>
      </c>
      <c r="L415" s="22"/>
    </row>
    <row r="416" spans="1:12" ht="14.85" customHeight="1" x14ac:dyDescent="0.25">
      <c r="A416" s="1776"/>
      <c r="B416" s="1151"/>
      <c r="C416" s="1159" t="s">
        <v>469</v>
      </c>
      <c r="D416" s="248" t="s">
        <v>251</v>
      </c>
      <c r="E416" s="249"/>
      <c r="F416" s="250"/>
      <c r="G416" s="250">
        <v>32</v>
      </c>
      <c r="H416" s="250">
        <v>16</v>
      </c>
      <c r="I416" s="250">
        <v>22</v>
      </c>
      <c r="J416" s="250"/>
      <c r="K416" s="36"/>
      <c r="L416" s="20"/>
    </row>
    <row r="417" spans="1:12" x14ac:dyDescent="0.25">
      <c r="A417" s="1776"/>
      <c r="B417" s="1151"/>
      <c r="C417" s="1160"/>
      <c r="D417" s="28" t="s">
        <v>257</v>
      </c>
      <c r="E417" s="94"/>
      <c r="F417" s="80"/>
      <c r="G417" s="80">
        <v>26</v>
      </c>
      <c r="H417" s="80">
        <v>16</v>
      </c>
      <c r="I417" s="80">
        <v>19</v>
      </c>
      <c r="J417" s="80"/>
      <c r="K417" s="28"/>
      <c r="L417" s="21"/>
    </row>
    <row r="418" spans="1:12" x14ac:dyDescent="0.25">
      <c r="A418" s="1776"/>
      <c r="B418" s="1151"/>
      <c r="C418" s="1160"/>
      <c r="D418" s="28" t="s">
        <v>263</v>
      </c>
      <c r="E418" s="94"/>
      <c r="F418" s="80"/>
      <c r="G418" s="80">
        <v>6</v>
      </c>
      <c r="H418" s="80">
        <v>0</v>
      </c>
      <c r="I418" s="80">
        <v>3</v>
      </c>
      <c r="J418" s="80"/>
      <c r="K418" s="28"/>
      <c r="L418" s="21"/>
    </row>
    <row r="419" spans="1:12" ht="16.5" thickBot="1" x14ac:dyDescent="0.3">
      <c r="A419" s="1776"/>
      <c r="B419" s="1151"/>
      <c r="C419" s="1161"/>
      <c r="D419" s="203" t="s">
        <v>270</v>
      </c>
      <c r="E419" s="106"/>
      <c r="F419" s="197"/>
      <c r="G419" s="253">
        <f t="shared" ref="G419:I419" si="37">(G418/G416)*100</f>
        <v>18.75</v>
      </c>
      <c r="H419" s="253">
        <f t="shared" si="37"/>
        <v>0</v>
      </c>
      <c r="I419" s="253">
        <f t="shared" si="37"/>
        <v>13.636363636363635</v>
      </c>
      <c r="J419" s="1053"/>
      <c r="K419" s="33"/>
      <c r="L419" s="22"/>
    </row>
    <row r="420" spans="1:12" ht="14.85" customHeight="1" x14ac:dyDescent="0.25">
      <c r="A420" s="1776"/>
      <c r="B420" s="1151"/>
      <c r="C420" s="1159" t="s">
        <v>466</v>
      </c>
      <c r="D420" s="248" t="s">
        <v>251</v>
      </c>
      <c r="E420" s="249"/>
      <c r="F420" s="250">
        <v>30</v>
      </c>
      <c r="G420" s="250"/>
      <c r="H420" s="250"/>
      <c r="I420" s="250"/>
      <c r="J420" s="250"/>
      <c r="K420" s="36"/>
      <c r="L420" s="20"/>
    </row>
    <row r="421" spans="1:12" x14ac:dyDescent="0.25">
      <c r="A421" s="1776"/>
      <c r="B421" s="1151"/>
      <c r="C421" s="1160"/>
      <c r="D421" s="28" t="s">
        <v>257</v>
      </c>
      <c r="E421" s="94"/>
      <c r="F421" s="236">
        <v>8</v>
      </c>
      <c r="G421" s="236"/>
      <c r="H421" s="236"/>
      <c r="I421" s="236"/>
      <c r="J421" s="236"/>
      <c r="K421" s="28"/>
      <c r="L421" s="21"/>
    </row>
    <row r="422" spans="1:12" x14ac:dyDescent="0.25">
      <c r="A422" s="1776"/>
      <c r="B422" s="1151"/>
      <c r="C422" s="1160"/>
      <c r="D422" s="28" t="s">
        <v>263</v>
      </c>
      <c r="E422" s="94"/>
      <c r="F422" s="236">
        <v>22</v>
      </c>
      <c r="G422" s="236"/>
      <c r="H422" s="236"/>
      <c r="I422" s="236"/>
      <c r="J422" s="236"/>
      <c r="K422" s="28"/>
      <c r="L422" s="21"/>
    </row>
    <row r="423" spans="1:12" ht="16.5" thickBot="1" x14ac:dyDescent="0.3">
      <c r="A423" s="1776"/>
      <c r="B423" s="1151"/>
      <c r="C423" s="1161"/>
      <c r="D423" s="203" t="s">
        <v>270</v>
      </c>
      <c r="E423" s="106"/>
      <c r="F423" s="251">
        <f>(F422/F420)*100</f>
        <v>73.333333333333329</v>
      </c>
      <c r="G423" s="197"/>
      <c r="H423" s="197"/>
      <c r="I423" s="197"/>
      <c r="J423" s="197"/>
      <c r="K423" s="33"/>
      <c r="L423" s="22"/>
    </row>
    <row r="424" spans="1:12" x14ac:dyDescent="0.25">
      <c r="A424" s="1776"/>
      <c r="B424" s="1678"/>
      <c r="C424" s="1166" t="s">
        <v>472</v>
      </c>
      <c r="D424" s="308" t="s">
        <v>473</v>
      </c>
      <c r="E424" s="612"/>
      <c r="F424" s="261">
        <v>0</v>
      </c>
      <c r="G424" s="261">
        <f>1/3*100</f>
        <v>33.333333333333329</v>
      </c>
      <c r="H424" s="261">
        <v>50</v>
      </c>
      <c r="I424" s="261">
        <v>50</v>
      </c>
      <c r="J424" s="261">
        <f>1/3*100</f>
        <v>33.333333333333329</v>
      </c>
      <c r="K424" s="261">
        <f>1/3*100</f>
        <v>33.333333333333329</v>
      </c>
      <c r="L424" s="20"/>
    </row>
    <row r="425" spans="1:12" x14ac:dyDescent="0.25">
      <c r="A425" s="1776"/>
      <c r="B425" s="1678"/>
      <c r="C425" s="1167"/>
      <c r="D425" s="232" t="s">
        <v>474</v>
      </c>
      <c r="E425" s="92"/>
      <c r="F425" s="234">
        <v>100</v>
      </c>
      <c r="G425" s="234">
        <f>2/3*100</f>
        <v>66.666666666666657</v>
      </c>
      <c r="H425" s="234">
        <v>50</v>
      </c>
      <c r="I425" s="234">
        <v>50</v>
      </c>
      <c r="J425" s="234">
        <f>2/3*100</f>
        <v>66.666666666666657</v>
      </c>
      <c r="K425" s="234">
        <f>2/3*100</f>
        <v>66.666666666666657</v>
      </c>
      <c r="L425" s="21"/>
    </row>
    <row r="426" spans="1:12" ht="16.5" thickBot="1" x14ac:dyDescent="0.3">
      <c r="A426" s="1776"/>
      <c r="B426" s="1745"/>
      <c r="C426" s="1255"/>
      <c r="D426" s="311" t="s">
        <v>475</v>
      </c>
      <c r="E426" s="106"/>
      <c r="F426" s="312">
        <v>0</v>
      </c>
      <c r="G426" s="312">
        <v>0</v>
      </c>
      <c r="H426" s="312">
        <v>0</v>
      </c>
      <c r="I426" s="312">
        <v>0</v>
      </c>
      <c r="J426" s="312">
        <v>0</v>
      </c>
      <c r="K426" s="312">
        <v>0</v>
      </c>
      <c r="L426" s="22"/>
    </row>
    <row r="427" spans="1:12" ht="16.5" thickBot="1" x14ac:dyDescent="0.3">
      <c r="A427" s="1775"/>
      <c r="B427" s="823" t="s">
        <v>249</v>
      </c>
      <c r="C427" s="1675"/>
      <c r="D427" s="1675"/>
      <c r="E427" s="112" t="s">
        <v>442</v>
      </c>
      <c r="F427" s="112" t="s">
        <v>443</v>
      </c>
      <c r="G427" s="112" t="s">
        <v>444</v>
      </c>
      <c r="H427" s="112" t="s">
        <v>445</v>
      </c>
      <c r="I427" s="112" t="s">
        <v>446</v>
      </c>
      <c r="J427" s="112" t="s">
        <v>447</v>
      </c>
      <c r="K427" s="112" t="s">
        <v>448</v>
      </c>
      <c r="L427" s="284" t="s">
        <v>449</v>
      </c>
    </row>
    <row r="428" spans="1:12" x14ac:dyDescent="0.25">
      <c r="A428" s="1776"/>
      <c r="B428" s="1744" t="s">
        <v>219</v>
      </c>
      <c r="C428" s="1251" t="s">
        <v>459</v>
      </c>
      <c r="D428" s="1206"/>
      <c r="E428" s="36"/>
      <c r="F428" s="259"/>
      <c r="G428" s="259"/>
      <c r="H428" s="359">
        <v>97</v>
      </c>
      <c r="I428" s="359">
        <v>436</v>
      </c>
      <c r="J428" s="359">
        <v>531</v>
      </c>
      <c r="K428" s="359">
        <v>558</v>
      </c>
      <c r="L428" s="20"/>
    </row>
    <row r="429" spans="1:12" x14ac:dyDescent="0.25">
      <c r="A429" s="1776"/>
      <c r="B429" s="1678"/>
      <c r="C429" s="1123" t="s">
        <v>436</v>
      </c>
      <c r="D429" s="1124"/>
      <c r="E429" s="28"/>
      <c r="F429" s="187"/>
      <c r="G429" s="187"/>
      <c r="H429" s="358">
        <v>47</v>
      </c>
      <c r="I429" s="358">
        <v>268</v>
      </c>
      <c r="J429" s="358">
        <v>329</v>
      </c>
      <c r="K429" s="358">
        <v>365</v>
      </c>
      <c r="L429" s="21"/>
    </row>
    <row r="430" spans="1:12" x14ac:dyDescent="0.25">
      <c r="A430" s="1776"/>
      <c r="B430" s="1678"/>
      <c r="C430" s="1123" t="s">
        <v>437</v>
      </c>
      <c r="D430" s="1124"/>
      <c r="E430" s="96"/>
      <c r="F430" s="96"/>
      <c r="G430" s="96"/>
      <c r="H430" s="358">
        <v>50</v>
      </c>
      <c r="I430" s="358">
        <v>168</v>
      </c>
      <c r="J430" s="358">
        <v>202</v>
      </c>
      <c r="K430" s="358">
        <v>193</v>
      </c>
      <c r="L430" s="21"/>
    </row>
    <row r="431" spans="1:12" x14ac:dyDescent="0.25">
      <c r="A431" s="1776"/>
      <c r="B431" s="1678"/>
      <c r="C431" s="1111" t="s">
        <v>353</v>
      </c>
      <c r="D431" s="1112"/>
      <c r="E431" s="157"/>
      <c r="F431" s="157"/>
      <c r="G431" s="157"/>
      <c r="H431" s="157">
        <f>H430-H429</f>
        <v>3</v>
      </c>
      <c r="I431" s="157">
        <f>I430-I429</f>
        <v>-100</v>
      </c>
      <c r="J431" s="157">
        <f>J430-J429</f>
        <v>-127</v>
      </c>
      <c r="K431" s="157">
        <f>K430-K429</f>
        <v>-172</v>
      </c>
      <c r="L431" s="21"/>
    </row>
    <row r="432" spans="1:12" ht="16.5" thickBot="1" x14ac:dyDescent="0.3">
      <c r="A432" s="1776"/>
      <c r="B432" s="1678"/>
      <c r="C432" s="1125" t="s">
        <v>270</v>
      </c>
      <c r="D432" s="1126"/>
      <c r="E432" s="190"/>
      <c r="F432" s="190"/>
      <c r="G432" s="190"/>
      <c r="H432" s="285">
        <f>H430/H428*100</f>
        <v>51.546391752577314</v>
      </c>
      <c r="I432" s="34">
        <f>I430/I428*100</f>
        <v>38.532110091743121</v>
      </c>
      <c r="J432" s="34">
        <f>J430/J428*100</f>
        <v>38.041431261770242</v>
      </c>
      <c r="K432" s="34">
        <f>K430/K428*100</f>
        <v>34.587813620071685</v>
      </c>
      <c r="L432" s="22"/>
    </row>
    <row r="433" spans="1:12" x14ac:dyDescent="0.25">
      <c r="A433" s="1776"/>
      <c r="B433" s="1678"/>
      <c r="C433" s="1406" t="s">
        <v>484</v>
      </c>
      <c r="D433" s="1405"/>
      <c r="E433" s="225"/>
      <c r="F433" s="225"/>
      <c r="G433" s="225"/>
      <c r="H433" s="261">
        <v>0</v>
      </c>
      <c r="I433" s="261">
        <f>6/9*100</f>
        <v>66.666666666666657</v>
      </c>
      <c r="J433" s="261">
        <f>8/10*100</f>
        <v>80</v>
      </c>
      <c r="K433" s="315">
        <v>50</v>
      </c>
      <c r="L433" s="20"/>
    </row>
    <row r="434" spans="1:12" x14ac:dyDescent="0.25">
      <c r="A434" s="1776"/>
      <c r="B434" s="1678"/>
      <c r="C434" s="1111" t="s">
        <v>485</v>
      </c>
      <c r="D434" s="1112"/>
      <c r="E434" s="96"/>
      <c r="F434" s="96"/>
      <c r="G434" s="96"/>
      <c r="H434" s="235">
        <v>0</v>
      </c>
      <c r="I434" s="235">
        <f>1/9*100</f>
        <v>11.111111111111111</v>
      </c>
      <c r="J434" s="235">
        <v>0</v>
      </c>
      <c r="K434" s="237">
        <v>10</v>
      </c>
      <c r="L434" s="21"/>
    </row>
    <row r="435" spans="1:12" ht="16.5" thickBot="1" x14ac:dyDescent="0.3">
      <c r="A435" s="1777"/>
      <c r="B435" s="1679"/>
      <c r="C435" s="1359" t="s">
        <v>486</v>
      </c>
      <c r="D435" s="1225"/>
      <c r="E435" s="190"/>
      <c r="F435" s="190"/>
      <c r="G435" s="190"/>
      <c r="H435" s="904">
        <v>100</v>
      </c>
      <c r="I435" s="904">
        <f>2/9*100</f>
        <v>22.222222222222221</v>
      </c>
      <c r="J435" s="904">
        <f>2/10*100</f>
        <v>20</v>
      </c>
      <c r="K435" s="256">
        <v>40</v>
      </c>
      <c r="L435" s="22"/>
    </row>
    <row r="436" spans="1:12" ht="16.5" thickBot="1" x14ac:dyDescent="0.3">
      <c r="A436" s="338" t="s">
        <v>248</v>
      </c>
      <c r="B436" s="463" t="s">
        <v>249</v>
      </c>
      <c r="C436" s="1675"/>
      <c r="D436" s="1675"/>
      <c r="E436" s="112">
        <v>2005</v>
      </c>
      <c r="F436" s="112">
        <v>2010</v>
      </c>
      <c r="G436" s="112">
        <v>2015</v>
      </c>
      <c r="H436" s="112">
        <v>2020</v>
      </c>
      <c r="I436" s="112">
        <v>2021</v>
      </c>
      <c r="J436" s="112">
        <v>2022</v>
      </c>
      <c r="K436" s="112">
        <v>2023</v>
      </c>
      <c r="L436" s="112">
        <v>2024</v>
      </c>
    </row>
    <row r="437" spans="1:12" ht="15" customHeight="1" x14ac:dyDescent="0.25">
      <c r="A437" s="1735" t="s">
        <v>487</v>
      </c>
      <c r="B437" s="1692" t="s">
        <v>227</v>
      </c>
      <c r="C437" s="1390" t="s">
        <v>435</v>
      </c>
      <c r="D437" s="1390"/>
      <c r="E437" s="36"/>
      <c r="F437" s="36"/>
      <c r="G437" s="36"/>
      <c r="H437" s="36"/>
      <c r="I437" s="36"/>
      <c r="J437" s="36"/>
      <c r="K437" s="195">
        <v>756</v>
      </c>
      <c r="L437" s="325">
        <v>753</v>
      </c>
    </row>
    <row r="438" spans="1:12" x14ac:dyDescent="0.25">
      <c r="A438" s="1736"/>
      <c r="B438" s="1693"/>
      <c r="C438" s="1124" t="s">
        <v>533</v>
      </c>
      <c r="D438" s="1124"/>
      <c r="E438" s="28"/>
      <c r="F438" s="28"/>
      <c r="G438" s="28"/>
      <c r="H438" s="28"/>
      <c r="I438" s="28"/>
      <c r="J438" s="28"/>
      <c r="K438" s="28">
        <v>302</v>
      </c>
      <c r="L438" s="21">
        <v>297</v>
      </c>
    </row>
    <row r="439" spans="1:12" x14ac:dyDescent="0.25">
      <c r="A439" s="1736"/>
      <c r="B439" s="1693"/>
      <c r="C439" s="1124" t="s">
        <v>534</v>
      </c>
      <c r="D439" s="1124"/>
      <c r="E439" s="28"/>
      <c r="F439" s="28"/>
      <c r="G439" s="28"/>
      <c r="H439" s="28"/>
      <c r="I439" s="28"/>
      <c r="J439" s="28"/>
      <c r="K439" s="28">
        <v>454</v>
      </c>
      <c r="L439" s="21">
        <v>456</v>
      </c>
    </row>
    <row r="440" spans="1:12" x14ac:dyDescent="0.25">
      <c r="A440" s="1736"/>
      <c r="B440" s="1693"/>
      <c r="C440" s="1128" t="s">
        <v>353</v>
      </c>
      <c r="D440" s="1128"/>
      <c r="E440" s="28"/>
      <c r="F440" s="28"/>
      <c r="G440" s="28"/>
      <c r="H440" s="28"/>
      <c r="I440" s="28"/>
      <c r="J440" s="28"/>
      <c r="K440" s="262">
        <f t="shared" ref="K440" si="38">K439-K438</f>
        <v>152</v>
      </c>
      <c r="L440" s="317">
        <v>159</v>
      </c>
    </row>
    <row r="441" spans="1:12" ht="16.5" thickBot="1" x14ac:dyDescent="0.3">
      <c r="A441" s="1736"/>
      <c r="B441" s="1875"/>
      <c r="C441" s="1178" t="s">
        <v>270</v>
      </c>
      <c r="D441" s="1178"/>
      <c r="E441" s="441"/>
      <c r="F441" s="441"/>
      <c r="G441" s="441"/>
      <c r="H441" s="441"/>
      <c r="I441" s="441"/>
      <c r="J441" s="441"/>
      <c r="K441" s="165">
        <f t="shared" ref="K441" si="39">K439/K437*100</f>
        <v>60.052910052910057</v>
      </c>
      <c r="L441" s="166">
        <v>60.557768924302792</v>
      </c>
    </row>
    <row r="442" spans="1:12" x14ac:dyDescent="0.25">
      <c r="A442" s="1736"/>
      <c r="B442" s="1692" t="s">
        <v>488</v>
      </c>
      <c r="C442" s="1405" t="s">
        <v>489</v>
      </c>
      <c r="D442" s="1405"/>
      <c r="E442" s="36"/>
      <c r="F442" s="40">
        <v>88</v>
      </c>
      <c r="G442" s="40">
        <v>81</v>
      </c>
      <c r="H442" s="40">
        <v>113</v>
      </c>
      <c r="I442" s="36"/>
      <c r="J442" s="36"/>
      <c r="K442" s="40">
        <v>135</v>
      </c>
      <c r="L442" s="1072">
        <v>34</v>
      </c>
    </row>
    <row r="443" spans="1:12" x14ac:dyDescent="0.25">
      <c r="A443" s="1736"/>
      <c r="B443" s="1693"/>
      <c r="C443" s="1112" t="s">
        <v>490</v>
      </c>
      <c r="D443" s="1112"/>
      <c r="E443" s="96"/>
      <c r="F443" s="44">
        <v>4</v>
      </c>
      <c r="G443" s="44">
        <v>4</v>
      </c>
      <c r="H443" s="44">
        <v>5</v>
      </c>
      <c r="I443" s="28"/>
      <c r="J443" s="28"/>
      <c r="K443" s="44">
        <v>5</v>
      </c>
      <c r="L443" s="1072">
        <v>1</v>
      </c>
    </row>
    <row r="444" spans="1:12" x14ac:dyDescent="0.25">
      <c r="A444" s="1874"/>
      <c r="B444" s="1875"/>
      <c r="C444" s="1904" t="s">
        <v>491</v>
      </c>
      <c r="D444" s="1904"/>
      <c r="E444" s="110"/>
      <c r="F444" s="165">
        <f>F443/F442*100</f>
        <v>4.5454545454545459</v>
      </c>
      <c r="G444" s="165">
        <f t="shared" ref="G444:H444" si="40">G443/G442*100</f>
        <v>4.9382716049382713</v>
      </c>
      <c r="H444" s="165">
        <f t="shared" si="40"/>
        <v>4.4247787610619467</v>
      </c>
      <c r="I444" s="110"/>
      <c r="J444" s="110"/>
      <c r="K444" s="165">
        <f>K443/K442*100</f>
        <v>3.7037037037037033</v>
      </c>
      <c r="L444" s="859">
        <v>2.9411764705882351</v>
      </c>
    </row>
    <row r="445" spans="1:12" ht="16.5" thickBot="1" x14ac:dyDescent="0.3">
      <c r="A445" s="338" t="s">
        <v>248</v>
      </c>
      <c r="B445" s="824" t="s">
        <v>249</v>
      </c>
      <c r="C445" s="1433"/>
      <c r="D445" s="1433"/>
      <c r="E445" s="617">
        <v>2005</v>
      </c>
      <c r="F445" s="617">
        <v>2010</v>
      </c>
      <c r="G445" s="617">
        <v>2015</v>
      </c>
      <c r="H445" s="617">
        <v>2020</v>
      </c>
      <c r="I445" s="617">
        <v>2021</v>
      </c>
      <c r="J445" s="617">
        <v>2022</v>
      </c>
      <c r="K445" s="617">
        <v>2023</v>
      </c>
      <c r="L445" s="616">
        <v>2024</v>
      </c>
    </row>
    <row r="446" spans="1:12" ht="15" customHeight="1" x14ac:dyDescent="0.25">
      <c r="A446" s="1621" t="s">
        <v>492</v>
      </c>
      <c r="B446" s="1624" t="s">
        <v>493</v>
      </c>
      <c r="C446" s="1389" t="s">
        <v>459</v>
      </c>
      <c r="D446" s="1390"/>
      <c r="E446" s="36"/>
      <c r="F446" s="195">
        <v>758</v>
      </c>
      <c r="G446" s="195">
        <v>729</v>
      </c>
      <c r="H446" s="195">
        <v>971</v>
      </c>
      <c r="I446" s="195">
        <v>1385</v>
      </c>
      <c r="J446" s="195">
        <v>1490</v>
      </c>
      <c r="K446" s="195">
        <v>1784</v>
      </c>
      <c r="L446" s="195">
        <v>1691</v>
      </c>
    </row>
    <row r="447" spans="1:12" x14ac:dyDescent="0.25">
      <c r="A447" s="1622"/>
      <c r="B447" s="1625"/>
      <c r="C447" s="1160" t="s">
        <v>436</v>
      </c>
      <c r="D447" s="28" t="s">
        <v>494</v>
      </c>
      <c r="E447" s="28"/>
      <c r="F447" s="96">
        <v>318</v>
      </c>
      <c r="G447" s="96">
        <v>313</v>
      </c>
      <c r="H447" s="96">
        <v>497</v>
      </c>
      <c r="I447" s="96">
        <v>712</v>
      </c>
      <c r="J447" s="96">
        <v>754</v>
      </c>
      <c r="K447" s="96">
        <v>911</v>
      </c>
      <c r="L447" s="21">
        <v>833</v>
      </c>
    </row>
    <row r="448" spans="1:12" x14ac:dyDescent="0.25">
      <c r="A448" s="1622"/>
      <c r="B448" s="1625"/>
      <c r="C448" s="1160"/>
      <c r="D448" s="28" t="s">
        <v>495</v>
      </c>
      <c r="E448" s="28"/>
      <c r="F448" s="96">
        <v>88</v>
      </c>
      <c r="G448" s="96">
        <v>73</v>
      </c>
      <c r="H448" s="96">
        <v>75</v>
      </c>
      <c r="I448" s="96">
        <v>100</v>
      </c>
      <c r="J448" s="96">
        <v>86</v>
      </c>
      <c r="K448" s="96">
        <v>112</v>
      </c>
      <c r="L448" s="21">
        <v>127</v>
      </c>
    </row>
    <row r="449" spans="1:12" x14ac:dyDescent="0.25">
      <c r="A449" s="1622"/>
      <c r="B449" s="1625"/>
      <c r="C449" s="1160" t="s">
        <v>437</v>
      </c>
      <c r="D449" s="28" t="s">
        <v>496</v>
      </c>
      <c r="E449" s="28"/>
      <c r="F449" s="96">
        <v>74</v>
      </c>
      <c r="G449" s="96">
        <v>80</v>
      </c>
      <c r="H449" s="96">
        <v>139</v>
      </c>
      <c r="I449" s="96">
        <v>198</v>
      </c>
      <c r="J449" s="96">
        <v>238</v>
      </c>
      <c r="K449" s="96">
        <v>274</v>
      </c>
      <c r="L449" s="21">
        <v>259</v>
      </c>
    </row>
    <row r="450" spans="1:12" ht="16.5" thickBot="1" x14ac:dyDescent="0.3">
      <c r="A450" s="1622"/>
      <c r="B450" s="1625"/>
      <c r="C450" s="1519"/>
      <c r="D450" s="110" t="s">
        <v>497</v>
      </c>
      <c r="E450" s="110"/>
      <c r="F450" s="360">
        <v>107</v>
      </c>
      <c r="G450" s="360">
        <v>93</v>
      </c>
      <c r="H450" s="360">
        <v>75</v>
      </c>
      <c r="I450" s="360">
        <v>120</v>
      </c>
      <c r="J450" s="360">
        <v>121</v>
      </c>
      <c r="K450" s="360">
        <v>149</v>
      </c>
      <c r="L450" s="53">
        <v>138</v>
      </c>
    </row>
    <row r="451" spans="1:12" x14ac:dyDescent="0.25">
      <c r="A451" s="1622"/>
      <c r="B451" s="1625"/>
      <c r="C451" s="1263" t="s">
        <v>353</v>
      </c>
      <c r="D451" s="40" t="s">
        <v>498</v>
      </c>
      <c r="E451" s="40"/>
      <c r="F451" s="81">
        <f t="shared" ref="F451:L451" si="41">+F449-F447</f>
        <v>-244</v>
      </c>
      <c r="G451" s="81">
        <f t="shared" si="41"/>
        <v>-233</v>
      </c>
      <c r="H451" s="81">
        <f t="shared" si="41"/>
        <v>-358</v>
      </c>
      <c r="I451" s="81">
        <f t="shared" si="41"/>
        <v>-514</v>
      </c>
      <c r="J451" s="81">
        <f t="shared" si="41"/>
        <v>-516</v>
      </c>
      <c r="K451" s="81">
        <f t="shared" si="41"/>
        <v>-637</v>
      </c>
      <c r="L451" s="81">
        <f t="shared" si="41"/>
        <v>-574</v>
      </c>
    </row>
    <row r="452" spans="1:12" x14ac:dyDescent="0.25">
      <c r="A452" s="1622"/>
      <c r="B452" s="1625"/>
      <c r="C452" s="1256"/>
      <c r="D452" s="44" t="s">
        <v>499</v>
      </c>
      <c r="E452" s="44"/>
      <c r="F452" s="79">
        <f t="shared" ref="F452:L452" si="42">F450-F448</f>
        <v>19</v>
      </c>
      <c r="G452" s="79">
        <f t="shared" si="42"/>
        <v>20</v>
      </c>
      <c r="H452" s="79">
        <f t="shared" si="42"/>
        <v>0</v>
      </c>
      <c r="I452" s="79">
        <f t="shared" si="42"/>
        <v>20</v>
      </c>
      <c r="J452" s="79">
        <f t="shared" si="42"/>
        <v>35</v>
      </c>
      <c r="K452" s="79">
        <f t="shared" si="42"/>
        <v>37</v>
      </c>
      <c r="L452" s="79">
        <f t="shared" si="42"/>
        <v>11</v>
      </c>
    </row>
    <row r="453" spans="1:12" ht="16.5" customHeight="1" x14ac:dyDescent="0.25">
      <c r="A453" s="1622"/>
      <c r="B453" s="1625"/>
      <c r="C453" s="1256" t="s">
        <v>270</v>
      </c>
      <c r="D453" s="44" t="s">
        <v>500</v>
      </c>
      <c r="E453" s="44"/>
      <c r="F453" s="263">
        <f>+F449/(F449+F447)*100</f>
        <v>18.877551020408163</v>
      </c>
      <c r="G453" s="263">
        <f t="shared" ref="G453:L454" si="43">+G449/(G449+G447)*100</f>
        <v>20.356234096692109</v>
      </c>
      <c r="H453" s="263">
        <f t="shared" si="43"/>
        <v>21.855345911949687</v>
      </c>
      <c r="I453" s="263">
        <f t="shared" si="43"/>
        <v>21.758241758241759</v>
      </c>
      <c r="J453" s="263">
        <f t="shared" si="43"/>
        <v>23.991935483870968</v>
      </c>
      <c r="K453" s="263">
        <f t="shared" si="43"/>
        <v>23.122362869198312</v>
      </c>
      <c r="L453" s="263">
        <f t="shared" si="43"/>
        <v>23.717948717948715</v>
      </c>
    </row>
    <row r="454" spans="1:12" ht="16.5" thickBot="1" x14ac:dyDescent="0.3">
      <c r="A454" s="1623"/>
      <c r="B454" s="1626"/>
      <c r="C454" s="1257"/>
      <c r="D454" s="203" t="s">
        <v>501</v>
      </c>
      <c r="E454" s="203"/>
      <c r="F454" s="230">
        <f>+F450/(F450+F448)*100</f>
        <v>54.871794871794876</v>
      </c>
      <c r="G454" s="230">
        <f t="shared" si="43"/>
        <v>56.024096385542165</v>
      </c>
      <c r="H454" s="230">
        <f t="shared" si="43"/>
        <v>50</v>
      </c>
      <c r="I454" s="230">
        <f t="shared" si="43"/>
        <v>54.54545454545454</v>
      </c>
      <c r="J454" s="230">
        <f t="shared" si="43"/>
        <v>58.454106280193244</v>
      </c>
      <c r="K454" s="230">
        <f t="shared" si="43"/>
        <v>57.088122605363992</v>
      </c>
      <c r="L454" s="230">
        <f t="shared" si="43"/>
        <v>52.075471698113205</v>
      </c>
    </row>
  </sheetData>
  <mergeCells count="224">
    <mergeCell ref="C440:D440"/>
    <mergeCell ref="C453:C454"/>
    <mergeCell ref="B446:B454"/>
    <mergeCell ref="A446:A454"/>
    <mergeCell ref="B428:B435"/>
    <mergeCell ref="C428:D428"/>
    <mergeCell ref="C429:D429"/>
    <mergeCell ref="C430:D430"/>
    <mergeCell ref="C427:D427"/>
    <mergeCell ref="C432:D432"/>
    <mergeCell ref="C433:D433"/>
    <mergeCell ref="C434:D434"/>
    <mergeCell ref="C435:D435"/>
    <mergeCell ref="C447:C448"/>
    <mergeCell ref="C449:C450"/>
    <mergeCell ref="C451:C452"/>
    <mergeCell ref="C443:D443"/>
    <mergeCell ref="C404:C407"/>
    <mergeCell ref="C408:C411"/>
    <mergeCell ref="C396:C398"/>
    <mergeCell ref="C375:D375"/>
    <mergeCell ref="C400:D400"/>
    <mergeCell ref="C401:D401"/>
    <mergeCell ref="C402:D402"/>
    <mergeCell ref="C403:D403"/>
    <mergeCell ref="B362:B370"/>
    <mergeCell ref="C362:C364"/>
    <mergeCell ref="C365:C367"/>
    <mergeCell ref="C368:D368"/>
    <mergeCell ref="C369:D369"/>
    <mergeCell ref="C370:D370"/>
    <mergeCell ref="C372:D372"/>
    <mergeCell ref="C373:D373"/>
    <mergeCell ref="C374:D374"/>
    <mergeCell ref="C392:C395"/>
    <mergeCell ref="C371:D371"/>
    <mergeCell ref="A351:A360"/>
    <mergeCell ref="B351:B360"/>
    <mergeCell ref="C354:C356"/>
    <mergeCell ref="C361:D361"/>
    <mergeCell ref="C445:D445"/>
    <mergeCell ref="C446:D446"/>
    <mergeCell ref="C436:D436"/>
    <mergeCell ref="A437:A444"/>
    <mergeCell ref="B437:B441"/>
    <mergeCell ref="C437:D437"/>
    <mergeCell ref="C438:D438"/>
    <mergeCell ref="C439:D439"/>
    <mergeCell ref="C441:D441"/>
    <mergeCell ref="B442:B444"/>
    <mergeCell ref="C442:D442"/>
    <mergeCell ref="C444:D444"/>
    <mergeCell ref="C420:C423"/>
    <mergeCell ref="C399:D399"/>
    <mergeCell ref="A362:A435"/>
    <mergeCell ref="C424:C426"/>
    <mergeCell ref="B372:B398"/>
    <mergeCell ref="B400:B426"/>
    <mergeCell ref="C358:D358"/>
    <mergeCell ref="C359:D359"/>
    <mergeCell ref="A317:A340"/>
    <mergeCell ref="B317:B321"/>
    <mergeCell ref="C317:D317"/>
    <mergeCell ref="C318:D318"/>
    <mergeCell ref="C319:D319"/>
    <mergeCell ref="C320:D320"/>
    <mergeCell ref="C321:D321"/>
    <mergeCell ref="C322:D322"/>
    <mergeCell ref="C323:D323"/>
    <mergeCell ref="C325:D325"/>
    <mergeCell ref="C331:C335"/>
    <mergeCell ref="B336:B340"/>
    <mergeCell ref="C336:D336"/>
    <mergeCell ref="C337:D337"/>
    <mergeCell ref="C338:D338"/>
    <mergeCell ref="C339:D339"/>
    <mergeCell ref="C340:D340"/>
    <mergeCell ref="B322:B325"/>
    <mergeCell ref="A342:A349"/>
    <mergeCell ref="B342:B345"/>
    <mergeCell ref="C342:D342"/>
    <mergeCell ref="C343:D343"/>
    <mergeCell ref="C344:D344"/>
    <mergeCell ref="C345:D345"/>
    <mergeCell ref="B346:B349"/>
    <mergeCell ref="C346:D346"/>
    <mergeCell ref="C347:D347"/>
    <mergeCell ref="C348:D348"/>
    <mergeCell ref="C349:D349"/>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 ref="C357:D357"/>
    <mergeCell ref="C341:D341"/>
    <mergeCell ref="B326:B335"/>
    <mergeCell ref="C431:D431"/>
    <mergeCell ref="C293:C296"/>
    <mergeCell ref="C297:C300"/>
    <mergeCell ref="C301:C304"/>
    <mergeCell ref="C305:C308"/>
    <mergeCell ref="C309:C312"/>
    <mergeCell ref="C313:D313"/>
    <mergeCell ref="C314:D314"/>
    <mergeCell ref="C315:D315"/>
    <mergeCell ref="C324:D324"/>
    <mergeCell ref="C316:D316"/>
    <mergeCell ref="C326:C330"/>
    <mergeCell ref="C350:D350"/>
    <mergeCell ref="C360:D360"/>
    <mergeCell ref="C351:C353"/>
    <mergeCell ref="C412:C415"/>
    <mergeCell ref="C416:C419"/>
    <mergeCell ref="C376:C379"/>
    <mergeCell ref="C380:C383"/>
    <mergeCell ref="C384:C387"/>
    <mergeCell ref="C388:C391"/>
  </mergeCells>
  <conditionalFormatting sqref="E50 G50:L50">
    <cfRule type="cellIs" dxfId="327" priority="137" operator="greaterThan">
      <formula>1</formula>
    </cfRule>
    <cfRule type="cellIs" dxfId="326" priority="136" operator="greaterThan">
      <formula>1</formula>
    </cfRule>
    <cfRule type="cellIs" dxfId="325" priority="139" operator="greaterThan">
      <formula>1</formula>
    </cfRule>
    <cfRule type="cellIs" dxfId="324" priority="135" operator="lessThan">
      <formula>1</formula>
    </cfRule>
    <cfRule type="cellIs" dxfId="323" priority="138" operator="lessThan">
      <formula>1</formula>
    </cfRule>
  </conditionalFormatting>
  <conditionalFormatting sqref="E51 G51:L51">
    <cfRule type="cellIs" dxfId="322" priority="147" operator="lessThan">
      <formula>50</formula>
    </cfRule>
    <cfRule type="cellIs" dxfId="321" priority="146" operator="greaterThan">
      <formula>50</formula>
    </cfRule>
  </conditionalFormatting>
  <conditionalFormatting sqref="E349:F349">
    <cfRule type="cellIs" dxfId="320" priority="186" operator="lessThan">
      <formula>0</formula>
    </cfRule>
    <cfRule type="cellIs" dxfId="319" priority="187" operator="greaterThan">
      <formula>0</formula>
    </cfRule>
  </conditionalFormatting>
  <conditionalFormatting sqref="E39:L39">
    <cfRule type="cellIs" dxfId="318" priority="165" operator="lessThan">
      <formula>1</formula>
    </cfRule>
    <cfRule type="cellIs" dxfId="317" priority="164" operator="greaterThan">
      <formula>1</formula>
    </cfRule>
    <cfRule type="cellIs" dxfId="316" priority="163" operator="greaterThan">
      <formula>1</formula>
    </cfRule>
    <cfRule type="cellIs" dxfId="315" priority="166" operator="greaterThan">
      <formula>1</formula>
    </cfRule>
  </conditionalFormatting>
  <conditionalFormatting sqref="E40:L40">
    <cfRule type="cellIs" dxfId="314" priority="167" operator="lessThan">
      <formula>50</formula>
    </cfRule>
    <cfRule type="cellIs" dxfId="313" priority="162" operator="greaterThan">
      <formula>50</formula>
    </cfRule>
    <cfRule type="cellIs" dxfId="312" priority="168" operator="greaterThan">
      <formula>50</formula>
    </cfRule>
  </conditionalFormatting>
  <conditionalFormatting sqref="E44:L44">
    <cfRule type="cellIs" dxfId="311" priority="161" operator="greaterThan">
      <formula>1</formula>
    </cfRule>
    <cfRule type="cellIs" dxfId="310" priority="160" operator="lessThan">
      <formula>1</formula>
    </cfRule>
    <cfRule type="cellIs" dxfId="309" priority="159" operator="greaterThan">
      <formula>1</formula>
    </cfRule>
    <cfRule type="cellIs" dxfId="308" priority="158" operator="greaterThan">
      <formula>1</formula>
    </cfRule>
  </conditionalFormatting>
  <conditionalFormatting sqref="E45:L45">
    <cfRule type="cellIs" dxfId="307" priority="156" operator="lessThan">
      <formula>50</formula>
    </cfRule>
    <cfRule type="cellIs" dxfId="306" priority="155" operator="greaterThan">
      <formula>50</formula>
    </cfRule>
    <cfRule type="cellIs" dxfId="305" priority="157" operator="greaterThan">
      <formula>50</formula>
    </cfRule>
  </conditionalFormatting>
  <conditionalFormatting sqref="F313">
    <cfRule type="cellIs" dxfId="304" priority="280" operator="greaterThan">
      <formula>50</formula>
    </cfRule>
    <cfRule type="cellIs" dxfId="303" priority="282" operator="lessThan">
      <formula>50</formula>
    </cfRule>
  </conditionalFormatting>
  <conditionalFormatting sqref="F314">
    <cfRule type="cellIs" dxfId="302" priority="275" operator="lessThan">
      <formula>30</formula>
    </cfRule>
    <cfRule type="cellIs" dxfId="301" priority="278" operator="greaterThan">
      <formula>20</formula>
    </cfRule>
  </conditionalFormatting>
  <conditionalFormatting sqref="F370:K370">
    <cfRule type="cellIs" dxfId="300" priority="20" operator="lessThan">
      <formula>0</formula>
    </cfRule>
  </conditionalFormatting>
  <conditionalFormatting sqref="F320:L321">
    <cfRule type="cellIs" dxfId="299" priority="55" operator="lessThan">
      <formula>1</formula>
    </cfRule>
  </conditionalFormatting>
  <conditionalFormatting sqref="F451:L451">
    <cfRule type="cellIs" dxfId="298" priority="12" operator="lessThan">
      <formula>0</formula>
    </cfRule>
  </conditionalFormatting>
  <conditionalFormatting sqref="F452:L454">
    <cfRule type="cellIs" dxfId="297" priority="10" operator="greaterThan">
      <formula>0</formula>
    </cfRule>
  </conditionalFormatting>
  <conditionalFormatting sqref="F454:L454">
    <cfRule type="cellIs" dxfId="296" priority="14" operator="greaterThan">
      <formula>0</formula>
    </cfRule>
    <cfRule type="cellIs" dxfId="295" priority="15" operator="lessThan">
      <formula>0</formula>
    </cfRule>
  </conditionalFormatting>
  <conditionalFormatting sqref="G360">
    <cfRule type="cellIs" dxfId="294" priority="22" operator="greaterThan">
      <formula>0</formula>
    </cfRule>
    <cfRule type="cellIs" dxfId="293" priority="21" operator="lessThan">
      <formula>0</formula>
    </cfRule>
  </conditionalFormatting>
  <conditionalFormatting sqref="G325:L325">
    <cfRule type="cellIs" dxfId="292" priority="61" operator="lessThan">
      <formula>1</formula>
    </cfRule>
    <cfRule type="cellIs" dxfId="291" priority="60" operator="greaterThan">
      <formula>0</formula>
    </cfRule>
  </conditionalFormatting>
  <conditionalFormatting sqref="H431:J431">
    <cfRule type="cellIs" dxfId="290" priority="3" operator="greaterThan">
      <formula>0</formula>
    </cfRule>
  </conditionalFormatting>
  <conditionalFormatting sqref="H59:K59">
    <cfRule type="cellIs" dxfId="289" priority="142" operator="greaterThan">
      <formula>0</formula>
    </cfRule>
  </conditionalFormatting>
  <conditionalFormatting sqref="H60:K60">
    <cfRule type="cellIs" dxfId="288" priority="140" operator="lessThan">
      <formula>50</formula>
    </cfRule>
    <cfRule type="cellIs" dxfId="287" priority="141" operator="greaterThan">
      <formula>50</formula>
    </cfRule>
    <cfRule type="cellIs" dxfId="286" priority="143" operator="lessThan">
      <formula>50</formula>
    </cfRule>
    <cfRule type="cellIs" dxfId="285" priority="144" operator="greaterThan">
      <formula>50</formula>
    </cfRule>
  </conditionalFormatting>
  <conditionalFormatting sqref="H339:K339">
    <cfRule type="cellIs" dxfId="284" priority="63" operator="lessThan">
      <formula>0</formula>
    </cfRule>
    <cfRule type="cellIs" dxfId="283" priority="67" operator="greaterThan">
      <formula>0</formula>
    </cfRule>
    <cfRule type="cellIs" dxfId="282" priority="68" operator="lessThan">
      <formula>0</formula>
    </cfRule>
    <cfRule type="cellIs" dxfId="281" priority="69" operator="greaterThan">
      <formula>0</formula>
    </cfRule>
  </conditionalFormatting>
  <conditionalFormatting sqref="H340:K340">
    <cfRule type="cellIs" dxfId="280" priority="44" operator="greaterThan">
      <formula>50</formula>
    </cfRule>
    <cfRule type="cellIs" dxfId="279" priority="62" operator="lessThan">
      <formula>50</formula>
    </cfRule>
    <cfRule type="cellIs" dxfId="278" priority="66" operator="greaterThan">
      <formula>50</formula>
    </cfRule>
  </conditionalFormatting>
  <conditionalFormatting sqref="H431:K431">
    <cfRule type="cellIs" dxfId="277" priority="2" operator="lessThan">
      <formula>0</formula>
    </cfRule>
  </conditionalFormatting>
  <conditionalFormatting sqref="H55:L55">
    <cfRule type="cellIs" dxfId="276" priority="145" operator="greaterThan">
      <formula>0</formula>
    </cfRule>
  </conditionalFormatting>
  <conditionalFormatting sqref="I313">
    <cfRule type="cellIs" dxfId="275" priority="279" operator="greaterThan">
      <formula>50</formula>
    </cfRule>
  </conditionalFormatting>
  <conditionalFormatting sqref="I314">
    <cfRule type="cellIs" dxfId="274" priority="273" operator="lessThan">
      <formula>30</formula>
    </cfRule>
    <cfRule type="cellIs" dxfId="273" priority="274" operator="greaterThan">
      <formula>20</formula>
    </cfRule>
  </conditionalFormatting>
  <conditionalFormatting sqref="I432:K432">
    <cfRule type="cellIs" dxfId="272" priority="1" operator="lessThan">
      <formula>50</formula>
    </cfRule>
  </conditionalFormatting>
  <conditionalFormatting sqref="I329:L329">
    <cfRule type="cellIs" dxfId="271" priority="57" operator="lessThan">
      <formula>0</formula>
    </cfRule>
    <cfRule type="cellIs" dxfId="270" priority="50" operator="greaterThan">
      <formula>0</formula>
    </cfRule>
  </conditionalFormatting>
  <conditionalFormatting sqref="I330:L330">
    <cfRule type="cellIs" dxfId="269" priority="49" operator="greaterThan">
      <formula>50</formula>
    </cfRule>
    <cfRule type="cellIs" dxfId="268" priority="58" operator="lessThan">
      <formula>50</formula>
    </cfRule>
    <cfRule type="cellIs" dxfId="267" priority="56" operator="greaterThan">
      <formula>50</formula>
    </cfRule>
  </conditionalFormatting>
  <conditionalFormatting sqref="I334:L334">
    <cfRule type="cellIs" dxfId="266" priority="47" operator="greaterThan">
      <formula>0</formula>
    </cfRule>
    <cfRule type="cellIs" dxfId="265" priority="64" operator="greaterThan">
      <formula>0</formula>
    </cfRule>
    <cfRule type="cellIs" dxfId="264" priority="65" operator="lessThan">
      <formula>1</formula>
    </cfRule>
  </conditionalFormatting>
  <conditionalFormatting sqref="I335:L335">
    <cfRule type="cellIs" dxfId="263" priority="45" operator="greaterThan">
      <formula>50</formula>
    </cfRule>
  </conditionalFormatting>
  <conditionalFormatting sqref="K441">
    <cfRule type="cellIs" dxfId="262" priority="9" operator="greaterThan">
      <formula>50</formula>
    </cfRule>
    <cfRule type="cellIs" dxfId="261" priority="8" operator="lessThan">
      <formula>50</formula>
    </cfRule>
    <cfRule type="cellIs" dxfId="260" priority="7" operator="lessThan">
      <formula>50</formula>
    </cfRule>
  </conditionalFormatting>
  <hyperlinks>
    <hyperlink ref="M1" location="INDICADORES!A1" display="INDICADORES" xr:uid="{1133F5FD-CB18-47AC-8CD5-AE639AD02083}"/>
    <hyperlink ref="O1" location="DISTRITOS!A1" display="DISTRITOS" xr:uid="{98FD1FFF-2F0C-490F-B44C-CC4A77337FAF}"/>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4EF5E-CF87-4DD8-ADA3-B315E94ED205}">
  <sheetPr codeName="Hoja21">
    <tabColor theme="8" tint="-0.249977111117893"/>
  </sheetPr>
  <dimension ref="A1:O458"/>
  <sheetViews>
    <sheetView showGridLines="0" topLeftCell="B1" zoomScale="70" zoomScaleNormal="70" workbookViewId="0">
      <pane ySplit="2" topLeftCell="A443" activePane="bottomLeft" state="frozen"/>
      <selection activeCell="C3" activeCellId="1" sqref="K60 C3:K3"/>
      <selection pane="bottomLeft" activeCell="L445" sqref="L445"/>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4.5703125" style="11" customWidth="1"/>
    <col min="14" max="14" width="8" style="11" customWidth="1"/>
    <col min="15" max="15" width="14.5703125" style="11" customWidth="1"/>
    <col min="16" max="16384" width="11.42578125" style="11"/>
  </cols>
  <sheetData>
    <row r="1" spans="1:15" ht="30" customHeight="1" thickTop="1" thickBot="1" x14ac:dyDescent="0.3">
      <c r="A1" s="1020" t="s">
        <v>598</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row>
    <row r="3" spans="1:15" s="64" customFormat="1" x14ac:dyDescent="0.25">
      <c r="A3" s="1878" t="s">
        <v>26</v>
      </c>
      <c r="B3" s="1194" t="s">
        <v>568</v>
      </c>
      <c r="C3" s="1211" t="s">
        <v>251</v>
      </c>
      <c r="D3" s="1211"/>
      <c r="E3" s="81">
        <v>65842</v>
      </c>
      <c r="F3" s="81">
        <v>88201</v>
      </c>
      <c r="G3" s="81">
        <v>99636</v>
      </c>
      <c r="H3" s="81">
        <v>114512</v>
      </c>
      <c r="I3" s="81">
        <v>114733</v>
      </c>
      <c r="J3" s="81">
        <v>114817</v>
      </c>
      <c r="K3" s="81">
        <v>117501</v>
      </c>
      <c r="L3" s="82">
        <v>122337</v>
      </c>
    </row>
    <row r="4" spans="1:15" x14ac:dyDescent="0.25">
      <c r="A4" s="1817"/>
      <c r="B4" s="1195"/>
      <c r="C4" s="1213" t="s">
        <v>257</v>
      </c>
      <c r="D4" s="1213"/>
      <c r="E4" s="80">
        <v>32370</v>
      </c>
      <c r="F4" s="80">
        <v>43406</v>
      </c>
      <c r="G4" s="80">
        <v>48441</v>
      </c>
      <c r="H4" s="80">
        <v>55510</v>
      </c>
      <c r="I4" s="80">
        <v>55606</v>
      </c>
      <c r="J4" s="80">
        <v>55580</v>
      </c>
      <c r="K4" s="80">
        <v>56726</v>
      </c>
      <c r="L4" s="83">
        <v>59153</v>
      </c>
    </row>
    <row r="5" spans="1:15" x14ac:dyDescent="0.25">
      <c r="A5" s="1817"/>
      <c r="B5" s="1195"/>
      <c r="C5" s="1213" t="s">
        <v>263</v>
      </c>
      <c r="D5" s="1213"/>
      <c r="E5" s="80">
        <v>33472</v>
      </c>
      <c r="F5" s="80">
        <v>44795</v>
      </c>
      <c r="G5" s="80">
        <v>51195</v>
      </c>
      <c r="H5" s="80">
        <v>59002</v>
      </c>
      <c r="I5" s="80">
        <v>59127</v>
      </c>
      <c r="J5" s="80">
        <v>59237</v>
      </c>
      <c r="K5" s="80">
        <v>60775</v>
      </c>
      <c r="L5" s="83">
        <v>63184</v>
      </c>
    </row>
    <row r="6" spans="1:15" x14ac:dyDescent="0.25">
      <c r="A6" s="1817"/>
      <c r="B6" s="1196"/>
      <c r="C6" s="1215" t="s">
        <v>269</v>
      </c>
      <c r="D6" s="1215"/>
      <c r="E6" s="363">
        <f>+E5-E4</f>
        <v>1102</v>
      </c>
      <c r="F6" s="363">
        <f t="shared" ref="F6:L6" si="0">+F5-F4</f>
        <v>1389</v>
      </c>
      <c r="G6" s="363">
        <f t="shared" si="0"/>
        <v>2754</v>
      </c>
      <c r="H6" s="363">
        <f t="shared" si="0"/>
        <v>3492</v>
      </c>
      <c r="I6" s="363">
        <f t="shared" si="0"/>
        <v>3521</v>
      </c>
      <c r="J6" s="363">
        <f t="shared" si="0"/>
        <v>3657</v>
      </c>
      <c r="K6" s="363">
        <f t="shared" si="0"/>
        <v>4049</v>
      </c>
      <c r="L6" s="365">
        <f t="shared" si="0"/>
        <v>4031</v>
      </c>
    </row>
    <row r="7" spans="1:15" ht="16.5" thickBot="1" x14ac:dyDescent="0.3">
      <c r="A7" s="1817"/>
      <c r="B7" s="1197"/>
      <c r="C7" s="1126" t="s">
        <v>270</v>
      </c>
      <c r="D7" s="1126"/>
      <c r="E7" s="366">
        <f>E5/E3*100</f>
        <v>50.836851857476994</v>
      </c>
      <c r="F7" s="366">
        <f t="shared" ref="F7:L7" si="1">F5/F3*100</f>
        <v>50.787406038480285</v>
      </c>
      <c r="G7" s="366">
        <f t="shared" si="1"/>
        <v>51.382030591352525</v>
      </c>
      <c r="H7" s="366">
        <f t="shared" si="1"/>
        <v>51.524731032555536</v>
      </c>
      <c r="I7" s="366">
        <f t="shared" si="1"/>
        <v>51.534432116304806</v>
      </c>
      <c r="J7" s="366">
        <f t="shared" si="1"/>
        <v>51.592534206607034</v>
      </c>
      <c r="K7" s="366">
        <f t="shared" si="1"/>
        <v>51.72296405988034</v>
      </c>
      <c r="L7" s="367">
        <f t="shared" si="1"/>
        <v>51.647498303865547</v>
      </c>
    </row>
    <row r="8" spans="1:15" x14ac:dyDescent="0.25">
      <c r="A8" s="1783"/>
      <c r="B8" s="1896" t="s">
        <v>569</v>
      </c>
      <c r="C8" s="1300" t="s">
        <v>257</v>
      </c>
      <c r="D8" s="168" t="s">
        <v>272</v>
      </c>
      <c r="E8" s="81">
        <v>32365</v>
      </c>
      <c r="F8" s="81">
        <v>43406</v>
      </c>
      <c r="G8" s="81">
        <v>48441</v>
      </c>
      <c r="H8" s="81">
        <v>55510</v>
      </c>
      <c r="I8" s="81">
        <v>55606</v>
      </c>
      <c r="J8" s="81">
        <v>55580</v>
      </c>
      <c r="K8" s="81">
        <v>56726</v>
      </c>
      <c r="L8" s="82">
        <v>59153</v>
      </c>
    </row>
    <row r="9" spans="1:15" x14ac:dyDescent="0.25">
      <c r="A9" s="1783"/>
      <c r="B9" s="1760"/>
      <c r="C9" s="1301"/>
      <c r="D9" s="164" t="s">
        <v>275</v>
      </c>
      <c r="E9" s="80">
        <v>5798</v>
      </c>
      <c r="F9" s="80">
        <v>8117</v>
      </c>
      <c r="G9" s="80">
        <v>9825</v>
      </c>
      <c r="H9" s="80">
        <v>11306</v>
      </c>
      <c r="I9" s="80">
        <v>11247</v>
      </c>
      <c r="J9" s="80">
        <v>11098</v>
      </c>
      <c r="K9" s="80">
        <v>11005</v>
      </c>
      <c r="L9" s="83">
        <v>10453</v>
      </c>
    </row>
    <row r="10" spans="1:15" x14ac:dyDescent="0.25">
      <c r="A10" s="1783"/>
      <c r="B10" s="1760"/>
      <c r="C10" s="1301"/>
      <c r="D10" s="164" t="s">
        <v>282</v>
      </c>
      <c r="E10" s="80">
        <v>23178</v>
      </c>
      <c r="F10" s="80">
        <v>31272</v>
      </c>
      <c r="G10" s="80">
        <v>33661</v>
      </c>
      <c r="H10" s="80">
        <v>38163</v>
      </c>
      <c r="I10" s="80">
        <v>38341</v>
      </c>
      <c r="J10" s="80">
        <v>38288</v>
      </c>
      <c r="K10" s="80">
        <v>39232</v>
      </c>
      <c r="L10" s="83">
        <v>41838</v>
      </c>
    </row>
    <row r="11" spans="1:15" x14ac:dyDescent="0.25">
      <c r="A11" s="1783"/>
      <c r="B11" s="1760"/>
      <c r="C11" s="1301"/>
      <c r="D11" s="164" t="s">
        <v>288</v>
      </c>
      <c r="E11" s="80">
        <v>3389</v>
      </c>
      <c r="F11" s="80">
        <v>4017</v>
      </c>
      <c r="G11" s="80">
        <v>4955</v>
      </c>
      <c r="H11" s="80">
        <v>6041</v>
      </c>
      <c r="I11" s="80">
        <v>6018</v>
      </c>
      <c r="J11" s="80">
        <v>6194</v>
      </c>
      <c r="K11" s="80">
        <v>6489</v>
      </c>
      <c r="L11" s="83">
        <v>6862</v>
      </c>
    </row>
    <row r="12" spans="1:15" x14ac:dyDescent="0.25">
      <c r="A12" s="1783"/>
      <c r="B12" s="1760"/>
      <c r="C12" s="1301"/>
      <c r="D12" s="164" t="s">
        <v>295</v>
      </c>
      <c r="E12" s="80">
        <v>539</v>
      </c>
      <c r="F12" s="80">
        <v>812</v>
      </c>
      <c r="G12" s="80">
        <v>1177</v>
      </c>
      <c r="H12" s="80">
        <v>1464</v>
      </c>
      <c r="I12" s="80">
        <v>1423</v>
      </c>
      <c r="J12" s="80">
        <v>1414</v>
      </c>
      <c r="K12" s="80">
        <v>1471</v>
      </c>
      <c r="L12" s="83">
        <v>1556</v>
      </c>
    </row>
    <row r="13" spans="1:15" ht="16.5" thickBot="1" x14ac:dyDescent="0.3">
      <c r="A13" s="1783"/>
      <c r="B13" s="1760"/>
      <c r="C13" s="1302"/>
      <c r="D13" s="169" t="s">
        <v>296</v>
      </c>
      <c r="E13" s="267">
        <v>0</v>
      </c>
      <c r="F13" s="267">
        <v>0</v>
      </c>
      <c r="G13" s="267">
        <v>0</v>
      </c>
      <c r="H13" s="267">
        <v>0</v>
      </c>
      <c r="I13" s="267">
        <v>0</v>
      </c>
      <c r="J13" s="267">
        <v>0</v>
      </c>
      <c r="K13" s="267">
        <v>0</v>
      </c>
      <c r="L13" s="268">
        <v>0</v>
      </c>
    </row>
    <row r="14" spans="1:15" x14ac:dyDescent="0.25">
      <c r="A14" s="1783"/>
      <c r="B14" s="1760"/>
      <c r="C14" s="1300" t="s">
        <v>263</v>
      </c>
      <c r="D14" s="168" t="s">
        <v>272</v>
      </c>
      <c r="E14" s="81">
        <v>33467</v>
      </c>
      <c r="F14" s="81">
        <v>44795</v>
      </c>
      <c r="G14" s="81">
        <v>51195</v>
      </c>
      <c r="H14" s="81">
        <v>59002</v>
      </c>
      <c r="I14" s="81">
        <v>59127</v>
      </c>
      <c r="J14" s="81">
        <v>59237</v>
      </c>
      <c r="K14" s="81">
        <v>60775</v>
      </c>
      <c r="L14" s="82">
        <v>63184</v>
      </c>
    </row>
    <row r="15" spans="1:15" x14ac:dyDescent="0.25">
      <c r="A15" s="1783"/>
      <c r="B15" s="1760"/>
      <c r="C15" s="1301"/>
      <c r="D15" s="164" t="s">
        <v>275</v>
      </c>
      <c r="E15" s="80">
        <v>5282</v>
      </c>
      <c r="F15" s="80">
        <v>7425</v>
      </c>
      <c r="G15" s="80">
        <v>9175</v>
      </c>
      <c r="H15" s="80">
        <v>10508</v>
      </c>
      <c r="I15" s="80">
        <v>10444</v>
      </c>
      <c r="J15" s="80">
        <v>10350</v>
      </c>
      <c r="K15" s="80">
        <v>10429</v>
      </c>
      <c r="L15" s="83">
        <v>9929</v>
      </c>
    </row>
    <row r="16" spans="1:15" x14ac:dyDescent="0.25">
      <c r="A16" s="1783"/>
      <c r="B16" s="1760"/>
      <c r="C16" s="1301"/>
      <c r="D16" s="164" t="s">
        <v>282</v>
      </c>
      <c r="E16" s="80">
        <v>23364</v>
      </c>
      <c r="F16" s="80">
        <v>31610</v>
      </c>
      <c r="G16" s="80">
        <v>35091</v>
      </c>
      <c r="H16" s="80">
        <v>40129</v>
      </c>
      <c r="I16" s="80">
        <v>40175</v>
      </c>
      <c r="J16" s="80">
        <v>40091</v>
      </c>
      <c r="K16" s="80">
        <v>41268</v>
      </c>
      <c r="L16" s="83">
        <v>43655</v>
      </c>
    </row>
    <row r="17" spans="1:13" x14ac:dyDescent="0.25">
      <c r="A17" s="1783"/>
      <c r="B17" s="1760"/>
      <c r="C17" s="1301"/>
      <c r="D17" s="164" t="s">
        <v>288</v>
      </c>
      <c r="E17" s="80">
        <v>4821</v>
      </c>
      <c r="F17" s="80">
        <v>5760</v>
      </c>
      <c r="G17" s="80">
        <v>6929</v>
      </c>
      <c r="H17" s="80">
        <v>8365</v>
      </c>
      <c r="I17" s="80">
        <v>8508</v>
      </c>
      <c r="J17" s="80">
        <v>8796</v>
      </c>
      <c r="K17" s="80">
        <v>9078</v>
      </c>
      <c r="L17" s="83">
        <v>9600</v>
      </c>
    </row>
    <row r="18" spans="1:13" x14ac:dyDescent="0.25">
      <c r="A18" s="1783"/>
      <c r="B18" s="1760"/>
      <c r="C18" s="1301"/>
      <c r="D18" s="164" t="s">
        <v>295</v>
      </c>
      <c r="E18" s="80">
        <v>1191</v>
      </c>
      <c r="F18" s="80">
        <v>1627</v>
      </c>
      <c r="G18" s="80">
        <v>2273</v>
      </c>
      <c r="H18" s="80">
        <v>2675</v>
      </c>
      <c r="I18" s="80">
        <v>2660</v>
      </c>
      <c r="J18" s="80">
        <v>2650</v>
      </c>
      <c r="K18" s="80">
        <v>2706</v>
      </c>
      <c r="L18" s="83">
        <v>2830</v>
      </c>
    </row>
    <row r="19" spans="1:13" ht="16.5" thickBot="1" x14ac:dyDescent="0.3">
      <c r="A19" s="1783"/>
      <c r="B19" s="1760"/>
      <c r="C19" s="1302"/>
      <c r="D19" s="169" t="s">
        <v>296</v>
      </c>
      <c r="E19" s="267">
        <v>0</v>
      </c>
      <c r="F19" s="267">
        <v>0</v>
      </c>
      <c r="G19" s="267">
        <v>0</v>
      </c>
      <c r="H19" s="267">
        <v>0</v>
      </c>
      <c r="I19" s="267">
        <v>0</v>
      </c>
      <c r="J19" s="267">
        <v>0</v>
      </c>
      <c r="K19" s="267">
        <v>0</v>
      </c>
      <c r="L19" s="268">
        <v>0</v>
      </c>
    </row>
    <row r="20" spans="1:13" x14ac:dyDescent="0.25">
      <c r="A20" s="1783"/>
      <c r="B20" s="1760"/>
      <c r="C20" s="1306" t="s">
        <v>269</v>
      </c>
      <c r="D20" s="535" t="s">
        <v>272</v>
      </c>
      <c r="E20" s="375">
        <f>E14-E8</f>
        <v>1102</v>
      </c>
      <c r="F20" s="375">
        <f t="shared" ref="F20:L20" si="2">F14-F8</f>
        <v>1389</v>
      </c>
      <c r="G20" s="375">
        <f t="shared" si="2"/>
        <v>2754</v>
      </c>
      <c r="H20" s="375">
        <f t="shared" si="2"/>
        <v>3492</v>
      </c>
      <c r="I20" s="375">
        <f t="shared" si="2"/>
        <v>3521</v>
      </c>
      <c r="J20" s="375">
        <f t="shared" si="2"/>
        <v>3657</v>
      </c>
      <c r="K20" s="375">
        <f t="shared" si="2"/>
        <v>4049</v>
      </c>
      <c r="L20" s="376">
        <f t="shared" si="2"/>
        <v>4031</v>
      </c>
    </row>
    <row r="21" spans="1:13" x14ac:dyDescent="0.25">
      <c r="A21" s="1783"/>
      <c r="B21" s="1760"/>
      <c r="C21" s="1307"/>
      <c r="D21" s="527" t="s">
        <v>275</v>
      </c>
      <c r="E21" s="157">
        <f t="shared" ref="E21:L24" si="3">E15-E9</f>
        <v>-516</v>
      </c>
      <c r="F21" s="157">
        <f t="shared" si="3"/>
        <v>-692</v>
      </c>
      <c r="G21" s="157">
        <f t="shared" si="3"/>
        <v>-650</v>
      </c>
      <c r="H21" s="157">
        <f t="shared" si="3"/>
        <v>-798</v>
      </c>
      <c r="I21" s="157">
        <f t="shared" si="3"/>
        <v>-803</v>
      </c>
      <c r="J21" s="157">
        <f t="shared" si="3"/>
        <v>-748</v>
      </c>
      <c r="K21" s="363">
        <f t="shared" si="3"/>
        <v>-576</v>
      </c>
      <c r="L21" s="365">
        <f t="shared" si="3"/>
        <v>-524</v>
      </c>
    </row>
    <row r="22" spans="1:13" x14ac:dyDescent="0.25">
      <c r="A22" s="1783"/>
      <c r="B22" s="1760"/>
      <c r="C22" s="1307"/>
      <c r="D22" s="527" t="s">
        <v>282</v>
      </c>
      <c r="E22" s="363">
        <f t="shared" si="3"/>
        <v>186</v>
      </c>
      <c r="F22" s="363">
        <f t="shared" si="3"/>
        <v>338</v>
      </c>
      <c r="G22" s="363">
        <f t="shared" si="3"/>
        <v>1430</v>
      </c>
      <c r="H22" s="363">
        <f t="shared" si="3"/>
        <v>1966</v>
      </c>
      <c r="I22" s="363">
        <f t="shared" si="3"/>
        <v>1834</v>
      </c>
      <c r="J22" s="363">
        <f t="shared" si="3"/>
        <v>1803</v>
      </c>
      <c r="K22" s="363">
        <f t="shared" si="3"/>
        <v>2036</v>
      </c>
      <c r="L22" s="365">
        <f t="shared" si="3"/>
        <v>1817</v>
      </c>
    </row>
    <row r="23" spans="1:13" x14ac:dyDescent="0.25">
      <c r="A23" s="1783"/>
      <c r="B23" s="1760"/>
      <c r="C23" s="1307"/>
      <c r="D23" s="527" t="s">
        <v>288</v>
      </c>
      <c r="E23" s="363">
        <f t="shared" si="3"/>
        <v>1432</v>
      </c>
      <c r="F23" s="363">
        <f t="shared" si="3"/>
        <v>1743</v>
      </c>
      <c r="G23" s="363">
        <f t="shared" si="3"/>
        <v>1974</v>
      </c>
      <c r="H23" s="363">
        <f t="shared" si="3"/>
        <v>2324</v>
      </c>
      <c r="I23" s="363">
        <f t="shared" si="3"/>
        <v>2490</v>
      </c>
      <c r="J23" s="363">
        <f t="shared" si="3"/>
        <v>2602</v>
      </c>
      <c r="K23" s="363">
        <f t="shared" si="3"/>
        <v>2589</v>
      </c>
      <c r="L23" s="365">
        <f t="shared" si="3"/>
        <v>2738</v>
      </c>
    </row>
    <row r="24" spans="1:13" ht="16.5" thickBot="1" x14ac:dyDescent="0.3">
      <c r="A24" s="1783"/>
      <c r="B24" s="1760"/>
      <c r="C24" s="1308"/>
      <c r="D24" s="538" t="s">
        <v>295</v>
      </c>
      <c r="E24" s="382">
        <f t="shared" si="3"/>
        <v>652</v>
      </c>
      <c r="F24" s="382">
        <f t="shared" si="3"/>
        <v>815</v>
      </c>
      <c r="G24" s="382">
        <f t="shared" si="3"/>
        <v>1096</v>
      </c>
      <c r="H24" s="382">
        <f t="shared" si="3"/>
        <v>1211</v>
      </c>
      <c r="I24" s="382">
        <f t="shared" si="3"/>
        <v>1237</v>
      </c>
      <c r="J24" s="382">
        <f t="shared" si="3"/>
        <v>1236</v>
      </c>
      <c r="K24" s="382">
        <f t="shared" si="3"/>
        <v>1235</v>
      </c>
      <c r="L24" s="383">
        <f t="shared" si="3"/>
        <v>1274</v>
      </c>
    </row>
    <row r="25" spans="1:13" x14ac:dyDescent="0.25">
      <c r="A25" s="1783"/>
      <c r="B25" s="1760"/>
      <c r="C25" s="1265" t="s">
        <v>270</v>
      </c>
      <c r="D25" s="535" t="s">
        <v>272</v>
      </c>
      <c r="E25" s="384">
        <f>E14/E3*100</f>
        <v>50.829257920476287</v>
      </c>
      <c r="F25" s="384">
        <f t="shared" ref="F25:L25" si="4">F14/F3*100</f>
        <v>50.787406038480285</v>
      </c>
      <c r="G25" s="384">
        <f t="shared" si="4"/>
        <v>51.382030591352525</v>
      </c>
      <c r="H25" s="384">
        <f t="shared" si="4"/>
        <v>51.524731032555536</v>
      </c>
      <c r="I25" s="384">
        <f t="shared" si="4"/>
        <v>51.534432116304806</v>
      </c>
      <c r="J25" s="384">
        <f t="shared" si="4"/>
        <v>51.592534206607034</v>
      </c>
      <c r="K25" s="384">
        <f t="shared" si="4"/>
        <v>51.72296405988034</v>
      </c>
      <c r="L25" s="385">
        <f t="shared" si="4"/>
        <v>51.647498303865547</v>
      </c>
    </row>
    <row r="26" spans="1:13" x14ac:dyDescent="0.25">
      <c r="A26" s="1783"/>
      <c r="B26" s="1760"/>
      <c r="C26" s="1360"/>
      <c r="D26" s="527" t="s">
        <v>275</v>
      </c>
      <c r="E26" s="158">
        <f>(E15/(E15+E9))*100</f>
        <v>47.671480144404335</v>
      </c>
      <c r="F26" s="158">
        <f t="shared" ref="F26:L27" si="5">(F15/(F15+F9))*100</f>
        <v>47.773774289023294</v>
      </c>
      <c r="G26" s="158">
        <f t="shared" si="5"/>
        <v>48.289473684210527</v>
      </c>
      <c r="H26" s="158">
        <f t="shared" si="5"/>
        <v>48.17089942238929</v>
      </c>
      <c r="I26" s="158">
        <f t="shared" si="5"/>
        <v>48.14900189018487</v>
      </c>
      <c r="J26" s="158">
        <f t="shared" si="5"/>
        <v>48.256247668780304</v>
      </c>
      <c r="K26" s="158">
        <f t="shared" si="5"/>
        <v>48.656340393766911</v>
      </c>
      <c r="L26" s="330">
        <f t="shared" si="5"/>
        <v>48.714552055735453</v>
      </c>
    </row>
    <row r="27" spans="1:13" x14ac:dyDescent="0.25">
      <c r="A27" s="1783"/>
      <c r="B27" s="1760"/>
      <c r="C27" s="1360"/>
      <c r="D27" s="527" t="s">
        <v>282</v>
      </c>
      <c r="E27" s="364">
        <f>(E16/(E16+E10))*100</f>
        <v>50.199819517854834</v>
      </c>
      <c r="F27" s="364">
        <f t="shared" si="5"/>
        <v>50.268757355045956</v>
      </c>
      <c r="G27" s="364">
        <f t="shared" si="5"/>
        <v>51.039969746334656</v>
      </c>
      <c r="H27" s="364">
        <f t="shared" si="5"/>
        <v>51.255556123230981</v>
      </c>
      <c r="I27" s="364">
        <f t="shared" si="5"/>
        <v>51.167914819909321</v>
      </c>
      <c r="J27" s="364">
        <f>(J16/(J16+J10))*100</f>
        <v>51.15018053305095</v>
      </c>
      <c r="K27" s="364">
        <f t="shared" si="5"/>
        <v>51.264596273291929</v>
      </c>
      <c r="L27" s="386">
        <f t="shared" si="5"/>
        <v>51.062660100826974</v>
      </c>
    </row>
    <row r="28" spans="1:13" x14ac:dyDescent="0.25">
      <c r="A28" s="1783"/>
      <c r="B28" s="1760"/>
      <c r="C28" s="1360"/>
      <c r="D28" s="527" t="s">
        <v>288</v>
      </c>
      <c r="E28" s="364">
        <f t="shared" ref="E28:L29" si="6">(E17/(E17+E11))*100</f>
        <v>58.721071863580995</v>
      </c>
      <c r="F28" s="364">
        <f t="shared" si="6"/>
        <v>58.913777232279841</v>
      </c>
      <c r="G28" s="364">
        <f t="shared" si="6"/>
        <v>58.305284416021543</v>
      </c>
      <c r="H28" s="364">
        <f t="shared" si="6"/>
        <v>58.066083576287653</v>
      </c>
      <c r="I28" s="364">
        <f t="shared" si="6"/>
        <v>58.570838496489053</v>
      </c>
      <c r="J28" s="364">
        <f t="shared" si="6"/>
        <v>58.679119412941958</v>
      </c>
      <c r="K28" s="364">
        <f t="shared" si="6"/>
        <v>58.315667758720366</v>
      </c>
      <c r="L28" s="386">
        <f t="shared" si="6"/>
        <v>58.316121977888471</v>
      </c>
    </row>
    <row r="29" spans="1:13" ht="16.5" thickBot="1" x14ac:dyDescent="0.3">
      <c r="A29" s="1783"/>
      <c r="B29" s="1902"/>
      <c r="C29" s="1361"/>
      <c r="D29" s="538" t="s">
        <v>295</v>
      </c>
      <c r="E29" s="366">
        <f t="shared" si="6"/>
        <v>68.843930635838149</v>
      </c>
      <c r="F29" s="366">
        <f t="shared" si="6"/>
        <v>66.707667076670759</v>
      </c>
      <c r="G29" s="366">
        <f t="shared" si="6"/>
        <v>65.884057971014499</v>
      </c>
      <c r="H29" s="366">
        <f t="shared" si="6"/>
        <v>64.629137472819522</v>
      </c>
      <c r="I29" s="366">
        <f t="shared" si="6"/>
        <v>65.148175361253976</v>
      </c>
      <c r="J29" s="366">
        <f t="shared" si="6"/>
        <v>65.206692913385822</v>
      </c>
      <c r="K29" s="366">
        <f t="shared" si="6"/>
        <v>64.783337323437877</v>
      </c>
      <c r="L29" s="367">
        <f t="shared" si="6"/>
        <v>64.523483812129498</v>
      </c>
    </row>
    <row r="30" spans="1:13" ht="17.25" thickTop="1" thickBot="1" x14ac:dyDescent="0.3">
      <c r="A30" s="1783"/>
      <c r="B30" s="823" t="s">
        <v>249</v>
      </c>
      <c r="C30" s="1675"/>
      <c r="D30" s="1675"/>
      <c r="E30" s="112">
        <v>2005</v>
      </c>
      <c r="F30" s="112">
        <v>2010</v>
      </c>
      <c r="G30" s="112">
        <v>2015</v>
      </c>
      <c r="H30" s="112">
        <v>2020</v>
      </c>
      <c r="I30" s="112">
        <v>2021</v>
      </c>
      <c r="J30" s="112">
        <v>2022</v>
      </c>
      <c r="K30" s="112">
        <v>2023</v>
      </c>
      <c r="L30" s="112">
        <v>2024</v>
      </c>
      <c r="M30" s="482"/>
    </row>
    <row r="31" spans="1:13" x14ac:dyDescent="0.25">
      <c r="A31" s="1817"/>
      <c r="B31" s="1194" t="s">
        <v>570</v>
      </c>
      <c r="C31" s="1211" t="s">
        <v>272</v>
      </c>
      <c r="D31" s="1541"/>
      <c r="E31" s="81">
        <v>8008</v>
      </c>
      <c r="F31" s="81">
        <v>14676</v>
      </c>
      <c r="G31" s="81">
        <v>10838</v>
      </c>
      <c r="H31" s="81">
        <v>15429</v>
      </c>
      <c r="I31" s="81">
        <v>16122</v>
      </c>
      <c r="J31" s="81">
        <v>16375</v>
      </c>
      <c r="K31" s="81">
        <v>18430</v>
      </c>
      <c r="L31" s="273">
        <f>L32+L33</f>
        <v>20997</v>
      </c>
    </row>
    <row r="32" spans="1:13" x14ac:dyDescent="0.25">
      <c r="A32" s="1817"/>
      <c r="B32" s="1195"/>
      <c r="C32" s="1124" t="s">
        <v>257</v>
      </c>
      <c r="D32" s="1124"/>
      <c r="E32" s="80">
        <v>4186</v>
      </c>
      <c r="F32" s="80">
        <v>7562</v>
      </c>
      <c r="G32" s="80">
        <v>5234</v>
      </c>
      <c r="H32" s="80">
        <v>7221</v>
      </c>
      <c r="I32" s="80">
        <v>7620</v>
      </c>
      <c r="J32" s="80">
        <v>7721</v>
      </c>
      <c r="K32" s="80">
        <v>8661</v>
      </c>
      <c r="L32" s="83">
        <v>10009</v>
      </c>
    </row>
    <row r="33" spans="1:12" x14ac:dyDescent="0.25">
      <c r="A33" s="1817"/>
      <c r="B33" s="1195"/>
      <c r="C33" s="1124" t="s">
        <v>263</v>
      </c>
      <c r="D33" s="1124"/>
      <c r="E33" s="80">
        <v>3822</v>
      </c>
      <c r="F33" s="80">
        <v>7114</v>
      </c>
      <c r="G33" s="80">
        <v>5604</v>
      </c>
      <c r="H33" s="80">
        <v>8208</v>
      </c>
      <c r="I33" s="80">
        <v>8502</v>
      </c>
      <c r="J33" s="80">
        <v>8654</v>
      </c>
      <c r="K33" s="80">
        <v>9769</v>
      </c>
      <c r="L33" s="83">
        <v>10988</v>
      </c>
    </row>
    <row r="34" spans="1:12" x14ac:dyDescent="0.25">
      <c r="A34" s="1817"/>
      <c r="B34" s="1195"/>
      <c r="C34" s="1112" t="s">
        <v>269</v>
      </c>
      <c r="D34" s="1112"/>
      <c r="E34" s="157">
        <f>+E33-E32</f>
        <v>-364</v>
      </c>
      <c r="F34" s="157">
        <f t="shared" ref="F34:L34" si="7">+F33-F32</f>
        <v>-448</v>
      </c>
      <c r="G34" s="363">
        <f t="shared" si="7"/>
        <v>370</v>
      </c>
      <c r="H34" s="363">
        <f t="shared" si="7"/>
        <v>987</v>
      </c>
      <c r="I34" s="363">
        <f t="shared" si="7"/>
        <v>882</v>
      </c>
      <c r="J34" s="363">
        <f t="shared" si="7"/>
        <v>933</v>
      </c>
      <c r="K34" s="363">
        <f t="shared" si="7"/>
        <v>1108</v>
      </c>
      <c r="L34" s="365">
        <f t="shared" si="7"/>
        <v>979</v>
      </c>
    </row>
    <row r="35" spans="1:12" ht="16.5" thickBot="1" x14ac:dyDescent="0.3">
      <c r="A35" s="1817"/>
      <c r="B35" s="1595"/>
      <c r="C35" s="1126" t="s">
        <v>270</v>
      </c>
      <c r="D35" s="1126"/>
      <c r="E35" s="161">
        <f>E33/E31*100</f>
        <v>47.727272727272727</v>
      </c>
      <c r="F35" s="161">
        <f t="shared" ref="F35:L35" si="8">F33/F31*100</f>
        <v>48.473698555464708</v>
      </c>
      <c r="G35" s="366">
        <f t="shared" si="8"/>
        <v>51.706957003137113</v>
      </c>
      <c r="H35" s="366">
        <f t="shared" si="8"/>
        <v>53.198522263270462</v>
      </c>
      <c r="I35" s="366">
        <f t="shared" si="8"/>
        <v>52.735392631187196</v>
      </c>
      <c r="J35" s="366">
        <f t="shared" si="8"/>
        <v>52.84885496183206</v>
      </c>
      <c r="K35" s="366">
        <f t="shared" si="8"/>
        <v>53.005968529571348</v>
      </c>
      <c r="L35" s="367">
        <f t="shared" si="8"/>
        <v>52.331285421726918</v>
      </c>
    </row>
    <row r="36" spans="1:12" x14ac:dyDescent="0.25">
      <c r="A36" s="1783"/>
      <c r="B36" s="1426" t="s">
        <v>342</v>
      </c>
      <c r="C36" s="1189" t="s">
        <v>343</v>
      </c>
      <c r="D36" s="1189"/>
      <c r="E36" s="192">
        <f>E37+E38</f>
        <v>1543</v>
      </c>
      <c r="F36" s="192">
        <f t="shared" ref="F36:L36" si="9">F37+F38</f>
        <v>1976</v>
      </c>
      <c r="G36" s="192">
        <f t="shared" si="9"/>
        <v>2487</v>
      </c>
      <c r="H36" s="192">
        <f t="shared" si="9"/>
        <v>3018</v>
      </c>
      <c r="I36" s="192">
        <f t="shared" si="9"/>
        <v>3251</v>
      </c>
      <c r="J36" s="192">
        <f t="shared" si="9"/>
        <v>3356</v>
      </c>
      <c r="K36" s="192">
        <f t="shared" si="9"/>
        <v>3472</v>
      </c>
      <c r="L36" s="192">
        <f t="shared" si="9"/>
        <v>3730</v>
      </c>
    </row>
    <row r="37" spans="1:12" x14ac:dyDescent="0.25">
      <c r="A37" s="1783"/>
      <c r="B37" s="1195"/>
      <c r="C37" s="1124" t="s">
        <v>344</v>
      </c>
      <c r="D37" s="1124"/>
      <c r="E37" s="181">
        <v>308</v>
      </c>
      <c r="F37" s="181">
        <v>418</v>
      </c>
      <c r="G37" s="181">
        <v>602</v>
      </c>
      <c r="H37" s="181">
        <v>771</v>
      </c>
      <c r="I37" s="181">
        <v>818</v>
      </c>
      <c r="J37" s="181">
        <v>840</v>
      </c>
      <c r="K37" s="181">
        <v>894</v>
      </c>
      <c r="L37" s="181">
        <v>980</v>
      </c>
    </row>
    <row r="38" spans="1:12" x14ac:dyDescent="0.25">
      <c r="A38" s="1783"/>
      <c r="B38" s="1195"/>
      <c r="C38" s="1124" t="s">
        <v>345</v>
      </c>
      <c r="D38" s="1124"/>
      <c r="E38" s="80">
        <v>1235</v>
      </c>
      <c r="F38" s="80">
        <v>1558</v>
      </c>
      <c r="G38" s="80">
        <v>1885</v>
      </c>
      <c r="H38" s="80">
        <v>2247</v>
      </c>
      <c r="I38" s="80">
        <v>2433</v>
      </c>
      <c r="J38" s="80">
        <v>2516</v>
      </c>
      <c r="K38" s="80">
        <v>2578</v>
      </c>
      <c r="L38" s="181">
        <v>2750</v>
      </c>
    </row>
    <row r="39" spans="1:12" x14ac:dyDescent="0.25">
      <c r="A39" s="1783"/>
      <c r="B39" s="1195"/>
      <c r="C39" s="1112" t="s">
        <v>269</v>
      </c>
      <c r="D39" s="1112"/>
      <c r="E39" s="157">
        <f>E38-E37</f>
        <v>927</v>
      </c>
      <c r="F39" s="157">
        <f t="shared" ref="F39:L39" si="10">F38-F37</f>
        <v>1140</v>
      </c>
      <c r="G39" s="157">
        <f t="shared" si="10"/>
        <v>1283</v>
      </c>
      <c r="H39" s="157">
        <f t="shared" si="10"/>
        <v>1476</v>
      </c>
      <c r="I39" s="157">
        <f t="shared" si="10"/>
        <v>1615</v>
      </c>
      <c r="J39" s="157">
        <f t="shared" si="10"/>
        <v>1676</v>
      </c>
      <c r="K39" s="157">
        <f t="shared" si="10"/>
        <v>1684</v>
      </c>
      <c r="L39" s="157">
        <f t="shared" si="10"/>
        <v>1770</v>
      </c>
    </row>
    <row r="40" spans="1:12" ht="16.5" thickBot="1" x14ac:dyDescent="0.3">
      <c r="A40" s="1783"/>
      <c r="B40" s="1755"/>
      <c r="C40" s="1178" t="s">
        <v>346</v>
      </c>
      <c r="D40" s="1178"/>
      <c r="E40" s="165">
        <f t="shared" ref="E40:L40" si="11">E38/E36*100</f>
        <v>80.038885288399214</v>
      </c>
      <c r="F40" s="165">
        <f t="shared" si="11"/>
        <v>78.84615384615384</v>
      </c>
      <c r="G40" s="165">
        <f t="shared" si="11"/>
        <v>75.794129473260952</v>
      </c>
      <c r="H40" s="165">
        <f t="shared" si="11"/>
        <v>74.453280318091458</v>
      </c>
      <c r="I40" s="165">
        <f t="shared" si="11"/>
        <v>74.838511227314669</v>
      </c>
      <c r="J40" s="165">
        <f t="shared" si="11"/>
        <v>74.970202622169239</v>
      </c>
      <c r="K40" s="165">
        <f t="shared" si="11"/>
        <v>74.251152073732712</v>
      </c>
      <c r="L40" s="165">
        <f t="shared" si="11"/>
        <v>73.726541554959795</v>
      </c>
    </row>
    <row r="41" spans="1:12" ht="15" customHeight="1" x14ac:dyDescent="0.25">
      <c r="A41" s="1817"/>
      <c r="B41" s="1194" t="s">
        <v>134</v>
      </c>
      <c r="C41" s="1206" t="s">
        <v>348</v>
      </c>
      <c r="D41" s="1206"/>
      <c r="E41" s="195">
        <f>E42+E43</f>
        <v>452</v>
      </c>
      <c r="F41" s="195">
        <f t="shared" ref="F41:L41" si="12">F42+F43</f>
        <v>1080</v>
      </c>
      <c r="G41" s="195">
        <f t="shared" si="12"/>
        <v>1592</v>
      </c>
      <c r="H41" s="195">
        <f t="shared" si="12"/>
        <v>1676</v>
      </c>
      <c r="I41" s="195">
        <f t="shared" si="12"/>
        <v>1715</v>
      </c>
      <c r="J41" s="195">
        <f t="shared" si="12"/>
        <v>1748</v>
      </c>
      <c r="K41" s="195">
        <f t="shared" si="12"/>
        <v>1765</v>
      </c>
      <c r="L41" s="196">
        <f t="shared" si="12"/>
        <v>1786</v>
      </c>
    </row>
    <row r="42" spans="1:12" x14ac:dyDescent="0.25">
      <c r="A42" s="1817"/>
      <c r="B42" s="1195"/>
      <c r="C42" s="1124" t="s">
        <v>349</v>
      </c>
      <c r="D42" s="1124"/>
      <c r="E42" s="181">
        <v>74</v>
      </c>
      <c r="F42" s="181">
        <v>153</v>
      </c>
      <c r="G42" s="181">
        <v>240</v>
      </c>
      <c r="H42" s="181">
        <v>287</v>
      </c>
      <c r="I42" s="181">
        <v>276</v>
      </c>
      <c r="J42" s="181">
        <v>294</v>
      </c>
      <c r="K42" s="181">
        <v>284</v>
      </c>
      <c r="L42" s="199">
        <v>276</v>
      </c>
    </row>
    <row r="43" spans="1:12" x14ac:dyDescent="0.25">
      <c r="A43" s="1817"/>
      <c r="B43" s="1195"/>
      <c r="C43" s="1124" t="s">
        <v>350</v>
      </c>
      <c r="D43" s="1124"/>
      <c r="E43" s="181">
        <v>378</v>
      </c>
      <c r="F43" s="181">
        <v>927</v>
      </c>
      <c r="G43" s="80">
        <v>1352</v>
      </c>
      <c r="H43" s="80">
        <v>1389</v>
      </c>
      <c r="I43" s="80">
        <v>1439</v>
      </c>
      <c r="J43" s="80">
        <v>1454</v>
      </c>
      <c r="K43" s="80">
        <v>1481</v>
      </c>
      <c r="L43" s="199">
        <v>1510</v>
      </c>
    </row>
    <row r="44" spans="1:12" x14ac:dyDescent="0.25">
      <c r="A44" s="1817"/>
      <c r="B44" s="1195"/>
      <c r="C44" s="1112" t="s">
        <v>269</v>
      </c>
      <c r="D44" s="1112"/>
      <c r="E44" s="157">
        <f>E43-E42</f>
        <v>304</v>
      </c>
      <c r="F44" s="157">
        <f t="shared" ref="F44:L44" si="13">F43-F42</f>
        <v>774</v>
      </c>
      <c r="G44" s="157">
        <f t="shared" si="13"/>
        <v>1112</v>
      </c>
      <c r="H44" s="157">
        <f t="shared" si="13"/>
        <v>1102</v>
      </c>
      <c r="I44" s="157">
        <f t="shared" si="13"/>
        <v>1163</v>
      </c>
      <c r="J44" s="157">
        <f t="shared" si="13"/>
        <v>1160</v>
      </c>
      <c r="K44" s="157">
        <f t="shared" si="13"/>
        <v>1197</v>
      </c>
      <c r="L44" s="160">
        <f t="shared" si="13"/>
        <v>1234</v>
      </c>
    </row>
    <row r="45" spans="1:12" x14ac:dyDescent="0.25">
      <c r="A45" s="1818"/>
      <c r="B45" s="1755"/>
      <c r="C45" s="1178" t="s">
        <v>351</v>
      </c>
      <c r="D45" s="1178"/>
      <c r="E45" s="165">
        <f t="shared" ref="E45:L45" si="14">E43/E41*100</f>
        <v>83.628318584070797</v>
      </c>
      <c r="F45" s="165">
        <f t="shared" si="14"/>
        <v>85.833333333333329</v>
      </c>
      <c r="G45" s="165">
        <f t="shared" si="14"/>
        <v>84.924623115577887</v>
      </c>
      <c r="H45" s="165">
        <f t="shared" si="14"/>
        <v>82.875894988066818</v>
      </c>
      <c r="I45" s="165">
        <f t="shared" si="14"/>
        <v>83.906705539358612</v>
      </c>
      <c r="J45" s="165">
        <f t="shared" si="14"/>
        <v>83.180778032036613</v>
      </c>
      <c r="K45" s="165">
        <f t="shared" si="14"/>
        <v>83.90934844192634</v>
      </c>
      <c r="L45" s="166">
        <f t="shared" si="14"/>
        <v>84.546472564389703</v>
      </c>
    </row>
    <row r="46" spans="1:12" ht="16.5" thickBot="1" x14ac:dyDescent="0.3">
      <c r="A46" s="338" t="s">
        <v>248</v>
      </c>
      <c r="B46" s="463" t="s">
        <v>249</v>
      </c>
      <c r="C46" s="1422"/>
      <c r="D46" s="1422"/>
      <c r="E46" s="616">
        <v>2005</v>
      </c>
      <c r="F46" s="616">
        <v>2010</v>
      </c>
      <c r="G46" s="616">
        <v>2015</v>
      </c>
      <c r="H46" s="616">
        <v>2020</v>
      </c>
      <c r="I46" s="616">
        <v>2021</v>
      </c>
      <c r="J46" s="616">
        <v>2022</v>
      </c>
      <c r="K46" s="616">
        <v>2023</v>
      </c>
      <c r="L46" s="616">
        <v>2024</v>
      </c>
    </row>
    <row r="47" spans="1:12" x14ac:dyDescent="0.25">
      <c r="A47" s="1814" t="s">
        <v>38</v>
      </c>
      <c r="B47" s="1219" t="s">
        <v>352</v>
      </c>
      <c r="C47" s="1146" t="s">
        <v>251</v>
      </c>
      <c r="D47" s="1147"/>
      <c r="E47" s="195">
        <v>2642</v>
      </c>
      <c r="F47" s="195">
        <v>8089</v>
      </c>
      <c r="G47" s="195">
        <v>8586</v>
      </c>
      <c r="H47" s="195">
        <v>8568</v>
      </c>
      <c r="I47" s="195">
        <v>8417</v>
      </c>
      <c r="J47" s="195">
        <v>6129</v>
      </c>
      <c r="K47" s="195">
        <v>6453</v>
      </c>
      <c r="L47" s="82">
        <v>6259</v>
      </c>
    </row>
    <row r="48" spans="1:12" x14ac:dyDescent="0.25">
      <c r="A48" s="1815"/>
      <c r="B48" s="1220"/>
      <c r="C48" s="1148" t="s">
        <v>257</v>
      </c>
      <c r="D48" s="1124"/>
      <c r="E48" s="96">
        <v>1086</v>
      </c>
      <c r="F48" s="96">
        <v>3913</v>
      </c>
      <c r="G48" s="96">
        <v>3828</v>
      </c>
      <c r="H48" s="96">
        <v>3529</v>
      </c>
      <c r="I48" s="96">
        <v>3444</v>
      </c>
      <c r="J48" s="96">
        <v>2422</v>
      </c>
      <c r="K48" s="96">
        <v>2485</v>
      </c>
      <c r="L48" s="83">
        <v>2392</v>
      </c>
    </row>
    <row r="49" spans="1:12" x14ac:dyDescent="0.25">
      <c r="A49" s="1815"/>
      <c r="B49" s="1220"/>
      <c r="C49" s="1148" t="s">
        <v>263</v>
      </c>
      <c r="D49" s="1124"/>
      <c r="E49" s="96">
        <v>1556</v>
      </c>
      <c r="F49" s="96">
        <v>4176</v>
      </c>
      <c r="G49" s="96">
        <v>4758</v>
      </c>
      <c r="H49" s="96">
        <v>5039</v>
      </c>
      <c r="I49" s="96">
        <v>4973</v>
      </c>
      <c r="J49" s="96">
        <v>3707</v>
      </c>
      <c r="K49" s="96">
        <v>3968</v>
      </c>
      <c r="L49" s="83">
        <v>3867</v>
      </c>
    </row>
    <row r="50" spans="1:12" x14ac:dyDescent="0.25">
      <c r="A50" s="1815"/>
      <c r="B50" s="1220"/>
      <c r="C50" s="1190" t="s">
        <v>575</v>
      </c>
      <c r="D50" s="1112"/>
      <c r="E50" s="157">
        <f t="shared" ref="E50:L50" si="15">+E49-E48</f>
        <v>470</v>
      </c>
      <c r="F50" s="157">
        <f t="shared" si="15"/>
        <v>263</v>
      </c>
      <c r="G50" s="157">
        <f t="shared" si="15"/>
        <v>930</v>
      </c>
      <c r="H50" s="157">
        <f t="shared" si="15"/>
        <v>1510</v>
      </c>
      <c r="I50" s="157">
        <f t="shared" si="15"/>
        <v>1529</v>
      </c>
      <c r="J50" s="157">
        <f t="shared" si="15"/>
        <v>1285</v>
      </c>
      <c r="K50" s="157">
        <f t="shared" si="15"/>
        <v>1483</v>
      </c>
      <c r="L50" s="160">
        <f t="shared" si="15"/>
        <v>1475</v>
      </c>
    </row>
    <row r="51" spans="1:12" ht="16.5" thickBot="1" x14ac:dyDescent="0.3">
      <c r="A51" s="1815"/>
      <c r="B51" s="1221"/>
      <c r="C51" s="1169" t="s">
        <v>270</v>
      </c>
      <c r="D51" s="1126"/>
      <c r="E51" s="161">
        <f>E49/E47*100</f>
        <v>58.894776684330054</v>
      </c>
      <c r="F51" s="161">
        <f t="shared" ref="F51:L51" si="16">F49/F47*100</f>
        <v>51.625664482630725</v>
      </c>
      <c r="G51" s="161">
        <f t="shared" si="16"/>
        <v>55.415793151642212</v>
      </c>
      <c r="H51" s="161">
        <f t="shared" si="16"/>
        <v>58.811858076563958</v>
      </c>
      <c r="I51" s="161">
        <f t="shared" si="16"/>
        <v>59.082808601639535</v>
      </c>
      <c r="J51" s="161">
        <f t="shared" si="16"/>
        <v>60.482949910262683</v>
      </c>
      <c r="K51" s="161">
        <f t="shared" si="16"/>
        <v>61.490779482411284</v>
      </c>
      <c r="L51" s="162">
        <f t="shared" si="16"/>
        <v>61.783032433296057</v>
      </c>
    </row>
    <row r="52" spans="1:12" x14ac:dyDescent="0.25">
      <c r="A52" s="1815"/>
      <c r="B52" s="1219" t="s">
        <v>146</v>
      </c>
      <c r="C52" s="1146" t="s">
        <v>251</v>
      </c>
      <c r="D52" s="1147"/>
      <c r="E52" s="40"/>
      <c r="F52" s="40"/>
      <c r="G52" s="40"/>
      <c r="H52" s="40">
        <v>11.07</v>
      </c>
      <c r="I52" s="40">
        <v>9.3800000000000008</v>
      </c>
      <c r="J52" s="40">
        <v>7.56</v>
      </c>
      <c r="K52" s="325">
        <v>7.43</v>
      </c>
      <c r="L52" s="719">
        <v>6.05</v>
      </c>
    </row>
    <row r="53" spans="1:12" x14ac:dyDescent="0.25">
      <c r="A53" s="1815"/>
      <c r="B53" s="1220"/>
      <c r="C53" s="1148" t="s">
        <v>257</v>
      </c>
      <c r="D53" s="1124"/>
      <c r="E53" s="28"/>
      <c r="F53" s="28"/>
      <c r="G53" s="28"/>
      <c r="H53" s="28">
        <v>9.44</v>
      </c>
      <c r="I53" s="28">
        <v>7.9</v>
      </c>
      <c r="J53" s="28">
        <v>6.18</v>
      </c>
      <c r="K53" s="21">
        <v>5.9</v>
      </c>
      <c r="L53" s="316">
        <v>4.97</v>
      </c>
    </row>
    <row r="54" spans="1:12" x14ac:dyDescent="0.25">
      <c r="A54" s="1815"/>
      <c r="B54" s="1220"/>
      <c r="C54" s="1222" t="s">
        <v>263</v>
      </c>
      <c r="D54" s="1223"/>
      <c r="E54" s="28"/>
      <c r="F54" s="28"/>
      <c r="G54" s="28"/>
      <c r="H54" s="28">
        <v>12.62</v>
      </c>
      <c r="I54" s="28">
        <v>10.8</v>
      </c>
      <c r="J54" s="28">
        <v>8.8800000000000008</v>
      </c>
      <c r="K54" s="21">
        <v>8.89</v>
      </c>
      <c r="L54" s="316">
        <v>7.08</v>
      </c>
    </row>
    <row r="55" spans="1:12" ht="16.5" thickBot="1" x14ac:dyDescent="0.3">
      <c r="A55" s="1815"/>
      <c r="B55" s="1600"/>
      <c r="C55" s="1141" t="s">
        <v>354</v>
      </c>
      <c r="D55" s="1142"/>
      <c r="E55" s="110"/>
      <c r="F55" s="110"/>
      <c r="G55" s="110"/>
      <c r="H55" s="423">
        <f>+H54-H53</f>
        <v>3.1799999999999997</v>
      </c>
      <c r="I55" s="423">
        <f>+I54-I53</f>
        <v>2.9000000000000004</v>
      </c>
      <c r="J55" s="423">
        <f>+J54-J53</f>
        <v>2.7000000000000011</v>
      </c>
      <c r="K55" s="212">
        <f>+K54-K53</f>
        <v>2.99</v>
      </c>
      <c r="L55" s="815">
        <f>+L54-L53</f>
        <v>2.1100000000000003</v>
      </c>
    </row>
    <row r="56" spans="1:12" x14ac:dyDescent="0.25">
      <c r="A56" s="1815"/>
      <c r="B56" s="1219" t="s">
        <v>151</v>
      </c>
      <c r="C56" s="1316" t="s">
        <v>251</v>
      </c>
      <c r="D56" s="1317"/>
      <c r="E56" s="40"/>
      <c r="F56" s="40"/>
      <c r="G56" s="40"/>
      <c r="H56" s="195">
        <v>465</v>
      </c>
      <c r="I56" s="195">
        <v>586</v>
      </c>
      <c r="J56" s="195">
        <v>876</v>
      </c>
      <c r="K56" s="225">
        <v>610</v>
      </c>
      <c r="L56" s="20"/>
    </row>
    <row r="57" spans="1:12" x14ac:dyDescent="0.25">
      <c r="A57" s="1815"/>
      <c r="B57" s="1220"/>
      <c r="C57" s="1229" t="s">
        <v>257</v>
      </c>
      <c r="D57" s="1230"/>
      <c r="E57" s="28"/>
      <c r="F57" s="28"/>
      <c r="G57" s="28"/>
      <c r="H57" s="96">
        <v>181</v>
      </c>
      <c r="I57" s="96">
        <v>177</v>
      </c>
      <c r="J57" s="96">
        <v>300</v>
      </c>
      <c r="K57" s="96">
        <v>231</v>
      </c>
      <c r="L57" s="21"/>
    </row>
    <row r="58" spans="1:12" x14ac:dyDescent="0.25">
      <c r="A58" s="1815"/>
      <c r="B58" s="1220"/>
      <c r="C58" s="1148" t="s">
        <v>263</v>
      </c>
      <c r="D58" s="1124"/>
      <c r="E58" s="28"/>
      <c r="F58" s="28"/>
      <c r="G58" s="28"/>
      <c r="H58" s="96">
        <v>284</v>
      </c>
      <c r="I58" s="96">
        <v>409</v>
      </c>
      <c r="J58" s="96">
        <v>576</v>
      </c>
      <c r="K58" s="96">
        <v>379</v>
      </c>
      <c r="L58" s="21"/>
    </row>
    <row r="59" spans="1:12" x14ac:dyDescent="0.25">
      <c r="A59" s="1815"/>
      <c r="B59" s="1220"/>
      <c r="C59" s="1190" t="s">
        <v>353</v>
      </c>
      <c r="D59" s="1112"/>
      <c r="E59" s="28"/>
      <c r="F59" s="28"/>
      <c r="G59" s="28"/>
      <c r="H59" s="44">
        <f>+H58-H57</f>
        <v>103</v>
      </c>
      <c r="I59" s="44">
        <f>+I58-I57</f>
        <v>232</v>
      </c>
      <c r="J59" s="44">
        <f>+J58-J57</f>
        <v>276</v>
      </c>
      <c r="K59" s="44">
        <f>+K58-K57</f>
        <v>148</v>
      </c>
      <c r="L59" s="21"/>
    </row>
    <row r="60" spans="1:12" ht="16.5" thickBot="1" x14ac:dyDescent="0.3">
      <c r="A60" s="1815"/>
      <c r="B60" s="1221"/>
      <c r="C60" s="1169" t="s">
        <v>270</v>
      </c>
      <c r="D60" s="1126"/>
      <c r="E60" s="33"/>
      <c r="F60" s="33"/>
      <c r="G60" s="33"/>
      <c r="H60" s="161">
        <f>H58/H56*100</f>
        <v>61.075268817204297</v>
      </c>
      <c r="I60" s="161">
        <f>I58/I56*100</f>
        <v>69.795221843003404</v>
      </c>
      <c r="J60" s="161">
        <f>J58/J56*100</f>
        <v>65.753424657534239</v>
      </c>
      <c r="K60" s="161">
        <f>K58/K56*100</f>
        <v>62.131147540983612</v>
      </c>
      <c r="L60" s="22"/>
    </row>
    <row r="61" spans="1:12" ht="16.5" thickBot="1" x14ac:dyDescent="0.3">
      <c r="A61" s="1779"/>
      <c r="B61" s="823" t="s">
        <v>249</v>
      </c>
      <c r="C61" s="1675"/>
      <c r="D61" s="1675"/>
      <c r="E61" s="907"/>
      <c r="F61" s="767">
        <v>2011</v>
      </c>
      <c r="G61" s="908"/>
      <c r="H61" s="907"/>
      <c r="I61" s="767">
        <v>2021</v>
      </c>
      <c r="J61" s="908"/>
      <c r="K61" s="907"/>
      <c r="L61" s="616">
        <v>2024</v>
      </c>
    </row>
    <row r="62" spans="1:12" x14ac:dyDescent="0.25">
      <c r="A62" s="1815"/>
      <c r="B62" s="1906" t="s">
        <v>156</v>
      </c>
      <c r="C62" s="1347" t="s">
        <v>355</v>
      </c>
      <c r="D62" s="207" t="s">
        <v>251</v>
      </c>
      <c r="E62" s="612"/>
      <c r="F62" s="81">
        <v>42805</v>
      </c>
      <c r="G62" s="103"/>
      <c r="H62" s="103"/>
      <c r="I62" s="81">
        <v>52701</v>
      </c>
      <c r="J62" s="40"/>
      <c r="K62" s="36"/>
      <c r="L62" s="20"/>
    </row>
    <row r="63" spans="1:12" ht="15" customHeight="1" x14ac:dyDescent="0.25">
      <c r="A63" s="1815"/>
      <c r="B63" s="1907"/>
      <c r="C63" s="1348"/>
      <c r="D63" s="28" t="s">
        <v>257</v>
      </c>
      <c r="E63" s="94"/>
      <c r="F63" s="80">
        <v>22585</v>
      </c>
      <c r="G63" s="95"/>
      <c r="H63" s="95"/>
      <c r="I63" s="80">
        <v>27006</v>
      </c>
      <c r="J63" s="28"/>
      <c r="K63" s="28"/>
      <c r="L63" s="21"/>
    </row>
    <row r="64" spans="1:12" ht="16.5" thickBot="1" x14ac:dyDescent="0.3">
      <c r="A64" s="1815"/>
      <c r="B64" s="1907"/>
      <c r="C64" s="1349"/>
      <c r="D64" s="33" t="s">
        <v>263</v>
      </c>
      <c r="E64" s="104"/>
      <c r="F64" s="267">
        <v>20220</v>
      </c>
      <c r="G64" s="468"/>
      <c r="H64" s="468"/>
      <c r="I64" s="267">
        <v>25695</v>
      </c>
      <c r="J64" s="33"/>
      <c r="K64" s="33"/>
      <c r="L64" s="22"/>
    </row>
    <row r="65" spans="1:12" hidden="1" x14ac:dyDescent="0.25">
      <c r="A65" s="1815"/>
      <c r="B65" s="1220"/>
      <c r="C65" s="1535" t="s">
        <v>356</v>
      </c>
      <c r="D65" s="241" t="s">
        <v>251</v>
      </c>
      <c r="E65" s="242"/>
      <c r="F65" s="243">
        <v>205</v>
      </c>
      <c r="G65" s="467"/>
      <c r="H65" s="467"/>
      <c r="I65" s="220"/>
      <c r="J65" s="122"/>
      <c r="K65" s="122"/>
      <c r="L65" s="122"/>
    </row>
    <row r="66" spans="1:12" hidden="1" x14ac:dyDescent="0.25">
      <c r="A66" s="1815"/>
      <c r="B66" s="1220"/>
      <c r="C66" s="1117"/>
      <c r="D66" s="28" t="s">
        <v>257</v>
      </c>
      <c r="E66" s="94"/>
      <c r="F66" s="80">
        <v>185</v>
      </c>
      <c r="G66" s="95"/>
      <c r="H66" s="95"/>
      <c r="I66" s="96"/>
      <c r="J66" s="28"/>
      <c r="K66" s="28"/>
      <c r="L66" s="28"/>
    </row>
    <row r="67" spans="1:12" hidden="1" x14ac:dyDescent="0.25">
      <c r="A67" s="1815"/>
      <c r="B67" s="1220"/>
      <c r="C67" s="1117"/>
      <c r="D67" s="28" t="s">
        <v>263</v>
      </c>
      <c r="E67" s="94"/>
      <c r="F67" s="80">
        <v>25</v>
      </c>
      <c r="G67" s="95"/>
      <c r="H67" s="95"/>
      <c r="I67" s="96"/>
      <c r="J67" s="28"/>
      <c r="K67" s="28"/>
      <c r="L67" s="28"/>
    </row>
    <row r="68" spans="1:12" hidden="1" x14ac:dyDescent="0.25">
      <c r="A68" s="1815"/>
      <c r="B68" s="1220"/>
      <c r="C68" s="1117"/>
      <c r="D68" s="28" t="s">
        <v>357</v>
      </c>
      <c r="E68" s="94"/>
      <c r="F68" s="97">
        <f>F67/F65*100</f>
        <v>12.195121951219512</v>
      </c>
      <c r="G68" s="94"/>
      <c r="H68" s="94"/>
      <c r="I68" s="28"/>
      <c r="J68" s="28"/>
      <c r="K68" s="28"/>
      <c r="L68" s="28"/>
    </row>
    <row r="69" spans="1:12" ht="14.85" hidden="1" customHeight="1" x14ac:dyDescent="0.25">
      <c r="A69" s="1815"/>
      <c r="B69" s="1220"/>
      <c r="C69" s="1117" t="s">
        <v>358</v>
      </c>
      <c r="D69" s="144" t="s">
        <v>251</v>
      </c>
      <c r="E69" s="94"/>
      <c r="F69" s="80">
        <v>155</v>
      </c>
      <c r="G69" s="80"/>
      <c r="H69" s="80"/>
      <c r="I69" s="80">
        <v>78</v>
      </c>
      <c r="J69" s="28"/>
      <c r="K69" s="28"/>
      <c r="L69" s="28"/>
    </row>
    <row r="70" spans="1:12" hidden="1" x14ac:dyDescent="0.25">
      <c r="A70" s="1815"/>
      <c r="B70" s="1220"/>
      <c r="C70" s="1117"/>
      <c r="D70" s="28" t="s">
        <v>257</v>
      </c>
      <c r="E70" s="94"/>
      <c r="F70" s="80">
        <v>110</v>
      </c>
      <c r="G70" s="80"/>
      <c r="H70" s="80"/>
      <c r="I70" s="80">
        <v>48</v>
      </c>
      <c r="J70" s="28"/>
      <c r="K70" s="28"/>
      <c r="L70" s="28"/>
    </row>
    <row r="71" spans="1:12" hidden="1" x14ac:dyDescent="0.25">
      <c r="A71" s="1815"/>
      <c r="B71" s="1220"/>
      <c r="C71" s="1117"/>
      <c r="D71" s="28" t="s">
        <v>263</v>
      </c>
      <c r="E71" s="94"/>
      <c r="F71" s="80">
        <v>45</v>
      </c>
      <c r="G71" s="80"/>
      <c r="H71" s="80"/>
      <c r="I71" s="80">
        <v>30</v>
      </c>
      <c r="J71" s="28"/>
      <c r="K71" s="28"/>
      <c r="L71" s="28"/>
    </row>
    <row r="72" spans="1:12" hidden="1" x14ac:dyDescent="0.25">
      <c r="A72" s="1815"/>
      <c r="B72" s="1220"/>
      <c r="C72" s="1117"/>
      <c r="D72" s="28" t="s">
        <v>357</v>
      </c>
      <c r="E72" s="94"/>
      <c r="F72" s="97">
        <f>F71/F69*100</f>
        <v>29.032258064516132</v>
      </c>
      <c r="G72" s="94"/>
      <c r="H72" s="94"/>
      <c r="I72" s="97">
        <f>I71/I69*100</f>
        <v>38.461538461538467</v>
      </c>
      <c r="J72" s="28"/>
      <c r="K72" s="28"/>
      <c r="L72" s="28"/>
    </row>
    <row r="73" spans="1:12" ht="14.85" hidden="1" customHeight="1" x14ac:dyDescent="0.25">
      <c r="A73" s="1815"/>
      <c r="B73" s="1220"/>
      <c r="C73" s="1117" t="s">
        <v>359</v>
      </c>
      <c r="D73" s="144" t="s">
        <v>251</v>
      </c>
      <c r="E73" s="94"/>
      <c r="F73" s="80">
        <v>435</v>
      </c>
      <c r="G73" s="80"/>
      <c r="H73" s="80"/>
      <c r="I73" s="80">
        <v>606</v>
      </c>
      <c r="J73" s="28"/>
      <c r="K73" s="28"/>
      <c r="L73" s="28"/>
    </row>
    <row r="74" spans="1:12" hidden="1" x14ac:dyDescent="0.25">
      <c r="A74" s="1815"/>
      <c r="B74" s="1220"/>
      <c r="C74" s="1117"/>
      <c r="D74" s="28" t="s">
        <v>257</v>
      </c>
      <c r="E74" s="94"/>
      <c r="F74" s="80">
        <v>270</v>
      </c>
      <c r="G74" s="80"/>
      <c r="H74" s="80"/>
      <c r="I74" s="80">
        <v>372</v>
      </c>
      <c r="J74" s="28"/>
      <c r="K74" s="28"/>
      <c r="L74" s="28"/>
    </row>
    <row r="75" spans="1:12" hidden="1" x14ac:dyDescent="0.25">
      <c r="A75" s="1815"/>
      <c r="B75" s="1220"/>
      <c r="C75" s="1117"/>
      <c r="D75" s="28" t="s">
        <v>263</v>
      </c>
      <c r="E75" s="94"/>
      <c r="F75" s="80">
        <v>160</v>
      </c>
      <c r="G75" s="80"/>
      <c r="H75" s="80"/>
      <c r="I75" s="80">
        <v>231</v>
      </c>
      <c r="J75" s="28"/>
      <c r="K75" s="28"/>
      <c r="L75" s="28"/>
    </row>
    <row r="76" spans="1:12" hidden="1" x14ac:dyDescent="0.25">
      <c r="A76" s="1815"/>
      <c r="B76" s="1220"/>
      <c r="C76" s="1117"/>
      <c r="D76" s="28" t="s">
        <v>357</v>
      </c>
      <c r="E76" s="94"/>
      <c r="F76" s="97">
        <f>F75/F73*100</f>
        <v>36.781609195402297</v>
      </c>
      <c r="G76" s="94"/>
      <c r="H76" s="94"/>
      <c r="I76" s="97">
        <f>I75/I73*100</f>
        <v>38.118811881188122</v>
      </c>
      <c r="J76" s="28"/>
      <c r="K76" s="28"/>
      <c r="L76" s="28"/>
    </row>
    <row r="77" spans="1:12" ht="14.85" hidden="1" customHeight="1" x14ac:dyDescent="0.25">
      <c r="A77" s="1815"/>
      <c r="B77" s="1220"/>
      <c r="C77" s="1117" t="s">
        <v>360</v>
      </c>
      <c r="D77" s="144" t="s">
        <v>251</v>
      </c>
      <c r="E77" s="94"/>
      <c r="F77" s="80">
        <v>865</v>
      </c>
      <c r="G77" s="80"/>
      <c r="H77" s="80"/>
      <c r="I77" s="80">
        <v>279</v>
      </c>
      <c r="J77" s="28"/>
      <c r="K77" s="28"/>
      <c r="L77" s="28"/>
    </row>
    <row r="78" spans="1:12" hidden="1" x14ac:dyDescent="0.25">
      <c r="A78" s="1815"/>
      <c r="B78" s="1220"/>
      <c r="C78" s="1117"/>
      <c r="D78" s="28" t="s">
        <v>257</v>
      </c>
      <c r="E78" s="94"/>
      <c r="F78" s="80">
        <v>610</v>
      </c>
      <c r="G78" s="80"/>
      <c r="H78" s="80"/>
      <c r="I78" s="80">
        <v>207</v>
      </c>
      <c r="J78" s="28"/>
      <c r="K78" s="28"/>
      <c r="L78" s="28"/>
    </row>
    <row r="79" spans="1:12" hidden="1" x14ac:dyDescent="0.25">
      <c r="A79" s="1815"/>
      <c r="B79" s="1220"/>
      <c r="C79" s="1117"/>
      <c r="D79" s="28" t="s">
        <v>263</v>
      </c>
      <c r="E79" s="94"/>
      <c r="F79" s="80">
        <v>255</v>
      </c>
      <c r="G79" s="80"/>
      <c r="H79" s="80"/>
      <c r="I79" s="80">
        <v>72</v>
      </c>
      <c r="J79" s="28"/>
      <c r="K79" s="28"/>
      <c r="L79" s="28"/>
    </row>
    <row r="80" spans="1:12" hidden="1" x14ac:dyDescent="0.25">
      <c r="A80" s="1815"/>
      <c r="B80" s="1220"/>
      <c r="C80" s="1117"/>
      <c r="D80" s="28" t="s">
        <v>357</v>
      </c>
      <c r="E80" s="94"/>
      <c r="F80" s="97">
        <f>F79/F77*100</f>
        <v>29.47976878612717</v>
      </c>
      <c r="G80" s="94"/>
      <c r="H80" s="94"/>
      <c r="I80" s="97">
        <f>I79/I77*100</f>
        <v>25.806451612903224</v>
      </c>
      <c r="J80" s="28"/>
      <c r="K80" s="28"/>
      <c r="L80" s="28"/>
    </row>
    <row r="81" spans="1:12" ht="14.85" hidden="1" customHeight="1" x14ac:dyDescent="0.25">
      <c r="A81" s="1815"/>
      <c r="B81" s="1220"/>
      <c r="C81" s="1117" t="s">
        <v>361</v>
      </c>
      <c r="D81" s="144" t="s">
        <v>251</v>
      </c>
      <c r="E81" s="94"/>
      <c r="F81" s="80">
        <v>115</v>
      </c>
      <c r="G81" s="80"/>
      <c r="H81" s="80"/>
      <c r="I81" s="80">
        <v>204</v>
      </c>
      <c r="J81" s="28"/>
      <c r="K81" s="28"/>
      <c r="L81" s="28"/>
    </row>
    <row r="82" spans="1:12" hidden="1" x14ac:dyDescent="0.25">
      <c r="A82" s="1815"/>
      <c r="B82" s="1220"/>
      <c r="C82" s="1117"/>
      <c r="D82" s="28" t="s">
        <v>257</v>
      </c>
      <c r="E82" s="94"/>
      <c r="F82" s="80">
        <v>80</v>
      </c>
      <c r="G82" s="80"/>
      <c r="H82" s="80"/>
      <c r="I82" s="80">
        <v>126</v>
      </c>
      <c r="J82" s="28"/>
      <c r="K82" s="28"/>
      <c r="L82" s="28"/>
    </row>
    <row r="83" spans="1:12" hidden="1" x14ac:dyDescent="0.25">
      <c r="A83" s="1815"/>
      <c r="B83" s="1220"/>
      <c r="C83" s="1117"/>
      <c r="D83" s="28" t="s">
        <v>263</v>
      </c>
      <c r="E83" s="94"/>
      <c r="F83" s="80">
        <v>30</v>
      </c>
      <c r="G83" s="80"/>
      <c r="H83" s="80"/>
      <c r="I83" s="80">
        <v>78</v>
      </c>
      <c r="J83" s="28"/>
      <c r="K83" s="28"/>
      <c r="L83" s="28"/>
    </row>
    <row r="84" spans="1:12" hidden="1" x14ac:dyDescent="0.25">
      <c r="A84" s="1815"/>
      <c r="B84" s="1220"/>
      <c r="C84" s="1117"/>
      <c r="D84" s="28" t="s">
        <v>357</v>
      </c>
      <c r="E84" s="94"/>
      <c r="F84" s="97">
        <f>(F83/F81)*100</f>
        <v>26.086956521739129</v>
      </c>
      <c r="G84" s="94"/>
      <c r="H84" s="94"/>
      <c r="I84" s="97">
        <f>I83/I81*100</f>
        <v>38.235294117647058</v>
      </c>
      <c r="J84" s="28"/>
      <c r="K84" s="28"/>
      <c r="L84" s="28"/>
    </row>
    <row r="85" spans="1:12" ht="14.85" hidden="1" customHeight="1" x14ac:dyDescent="0.25">
      <c r="A85" s="1815"/>
      <c r="B85" s="1220"/>
      <c r="C85" s="1117" t="s">
        <v>362</v>
      </c>
      <c r="D85" s="144" t="s">
        <v>251</v>
      </c>
      <c r="E85" s="94"/>
      <c r="F85" s="80">
        <v>20</v>
      </c>
      <c r="G85" s="80"/>
      <c r="H85" s="80"/>
      <c r="I85" s="80">
        <v>210</v>
      </c>
      <c r="J85" s="28"/>
      <c r="K85" s="28"/>
      <c r="L85" s="28"/>
    </row>
    <row r="86" spans="1:12" ht="15" hidden="1" customHeight="1" x14ac:dyDescent="0.25">
      <c r="A86" s="1815"/>
      <c r="B86" s="1220"/>
      <c r="C86" s="1117"/>
      <c r="D86" s="28" t="s">
        <v>257</v>
      </c>
      <c r="E86" s="94"/>
      <c r="F86" s="80">
        <v>20</v>
      </c>
      <c r="G86" s="80"/>
      <c r="H86" s="80"/>
      <c r="I86" s="80">
        <v>132</v>
      </c>
      <c r="J86" s="28"/>
      <c r="K86" s="28"/>
      <c r="L86" s="28"/>
    </row>
    <row r="87" spans="1:12" hidden="1" x14ac:dyDescent="0.25">
      <c r="A87" s="1815"/>
      <c r="B87" s="1220"/>
      <c r="C87" s="1117"/>
      <c r="D87" s="28" t="s">
        <v>263</v>
      </c>
      <c r="E87" s="94"/>
      <c r="F87" s="80">
        <v>0</v>
      </c>
      <c r="G87" s="80"/>
      <c r="H87" s="80"/>
      <c r="I87" s="80">
        <v>78</v>
      </c>
      <c r="J87" s="28"/>
      <c r="K87" s="28"/>
      <c r="L87" s="28"/>
    </row>
    <row r="88" spans="1:12" hidden="1" x14ac:dyDescent="0.25">
      <c r="A88" s="1815"/>
      <c r="B88" s="1220"/>
      <c r="C88" s="1117"/>
      <c r="D88" s="28" t="s">
        <v>357</v>
      </c>
      <c r="E88" s="94"/>
      <c r="F88" s="97">
        <f>(F87/F85)*100</f>
        <v>0</v>
      </c>
      <c r="G88" s="94"/>
      <c r="H88" s="94"/>
      <c r="I88" s="97">
        <f>I87/I85*100</f>
        <v>37.142857142857146</v>
      </c>
      <c r="J88" s="28"/>
      <c r="K88" s="28"/>
      <c r="L88" s="28"/>
    </row>
    <row r="89" spans="1:12" hidden="1" x14ac:dyDescent="0.25">
      <c r="A89" s="1815"/>
      <c r="B89" s="1220"/>
      <c r="C89" s="1117" t="s">
        <v>363</v>
      </c>
      <c r="D89" s="144" t="s">
        <v>251</v>
      </c>
      <c r="E89" s="94"/>
      <c r="F89" s="80">
        <v>1515</v>
      </c>
      <c r="G89" s="80"/>
      <c r="H89" s="80"/>
      <c r="I89" s="80">
        <v>1890</v>
      </c>
      <c r="J89" s="28"/>
      <c r="K89" s="28"/>
      <c r="L89" s="28"/>
    </row>
    <row r="90" spans="1:12" hidden="1" x14ac:dyDescent="0.25">
      <c r="A90" s="1815"/>
      <c r="B90" s="1220"/>
      <c r="C90" s="1117"/>
      <c r="D90" s="28" t="s">
        <v>257</v>
      </c>
      <c r="E90" s="94"/>
      <c r="F90" s="80">
        <v>410</v>
      </c>
      <c r="G90" s="80"/>
      <c r="H90" s="80"/>
      <c r="I90" s="80">
        <v>399</v>
      </c>
      <c r="J90" s="28"/>
      <c r="K90" s="28"/>
      <c r="L90" s="28"/>
    </row>
    <row r="91" spans="1:12" hidden="1" x14ac:dyDescent="0.25">
      <c r="A91" s="1815"/>
      <c r="B91" s="1220"/>
      <c r="C91" s="1117"/>
      <c r="D91" s="28" t="s">
        <v>263</v>
      </c>
      <c r="E91" s="94"/>
      <c r="F91" s="80">
        <v>1110</v>
      </c>
      <c r="G91" s="80"/>
      <c r="H91" s="80"/>
      <c r="I91" s="80">
        <v>1491</v>
      </c>
      <c r="J91" s="28"/>
      <c r="K91" s="28"/>
      <c r="L91" s="28"/>
    </row>
    <row r="92" spans="1:12" hidden="1" x14ac:dyDescent="0.25">
      <c r="A92" s="1815"/>
      <c r="B92" s="1220"/>
      <c r="C92" s="1117"/>
      <c r="D92" s="28" t="s">
        <v>357</v>
      </c>
      <c r="E92" s="94"/>
      <c r="F92" s="99">
        <f>(F91/F89)*100</f>
        <v>73.267326732673268</v>
      </c>
      <c r="G92" s="94"/>
      <c r="H92" s="94"/>
      <c r="I92" s="99">
        <f>I91/I89*100</f>
        <v>78.888888888888886</v>
      </c>
      <c r="J92" s="28"/>
      <c r="K92" s="28"/>
      <c r="L92" s="28"/>
    </row>
    <row r="93" spans="1:12" ht="14.85" hidden="1" customHeight="1" x14ac:dyDescent="0.25">
      <c r="A93" s="1815"/>
      <c r="B93" s="1220"/>
      <c r="C93" s="1117" t="s">
        <v>364</v>
      </c>
      <c r="D93" s="144" t="s">
        <v>251</v>
      </c>
      <c r="E93" s="94"/>
      <c r="F93" s="80">
        <v>1515</v>
      </c>
      <c r="G93" s="80"/>
      <c r="H93" s="80"/>
      <c r="I93" s="80">
        <v>2166</v>
      </c>
      <c r="J93" s="28"/>
      <c r="K93" s="28"/>
      <c r="L93" s="28"/>
    </row>
    <row r="94" spans="1:12" ht="14.85" hidden="1" customHeight="1" x14ac:dyDescent="0.25">
      <c r="A94" s="1815"/>
      <c r="B94" s="1220"/>
      <c r="C94" s="1117"/>
      <c r="D94" s="28" t="s">
        <v>257</v>
      </c>
      <c r="E94" s="94"/>
      <c r="F94" s="80">
        <v>345</v>
      </c>
      <c r="G94" s="80"/>
      <c r="H94" s="80"/>
      <c r="I94" s="80">
        <v>591</v>
      </c>
      <c r="J94" s="28"/>
      <c r="K94" s="28"/>
      <c r="L94" s="28"/>
    </row>
    <row r="95" spans="1:12" hidden="1" x14ac:dyDescent="0.25">
      <c r="A95" s="1815"/>
      <c r="B95" s="1220"/>
      <c r="C95" s="1117"/>
      <c r="D95" s="28" t="s">
        <v>263</v>
      </c>
      <c r="E95" s="94"/>
      <c r="F95" s="80">
        <v>1165</v>
      </c>
      <c r="G95" s="80"/>
      <c r="H95" s="80"/>
      <c r="I95" s="80">
        <v>1575</v>
      </c>
      <c r="J95" s="28"/>
      <c r="K95" s="28"/>
      <c r="L95" s="28"/>
    </row>
    <row r="96" spans="1:12" hidden="1" x14ac:dyDescent="0.25">
      <c r="A96" s="1815"/>
      <c r="B96" s="1220"/>
      <c r="C96" s="1117"/>
      <c r="D96" s="28" t="s">
        <v>357</v>
      </c>
      <c r="E96" s="94"/>
      <c r="F96" s="99">
        <f>(F95/F93)*100</f>
        <v>76.897689768976889</v>
      </c>
      <c r="G96" s="94"/>
      <c r="H96" s="94"/>
      <c r="I96" s="99">
        <f>I95/I93*100</f>
        <v>72.714681440443215</v>
      </c>
      <c r="J96" s="28"/>
      <c r="K96" s="28"/>
      <c r="L96" s="28"/>
    </row>
    <row r="97" spans="1:12" ht="14.85" hidden="1" customHeight="1" x14ac:dyDescent="0.25">
      <c r="A97" s="1815"/>
      <c r="B97" s="1220"/>
      <c r="C97" s="1117" t="s">
        <v>365</v>
      </c>
      <c r="D97" s="144" t="s">
        <v>251</v>
      </c>
      <c r="E97" s="94"/>
      <c r="F97" s="80">
        <v>315</v>
      </c>
      <c r="G97" s="80"/>
      <c r="H97" s="80"/>
      <c r="I97" s="80">
        <v>510</v>
      </c>
      <c r="J97" s="28"/>
      <c r="K97" s="28"/>
      <c r="L97" s="28"/>
    </row>
    <row r="98" spans="1:12" hidden="1" x14ac:dyDescent="0.25">
      <c r="A98" s="1815"/>
      <c r="B98" s="1220"/>
      <c r="C98" s="1117"/>
      <c r="D98" s="28" t="s">
        <v>257</v>
      </c>
      <c r="E98" s="94"/>
      <c r="F98" s="80">
        <v>110</v>
      </c>
      <c r="G98" s="80"/>
      <c r="H98" s="80"/>
      <c r="I98" s="80">
        <v>186</v>
      </c>
      <c r="J98" s="28"/>
      <c r="K98" s="28"/>
      <c r="L98" s="28"/>
    </row>
    <row r="99" spans="1:12" hidden="1" x14ac:dyDescent="0.25">
      <c r="A99" s="1815"/>
      <c r="B99" s="1220"/>
      <c r="C99" s="1117"/>
      <c r="D99" s="28" t="s">
        <v>263</v>
      </c>
      <c r="E99" s="94"/>
      <c r="F99" s="80">
        <v>200</v>
      </c>
      <c r="G99" s="80"/>
      <c r="H99" s="80"/>
      <c r="I99" s="80">
        <v>324</v>
      </c>
      <c r="J99" s="28"/>
      <c r="K99" s="28"/>
      <c r="L99" s="28"/>
    </row>
    <row r="100" spans="1:12" hidden="1" x14ac:dyDescent="0.25">
      <c r="A100" s="1815"/>
      <c r="B100" s="1220"/>
      <c r="C100" s="1117"/>
      <c r="D100" s="28" t="s">
        <v>357</v>
      </c>
      <c r="E100" s="94"/>
      <c r="F100" s="99">
        <f>F99/F97*100</f>
        <v>63.492063492063487</v>
      </c>
      <c r="G100" s="94"/>
      <c r="H100" s="94"/>
      <c r="I100" s="99">
        <f>I99/I97*100</f>
        <v>63.529411764705877</v>
      </c>
      <c r="J100" s="28"/>
      <c r="K100" s="28"/>
      <c r="L100" s="28"/>
    </row>
    <row r="101" spans="1:12" ht="14.85" hidden="1" customHeight="1" x14ac:dyDescent="0.25">
      <c r="A101" s="1815"/>
      <c r="B101" s="1220"/>
      <c r="C101" s="1117" t="s">
        <v>366</v>
      </c>
      <c r="D101" s="144" t="s">
        <v>251</v>
      </c>
      <c r="E101" s="94"/>
      <c r="F101" s="80">
        <v>1720</v>
      </c>
      <c r="G101" s="80"/>
      <c r="H101" s="80"/>
      <c r="I101" s="80">
        <v>1581</v>
      </c>
      <c r="J101" s="28"/>
      <c r="K101" s="28"/>
      <c r="L101" s="28"/>
    </row>
    <row r="102" spans="1:12" hidden="1" x14ac:dyDescent="0.25">
      <c r="A102" s="1815"/>
      <c r="B102" s="1220"/>
      <c r="C102" s="1117"/>
      <c r="D102" s="28" t="s">
        <v>257</v>
      </c>
      <c r="E102" s="94"/>
      <c r="F102" s="80">
        <v>1140</v>
      </c>
      <c r="G102" s="80"/>
      <c r="H102" s="80"/>
      <c r="I102" s="80">
        <v>1065</v>
      </c>
      <c r="J102" s="28"/>
      <c r="K102" s="28"/>
      <c r="L102" s="28"/>
    </row>
    <row r="103" spans="1:12" hidden="1" x14ac:dyDescent="0.25">
      <c r="A103" s="1815"/>
      <c r="B103" s="1220"/>
      <c r="C103" s="1117"/>
      <c r="D103" s="28" t="s">
        <v>263</v>
      </c>
      <c r="E103" s="94"/>
      <c r="F103" s="80">
        <v>575</v>
      </c>
      <c r="G103" s="80"/>
      <c r="H103" s="80"/>
      <c r="I103" s="80">
        <v>516</v>
      </c>
      <c r="J103" s="28"/>
      <c r="K103" s="28"/>
      <c r="L103" s="28"/>
    </row>
    <row r="104" spans="1:12" hidden="1" x14ac:dyDescent="0.25">
      <c r="A104" s="1815"/>
      <c r="B104" s="1220"/>
      <c r="C104" s="1117"/>
      <c r="D104" s="28" t="s">
        <v>357</v>
      </c>
      <c r="E104" s="94"/>
      <c r="F104" s="97">
        <f>(F103/F101)*100</f>
        <v>33.430232558139537</v>
      </c>
      <c r="G104" s="94"/>
      <c r="H104" s="94"/>
      <c r="I104" s="97">
        <f>I103/I101*100</f>
        <v>32.637571157495252</v>
      </c>
      <c r="J104" s="28"/>
      <c r="K104" s="28"/>
      <c r="L104" s="28"/>
    </row>
    <row r="105" spans="1:12" hidden="1" x14ac:dyDescent="0.25">
      <c r="A105" s="1815"/>
      <c r="B105" s="1220"/>
      <c r="C105" s="1117" t="s">
        <v>367</v>
      </c>
      <c r="D105" s="144" t="s">
        <v>251</v>
      </c>
      <c r="E105" s="94"/>
      <c r="F105" s="80">
        <v>245</v>
      </c>
      <c r="G105" s="80"/>
      <c r="H105" s="80"/>
      <c r="I105" s="80">
        <v>378</v>
      </c>
      <c r="J105" s="96"/>
      <c r="K105" s="28"/>
      <c r="L105" s="28"/>
    </row>
    <row r="106" spans="1:12" hidden="1" x14ac:dyDescent="0.25">
      <c r="A106" s="1815"/>
      <c r="B106" s="1220"/>
      <c r="C106" s="1117"/>
      <c r="D106" s="28" t="s">
        <v>257</v>
      </c>
      <c r="E106" s="94"/>
      <c r="F106" s="80">
        <v>95</v>
      </c>
      <c r="G106" s="80"/>
      <c r="H106" s="80"/>
      <c r="I106" s="80">
        <v>162</v>
      </c>
      <c r="J106" s="96"/>
      <c r="K106" s="28"/>
      <c r="L106" s="28"/>
    </row>
    <row r="107" spans="1:12" hidden="1" x14ac:dyDescent="0.25">
      <c r="A107" s="1815"/>
      <c r="B107" s="1220"/>
      <c r="C107" s="1117"/>
      <c r="D107" s="28" t="s">
        <v>263</v>
      </c>
      <c r="E107" s="94"/>
      <c r="F107" s="80">
        <v>150</v>
      </c>
      <c r="G107" s="80"/>
      <c r="H107" s="80"/>
      <c r="I107" s="80">
        <v>219</v>
      </c>
      <c r="J107" s="96"/>
      <c r="K107" s="28"/>
      <c r="L107" s="28"/>
    </row>
    <row r="108" spans="1:12" hidden="1" x14ac:dyDescent="0.25">
      <c r="A108" s="1815"/>
      <c r="B108" s="1220"/>
      <c r="C108" s="1117"/>
      <c r="D108" s="28" t="s">
        <v>357</v>
      </c>
      <c r="E108" s="94"/>
      <c r="F108" s="99">
        <f>(F107/F105)*100</f>
        <v>61.224489795918366</v>
      </c>
      <c r="G108" s="94"/>
      <c r="H108" s="94"/>
      <c r="I108" s="98">
        <f>I107/I105*100</f>
        <v>57.936507936507944</v>
      </c>
      <c r="J108" s="96"/>
      <c r="K108" s="28"/>
      <c r="L108" s="28"/>
    </row>
    <row r="109" spans="1:12" ht="14.85" hidden="1" customHeight="1" x14ac:dyDescent="0.25">
      <c r="A109" s="1815"/>
      <c r="B109" s="1220"/>
      <c r="C109" s="1117" t="s">
        <v>368</v>
      </c>
      <c r="D109" s="144" t="s">
        <v>251</v>
      </c>
      <c r="E109" s="94"/>
      <c r="F109" s="80">
        <v>970</v>
      </c>
      <c r="G109" s="80"/>
      <c r="H109" s="80"/>
      <c r="I109" s="80">
        <v>1674</v>
      </c>
      <c r="J109" s="96"/>
      <c r="K109" s="28"/>
      <c r="L109" s="28"/>
    </row>
    <row r="110" spans="1:12" hidden="1" x14ac:dyDescent="0.25">
      <c r="A110" s="1815"/>
      <c r="B110" s="1220"/>
      <c r="C110" s="1117"/>
      <c r="D110" s="28" t="s">
        <v>257</v>
      </c>
      <c r="E110" s="94"/>
      <c r="F110" s="80">
        <v>510</v>
      </c>
      <c r="G110" s="80"/>
      <c r="H110" s="80"/>
      <c r="I110" s="80">
        <v>762</v>
      </c>
      <c r="J110" s="96"/>
      <c r="K110" s="28"/>
      <c r="L110" s="28"/>
    </row>
    <row r="111" spans="1:12" hidden="1" x14ac:dyDescent="0.25">
      <c r="A111" s="1815"/>
      <c r="B111" s="1220"/>
      <c r="C111" s="1117"/>
      <c r="D111" s="28" t="s">
        <v>263</v>
      </c>
      <c r="E111" s="94"/>
      <c r="F111" s="80">
        <v>460</v>
      </c>
      <c r="G111" s="80"/>
      <c r="H111" s="80"/>
      <c r="I111" s="80">
        <v>912</v>
      </c>
      <c r="J111" s="96"/>
      <c r="K111" s="28"/>
      <c r="L111" s="28"/>
    </row>
    <row r="112" spans="1:12" hidden="1" x14ac:dyDescent="0.25">
      <c r="A112" s="1815"/>
      <c r="B112" s="1220"/>
      <c r="C112" s="1117"/>
      <c r="D112" s="28" t="s">
        <v>357</v>
      </c>
      <c r="E112" s="94"/>
      <c r="F112" s="98">
        <f>(F111/F109)*100</f>
        <v>47.422680412371129</v>
      </c>
      <c r="G112" s="94"/>
      <c r="H112" s="94"/>
      <c r="I112" s="98">
        <f>I111/I109*100</f>
        <v>54.480286738351261</v>
      </c>
      <c r="J112" s="96"/>
      <c r="K112" s="28"/>
      <c r="L112" s="28"/>
    </row>
    <row r="113" spans="1:12" ht="14.85" hidden="1" customHeight="1" x14ac:dyDescent="0.25">
      <c r="A113" s="1815"/>
      <c r="B113" s="1220"/>
      <c r="C113" s="1117" t="s">
        <v>369</v>
      </c>
      <c r="D113" s="144" t="s">
        <v>251</v>
      </c>
      <c r="E113" s="94"/>
      <c r="F113" s="80">
        <v>865</v>
      </c>
      <c r="G113" s="80"/>
      <c r="H113" s="80"/>
      <c r="I113" s="80">
        <v>1476</v>
      </c>
      <c r="J113" s="96"/>
      <c r="K113" s="28"/>
      <c r="L113" s="28"/>
    </row>
    <row r="114" spans="1:12" hidden="1" x14ac:dyDescent="0.25">
      <c r="A114" s="1815"/>
      <c r="B114" s="1220"/>
      <c r="C114" s="1117"/>
      <c r="D114" s="28" t="s">
        <v>257</v>
      </c>
      <c r="E114" s="94"/>
      <c r="F114" s="80">
        <v>615</v>
      </c>
      <c r="G114" s="80"/>
      <c r="H114" s="80"/>
      <c r="I114" s="80">
        <v>1071</v>
      </c>
      <c r="J114" s="96"/>
      <c r="K114" s="28"/>
      <c r="L114" s="28"/>
    </row>
    <row r="115" spans="1:12" hidden="1" x14ac:dyDescent="0.25">
      <c r="A115" s="1815"/>
      <c r="B115" s="1220"/>
      <c r="C115" s="1117"/>
      <c r="D115" s="28" t="s">
        <v>263</v>
      </c>
      <c r="E115" s="94"/>
      <c r="F115" s="80">
        <v>250</v>
      </c>
      <c r="G115" s="80"/>
      <c r="H115" s="80"/>
      <c r="I115" s="80">
        <v>405</v>
      </c>
      <c r="J115" s="96"/>
      <c r="K115" s="28"/>
      <c r="L115" s="28"/>
    </row>
    <row r="116" spans="1:12" hidden="1" x14ac:dyDescent="0.25">
      <c r="A116" s="1815"/>
      <c r="B116" s="1220"/>
      <c r="C116" s="1117"/>
      <c r="D116" s="28" t="s">
        <v>357</v>
      </c>
      <c r="E116" s="94"/>
      <c r="F116" s="97">
        <f>(F115/F113)*100</f>
        <v>28.901734104046245</v>
      </c>
      <c r="G116" s="94"/>
      <c r="H116" s="94"/>
      <c r="I116" s="97">
        <f>I115/I113*100</f>
        <v>27.439024390243905</v>
      </c>
      <c r="J116" s="96"/>
      <c r="K116" s="28"/>
      <c r="L116" s="28"/>
    </row>
    <row r="117" spans="1:12" ht="14.85" hidden="1" customHeight="1" x14ac:dyDescent="0.25">
      <c r="A117" s="1815"/>
      <c r="B117" s="1220"/>
      <c r="C117" s="1117" t="s">
        <v>370</v>
      </c>
      <c r="D117" s="144" t="s">
        <v>251</v>
      </c>
      <c r="E117" s="94"/>
      <c r="F117" s="80">
        <v>475</v>
      </c>
      <c r="G117" s="80"/>
      <c r="H117" s="80"/>
      <c r="I117" s="80">
        <v>564</v>
      </c>
      <c r="J117" s="96"/>
      <c r="K117" s="28"/>
      <c r="L117" s="28"/>
    </row>
    <row r="118" spans="1:12" hidden="1" x14ac:dyDescent="0.25">
      <c r="A118" s="1815"/>
      <c r="B118" s="1220"/>
      <c r="C118" s="1117"/>
      <c r="D118" s="28" t="s">
        <v>257</v>
      </c>
      <c r="E118" s="94"/>
      <c r="F118" s="80">
        <v>175</v>
      </c>
      <c r="G118" s="80"/>
      <c r="H118" s="80"/>
      <c r="I118" s="80">
        <v>132</v>
      </c>
      <c r="J118" s="96"/>
      <c r="K118" s="28"/>
      <c r="L118" s="28"/>
    </row>
    <row r="119" spans="1:12" hidden="1" x14ac:dyDescent="0.25">
      <c r="A119" s="1815"/>
      <c r="B119" s="1220"/>
      <c r="C119" s="1117"/>
      <c r="D119" s="28" t="s">
        <v>263</v>
      </c>
      <c r="E119" s="94"/>
      <c r="F119" s="80">
        <v>300</v>
      </c>
      <c r="G119" s="80"/>
      <c r="H119" s="80"/>
      <c r="I119" s="80">
        <v>429</v>
      </c>
      <c r="J119" s="96"/>
      <c r="K119" s="28"/>
      <c r="L119" s="28"/>
    </row>
    <row r="120" spans="1:12" hidden="1" x14ac:dyDescent="0.25">
      <c r="A120" s="1815"/>
      <c r="B120" s="1220"/>
      <c r="C120" s="1117"/>
      <c r="D120" s="28" t="s">
        <v>357</v>
      </c>
      <c r="E120" s="94"/>
      <c r="F120" s="99">
        <f>(F119/F117)*100</f>
        <v>63.157894736842103</v>
      </c>
      <c r="G120" s="94"/>
      <c r="H120" s="94"/>
      <c r="I120" s="99">
        <f>I119/I117*100</f>
        <v>76.063829787234042</v>
      </c>
      <c r="J120" s="96"/>
      <c r="K120" s="28"/>
      <c r="L120" s="28"/>
    </row>
    <row r="121" spans="1:12" ht="14.85" hidden="1" customHeight="1" x14ac:dyDescent="0.25">
      <c r="A121" s="1815"/>
      <c r="B121" s="1220"/>
      <c r="C121" s="1117" t="s">
        <v>371</v>
      </c>
      <c r="D121" s="144" t="s">
        <v>251</v>
      </c>
      <c r="E121" s="94"/>
      <c r="F121" s="80">
        <v>35</v>
      </c>
      <c r="G121" s="80"/>
      <c r="H121" s="80"/>
      <c r="I121" s="80">
        <v>525</v>
      </c>
      <c r="J121" s="96"/>
      <c r="K121" s="28"/>
      <c r="L121" s="28"/>
    </row>
    <row r="122" spans="1:12" hidden="1" x14ac:dyDescent="0.25">
      <c r="A122" s="1815"/>
      <c r="B122" s="1220"/>
      <c r="C122" s="1117"/>
      <c r="D122" s="28" t="s">
        <v>257</v>
      </c>
      <c r="E122" s="94"/>
      <c r="F122" s="80">
        <v>35</v>
      </c>
      <c r="G122" s="80"/>
      <c r="H122" s="80"/>
      <c r="I122" s="80">
        <v>252</v>
      </c>
      <c r="J122" s="96"/>
      <c r="K122" s="28"/>
      <c r="L122" s="28"/>
    </row>
    <row r="123" spans="1:12" hidden="1" x14ac:dyDescent="0.25">
      <c r="A123" s="1815"/>
      <c r="B123" s="1220"/>
      <c r="C123" s="1117"/>
      <c r="D123" s="28" t="s">
        <v>263</v>
      </c>
      <c r="E123" s="94"/>
      <c r="F123" s="80">
        <v>0</v>
      </c>
      <c r="G123" s="80"/>
      <c r="H123" s="80"/>
      <c r="I123" s="80">
        <v>270</v>
      </c>
      <c r="J123" s="96"/>
      <c r="K123" s="28"/>
      <c r="L123" s="28"/>
    </row>
    <row r="124" spans="1:12" hidden="1" x14ac:dyDescent="0.25">
      <c r="A124" s="1815"/>
      <c r="B124" s="1220"/>
      <c r="C124" s="1117"/>
      <c r="D124" s="28" t="s">
        <v>357</v>
      </c>
      <c r="E124" s="94"/>
      <c r="F124" s="97">
        <f>(F123/F121)*100</f>
        <v>0</v>
      </c>
      <c r="G124" s="94"/>
      <c r="H124" s="94"/>
      <c r="I124" s="98">
        <f>I123/I121*100</f>
        <v>51.428571428571423</v>
      </c>
      <c r="J124" s="96"/>
      <c r="K124" s="28"/>
      <c r="L124" s="28"/>
    </row>
    <row r="125" spans="1:12" ht="14.85" hidden="1" customHeight="1" x14ac:dyDescent="0.25">
      <c r="A125" s="1815"/>
      <c r="B125" s="1220"/>
      <c r="C125" s="1117" t="s">
        <v>372</v>
      </c>
      <c r="D125" s="144" t="s">
        <v>251</v>
      </c>
      <c r="E125" s="94"/>
      <c r="F125" s="80">
        <v>1485</v>
      </c>
      <c r="G125" s="80"/>
      <c r="H125" s="80"/>
      <c r="I125" s="80">
        <v>990</v>
      </c>
      <c r="J125" s="96"/>
      <c r="K125" s="28"/>
      <c r="L125" s="28"/>
    </row>
    <row r="126" spans="1:12" ht="14.85" hidden="1" customHeight="1" x14ac:dyDescent="0.25">
      <c r="A126" s="1815"/>
      <c r="B126" s="1220"/>
      <c r="C126" s="1117"/>
      <c r="D126" s="28" t="s">
        <v>257</v>
      </c>
      <c r="E126" s="94"/>
      <c r="F126" s="80">
        <v>1130</v>
      </c>
      <c r="G126" s="80"/>
      <c r="H126" s="80"/>
      <c r="I126" s="80">
        <v>714</v>
      </c>
      <c r="J126" s="96"/>
      <c r="K126" s="28"/>
      <c r="L126" s="28"/>
    </row>
    <row r="127" spans="1:12" hidden="1" x14ac:dyDescent="0.25">
      <c r="A127" s="1815"/>
      <c r="B127" s="1220"/>
      <c r="C127" s="1117"/>
      <c r="D127" s="28" t="s">
        <v>263</v>
      </c>
      <c r="E127" s="94"/>
      <c r="F127" s="80">
        <v>355</v>
      </c>
      <c r="G127" s="80"/>
      <c r="H127" s="80"/>
      <c r="I127" s="80">
        <v>276</v>
      </c>
      <c r="J127" s="96"/>
      <c r="K127" s="28"/>
      <c r="L127" s="28"/>
    </row>
    <row r="128" spans="1:12" hidden="1" x14ac:dyDescent="0.25">
      <c r="A128" s="1815"/>
      <c r="B128" s="1220"/>
      <c r="C128" s="1117"/>
      <c r="D128" s="28" t="s">
        <v>357</v>
      </c>
      <c r="E128" s="94"/>
      <c r="F128" s="97">
        <f>(F127/F125)*100</f>
        <v>23.905723905723907</v>
      </c>
      <c r="G128" s="94"/>
      <c r="H128" s="94"/>
      <c r="I128" s="97">
        <f>I127/I125*100</f>
        <v>27.878787878787882</v>
      </c>
      <c r="J128" s="96"/>
      <c r="K128" s="28"/>
      <c r="L128" s="28"/>
    </row>
    <row r="129" spans="1:12" ht="14.85" hidden="1" customHeight="1" x14ac:dyDescent="0.25">
      <c r="A129" s="1815"/>
      <c r="B129" s="1220"/>
      <c r="C129" s="1117" t="s">
        <v>373</v>
      </c>
      <c r="D129" s="144" t="s">
        <v>251</v>
      </c>
      <c r="E129" s="94"/>
      <c r="F129" s="80">
        <v>515</v>
      </c>
      <c r="G129" s="80"/>
      <c r="H129" s="80"/>
      <c r="I129" s="80">
        <v>204</v>
      </c>
      <c r="J129" s="96"/>
      <c r="K129" s="28"/>
      <c r="L129" s="28"/>
    </row>
    <row r="130" spans="1:12" hidden="1" x14ac:dyDescent="0.25">
      <c r="A130" s="1815"/>
      <c r="B130" s="1220"/>
      <c r="C130" s="1117"/>
      <c r="D130" s="28" t="s">
        <v>257</v>
      </c>
      <c r="E130" s="94"/>
      <c r="F130" s="80">
        <v>485</v>
      </c>
      <c r="G130" s="80"/>
      <c r="H130" s="80"/>
      <c r="I130" s="80">
        <v>180</v>
      </c>
      <c r="J130" s="96"/>
      <c r="K130" s="28"/>
      <c r="L130" s="28"/>
    </row>
    <row r="131" spans="1:12" hidden="1" x14ac:dyDescent="0.25">
      <c r="A131" s="1815"/>
      <c r="B131" s="1220"/>
      <c r="C131" s="1117"/>
      <c r="D131" s="28" t="s">
        <v>263</v>
      </c>
      <c r="E131" s="94"/>
      <c r="F131" s="80">
        <v>30</v>
      </c>
      <c r="G131" s="80"/>
      <c r="H131" s="80"/>
      <c r="I131" s="80">
        <v>24</v>
      </c>
      <c r="J131" s="96"/>
      <c r="K131" s="28"/>
      <c r="L131" s="28"/>
    </row>
    <row r="132" spans="1:12" hidden="1" x14ac:dyDescent="0.25">
      <c r="A132" s="1815"/>
      <c r="B132" s="1220"/>
      <c r="C132" s="1117"/>
      <c r="D132" s="28" t="s">
        <v>357</v>
      </c>
      <c r="E132" s="94"/>
      <c r="F132" s="97">
        <f>(F131/F129)*100</f>
        <v>5.825242718446602</v>
      </c>
      <c r="G132" s="94"/>
      <c r="H132" s="94"/>
      <c r="I132" s="97">
        <f>I131/I129*100</f>
        <v>11.76470588235294</v>
      </c>
      <c r="J132" s="96"/>
      <c r="K132" s="28"/>
      <c r="L132" s="28"/>
    </row>
    <row r="133" spans="1:12" ht="14.85" hidden="1" customHeight="1" x14ac:dyDescent="0.25">
      <c r="A133" s="1815"/>
      <c r="B133" s="1220"/>
      <c r="C133" s="1117" t="s">
        <v>374</v>
      </c>
      <c r="D133" s="144" t="s">
        <v>251</v>
      </c>
      <c r="E133" s="94"/>
      <c r="F133" s="80">
        <v>380</v>
      </c>
      <c r="G133" s="80"/>
      <c r="H133" s="80"/>
      <c r="I133" s="80">
        <v>450</v>
      </c>
      <c r="J133" s="96"/>
      <c r="K133" s="28"/>
      <c r="L133" s="28"/>
    </row>
    <row r="134" spans="1:12" hidden="1" x14ac:dyDescent="0.25">
      <c r="A134" s="1815"/>
      <c r="B134" s="1220"/>
      <c r="C134" s="1117"/>
      <c r="D134" s="28" t="s">
        <v>257</v>
      </c>
      <c r="E134" s="94"/>
      <c r="F134" s="80">
        <v>80</v>
      </c>
      <c r="G134" s="80"/>
      <c r="H134" s="80"/>
      <c r="I134" s="80">
        <v>135</v>
      </c>
      <c r="J134" s="96"/>
      <c r="K134" s="28"/>
      <c r="L134" s="28"/>
    </row>
    <row r="135" spans="1:12" hidden="1" x14ac:dyDescent="0.25">
      <c r="A135" s="1815"/>
      <c r="B135" s="1220"/>
      <c r="C135" s="1117"/>
      <c r="D135" s="28" t="s">
        <v>263</v>
      </c>
      <c r="E135" s="94"/>
      <c r="F135" s="80">
        <v>300</v>
      </c>
      <c r="G135" s="80"/>
      <c r="H135" s="80"/>
      <c r="I135" s="80">
        <v>315</v>
      </c>
      <c r="J135" s="96"/>
      <c r="K135" s="28"/>
      <c r="L135" s="28"/>
    </row>
    <row r="136" spans="1:12" hidden="1" x14ac:dyDescent="0.25">
      <c r="A136" s="1815"/>
      <c r="B136" s="1220"/>
      <c r="C136" s="1117"/>
      <c r="D136" s="28" t="s">
        <v>357</v>
      </c>
      <c r="E136" s="94"/>
      <c r="F136" s="99">
        <f>(F135/F133)*100</f>
        <v>78.94736842105263</v>
      </c>
      <c r="G136" s="94"/>
      <c r="H136" s="94"/>
      <c r="I136" s="99">
        <f>I135/I133*100</f>
        <v>70</v>
      </c>
      <c r="J136" s="96"/>
      <c r="K136" s="28"/>
      <c r="L136" s="28"/>
    </row>
    <row r="137" spans="1:12" ht="14.85" hidden="1" customHeight="1" x14ac:dyDescent="0.25">
      <c r="A137" s="1815"/>
      <c r="B137" s="1220"/>
      <c r="C137" s="1117" t="s">
        <v>375</v>
      </c>
      <c r="D137" s="144" t="s">
        <v>251</v>
      </c>
      <c r="E137" s="94"/>
      <c r="F137" s="80">
        <v>65</v>
      </c>
      <c r="G137" s="80"/>
      <c r="H137" s="80"/>
      <c r="I137" s="80">
        <v>105</v>
      </c>
      <c r="J137" s="96"/>
      <c r="K137" s="28"/>
      <c r="L137" s="28"/>
    </row>
    <row r="138" spans="1:12" ht="14.85" hidden="1" customHeight="1" x14ac:dyDescent="0.25">
      <c r="A138" s="1815"/>
      <c r="B138" s="1220"/>
      <c r="C138" s="1117"/>
      <c r="D138" s="28" t="s">
        <v>257</v>
      </c>
      <c r="E138" s="94"/>
      <c r="F138" s="80">
        <v>55</v>
      </c>
      <c r="G138" s="80"/>
      <c r="H138" s="80"/>
      <c r="I138" s="80">
        <v>54</v>
      </c>
      <c r="J138" s="96"/>
      <c r="K138" s="28"/>
      <c r="L138" s="28"/>
    </row>
    <row r="139" spans="1:12" hidden="1" x14ac:dyDescent="0.25">
      <c r="A139" s="1815"/>
      <c r="B139" s="1220"/>
      <c r="C139" s="1117"/>
      <c r="D139" s="28" t="s">
        <v>263</v>
      </c>
      <c r="E139" s="94"/>
      <c r="F139" s="80">
        <v>10</v>
      </c>
      <c r="G139" s="80"/>
      <c r="H139" s="80"/>
      <c r="I139" s="80">
        <v>48</v>
      </c>
      <c r="J139" s="96"/>
      <c r="K139" s="28"/>
      <c r="L139" s="28"/>
    </row>
    <row r="140" spans="1:12" hidden="1" x14ac:dyDescent="0.25">
      <c r="A140" s="1815"/>
      <c r="B140" s="1220"/>
      <c r="C140" s="1117"/>
      <c r="D140" s="28" t="s">
        <v>357</v>
      </c>
      <c r="E140" s="94"/>
      <c r="F140" s="97">
        <f>(F139/F137)*100</f>
        <v>15.384615384615385</v>
      </c>
      <c r="G140" s="94"/>
      <c r="H140" s="94"/>
      <c r="I140" s="98">
        <f>I139/I137*100</f>
        <v>45.714285714285715</v>
      </c>
      <c r="J140" s="96"/>
      <c r="K140" s="28"/>
      <c r="L140" s="28"/>
    </row>
    <row r="141" spans="1:12" ht="14.85" hidden="1" customHeight="1" x14ac:dyDescent="0.25">
      <c r="A141" s="1815"/>
      <c r="B141" s="1220"/>
      <c r="C141" s="1117" t="s">
        <v>376</v>
      </c>
      <c r="D141" s="144" t="s">
        <v>251</v>
      </c>
      <c r="E141" s="94"/>
      <c r="F141" s="80">
        <v>1050</v>
      </c>
      <c r="G141" s="80"/>
      <c r="H141" s="80"/>
      <c r="I141" s="80">
        <v>1620</v>
      </c>
      <c r="J141" s="96"/>
      <c r="K141" s="28"/>
      <c r="L141" s="28"/>
    </row>
    <row r="142" spans="1:12" ht="14.85" hidden="1" customHeight="1" x14ac:dyDescent="0.25">
      <c r="A142" s="1815"/>
      <c r="B142" s="1220"/>
      <c r="C142" s="1117"/>
      <c r="D142" s="28" t="s">
        <v>257</v>
      </c>
      <c r="E142" s="94"/>
      <c r="F142" s="80">
        <v>705</v>
      </c>
      <c r="G142" s="80"/>
      <c r="H142" s="80"/>
      <c r="I142" s="80">
        <v>996</v>
      </c>
      <c r="J142" s="96"/>
      <c r="K142" s="28"/>
      <c r="L142" s="28"/>
    </row>
    <row r="143" spans="1:12" hidden="1" x14ac:dyDescent="0.25">
      <c r="A143" s="1815"/>
      <c r="B143" s="1220"/>
      <c r="C143" s="1117"/>
      <c r="D143" s="28" t="s">
        <v>263</v>
      </c>
      <c r="E143" s="94"/>
      <c r="F143" s="80">
        <v>345</v>
      </c>
      <c r="G143" s="80"/>
      <c r="H143" s="80"/>
      <c r="I143" s="80">
        <v>624</v>
      </c>
      <c r="J143" s="96"/>
      <c r="K143" s="28"/>
      <c r="L143" s="28"/>
    </row>
    <row r="144" spans="1:12" hidden="1" x14ac:dyDescent="0.25">
      <c r="A144" s="1815"/>
      <c r="B144" s="1220"/>
      <c r="C144" s="1117"/>
      <c r="D144" s="28" t="s">
        <v>357</v>
      </c>
      <c r="E144" s="94"/>
      <c r="F144" s="97">
        <f>(F143/F141)*100</f>
        <v>32.857142857142854</v>
      </c>
      <c r="G144" s="94"/>
      <c r="H144" s="94"/>
      <c r="I144" s="97">
        <f>I143/I141*100</f>
        <v>38.518518518518519</v>
      </c>
      <c r="J144" s="96"/>
      <c r="K144" s="28"/>
      <c r="L144" s="28"/>
    </row>
    <row r="145" spans="1:12" ht="14.85" hidden="1" customHeight="1" x14ac:dyDescent="0.25">
      <c r="A145" s="1815"/>
      <c r="B145" s="1220"/>
      <c r="C145" s="1117" t="s">
        <v>377</v>
      </c>
      <c r="D145" s="144" t="s">
        <v>251</v>
      </c>
      <c r="E145" s="94"/>
      <c r="F145" s="80">
        <v>1225</v>
      </c>
      <c r="G145" s="80"/>
      <c r="H145" s="80"/>
      <c r="I145" s="80">
        <v>1290</v>
      </c>
      <c r="J145" s="96"/>
      <c r="K145" s="28"/>
      <c r="L145" s="28"/>
    </row>
    <row r="146" spans="1:12" hidden="1" x14ac:dyDescent="0.25">
      <c r="A146" s="1815"/>
      <c r="B146" s="1220"/>
      <c r="C146" s="1117"/>
      <c r="D146" s="28" t="s">
        <v>257</v>
      </c>
      <c r="E146" s="94"/>
      <c r="F146" s="80">
        <v>225</v>
      </c>
      <c r="G146" s="80"/>
      <c r="H146" s="80"/>
      <c r="I146" s="80">
        <v>417</v>
      </c>
      <c r="J146" s="96"/>
      <c r="K146" s="28"/>
      <c r="L146" s="28"/>
    </row>
    <row r="147" spans="1:12" hidden="1" x14ac:dyDescent="0.25">
      <c r="A147" s="1815"/>
      <c r="B147" s="1220"/>
      <c r="C147" s="1117"/>
      <c r="D147" s="28" t="s">
        <v>263</v>
      </c>
      <c r="E147" s="94"/>
      <c r="F147" s="80">
        <v>1000</v>
      </c>
      <c r="G147" s="80"/>
      <c r="H147" s="80"/>
      <c r="I147" s="80">
        <v>873</v>
      </c>
      <c r="J147" s="96"/>
      <c r="K147" s="28"/>
      <c r="L147" s="28"/>
    </row>
    <row r="148" spans="1:12" hidden="1" x14ac:dyDescent="0.25">
      <c r="A148" s="1815"/>
      <c r="B148" s="1220"/>
      <c r="C148" s="1117"/>
      <c r="D148" s="28" t="s">
        <v>357</v>
      </c>
      <c r="E148" s="94"/>
      <c r="F148" s="99">
        <f>(F147/F145)*100</f>
        <v>81.632653061224488</v>
      </c>
      <c r="G148" s="94"/>
      <c r="H148" s="94"/>
      <c r="I148" s="99">
        <f>I147/I145*100</f>
        <v>67.674418604651166</v>
      </c>
      <c r="J148" s="96"/>
      <c r="K148" s="28"/>
      <c r="L148" s="28"/>
    </row>
    <row r="149" spans="1:12" ht="14.85" hidden="1" customHeight="1" x14ac:dyDescent="0.25">
      <c r="A149" s="1815"/>
      <c r="B149" s="1220"/>
      <c r="C149" s="1117" t="s">
        <v>378</v>
      </c>
      <c r="D149" s="144" t="s">
        <v>251</v>
      </c>
      <c r="E149" s="94"/>
      <c r="F149" s="80">
        <v>545</v>
      </c>
      <c r="G149" s="80"/>
      <c r="H149" s="80"/>
      <c r="I149" s="80">
        <v>831</v>
      </c>
      <c r="J149" s="96"/>
      <c r="K149" s="28"/>
      <c r="L149" s="28"/>
    </row>
    <row r="150" spans="1:12" hidden="1" x14ac:dyDescent="0.25">
      <c r="A150" s="1815"/>
      <c r="B150" s="1220"/>
      <c r="C150" s="1117"/>
      <c r="D150" s="28" t="s">
        <v>257</v>
      </c>
      <c r="E150" s="94"/>
      <c r="F150" s="80">
        <v>255</v>
      </c>
      <c r="G150" s="80"/>
      <c r="H150" s="80"/>
      <c r="I150" s="80">
        <v>426</v>
      </c>
      <c r="J150" s="96"/>
      <c r="K150" s="28"/>
      <c r="L150" s="28"/>
    </row>
    <row r="151" spans="1:12" hidden="1" x14ac:dyDescent="0.25">
      <c r="A151" s="1815"/>
      <c r="B151" s="1220"/>
      <c r="C151" s="1117"/>
      <c r="D151" s="28" t="s">
        <v>263</v>
      </c>
      <c r="E151" s="94"/>
      <c r="F151" s="80">
        <v>285</v>
      </c>
      <c r="G151" s="80"/>
      <c r="H151" s="80"/>
      <c r="I151" s="80">
        <v>402</v>
      </c>
      <c r="J151" s="96"/>
      <c r="K151" s="28"/>
      <c r="L151" s="28"/>
    </row>
    <row r="152" spans="1:12" hidden="1" x14ac:dyDescent="0.25">
      <c r="A152" s="1815"/>
      <c r="B152" s="1220"/>
      <c r="C152" s="1117"/>
      <c r="D152" s="28" t="s">
        <v>357</v>
      </c>
      <c r="E152" s="94"/>
      <c r="F152" s="98">
        <f>(F151/F149)*100</f>
        <v>52.293577981651374</v>
      </c>
      <c r="G152" s="94"/>
      <c r="H152" s="94"/>
      <c r="I152" s="98">
        <f>I151/I149*100</f>
        <v>48.375451263537904</v>
      </c>
      <c r="J152" s="96"/>
      <c r="K152" s="28"/>
      <c r="L152" s="28"/>
    </row>
    <row r="153" spans="1:12" ht="14.85" hidden="1" customHeight="1" x14ac:dyDescent="0.25">
      <c r="A153" s="1815"/>
      <c r="B153" s="1220"/>
      <c r="C153" s="1117" t="s">
        <v>379</v>
      </c>
      <c r="D153" s="144" t="s">
        <v>251</v>
      </c>
      <c r="E153" s="94"/>
      <c r="F153" s="80">
        <v>1630</v>
      </c>
      <c r="G153" s="80"/>
      <c r="H153" s="80"/>
      <c r="I153" s="80">
        <v>1452</v>
      </c>
      <c r="J153" s="96"/>
      <c r="K153" s="28"/>
      <c r="L153" s="28"/>
    </row>
    <row r="154" spans="1:12" hidden="1" x14ac:dyDescent="0.25">
      <c r="A154" s="1815"/>
      <c r="B154" s="1220"/>
      <c r="C154" s="1117"/>
      <c r="D154" s="28" t="s">
        <v>257</v>
      </c>
      <c r="E154" s="94"/>
      <c r="F154" s="80">
        <v>1180</v>
      </c>
      <c r="G154" s="80"/>
      <c r="H154" s="80"/>
      <c r="I154" s="80">
        <v>1101</v>
      </c>
      <c r="J154" s="96"/>
      <c r="K154" s="28"/>
      <c r="L154" s="28"/>
    </row>
    <row r="155" spans="1:12" hidden="1" x14ac:dyDescent="0.25">
      <c r="A155" s="1815"/>
      <c r="B155" s="1220"/>
      <c r="C155" s="1117"/>
      <c r="D155" s="28" t="s">
        <v>263</v>
      </c>
      <c r="E155" s="94"/>
      <c r="F155" s="80">
        <v>445</v>
      </c>
      <c r="G155" s="80"/>
      <c r="H155" s="80"/>
      <c r="I155" s="80">
        <v>348</v>
      </c>
      <c r="J155" s="96"/>
      <c r="K155" s="28"/>
      <c r="L155" s="28"/>
    </row>
    <row r="156" spans="1:12" hidden="1" x14ac:dyDescent="0.25">
      <c r="A156" s="1815"/>
      <c r="B156" s="1220"/>
      <c r="C156" s="1117"/>
      <c r="D156" s="28" t="s">
        <v>357</v>
      </c>
      <c r="E156" s="94"/>
      <c r="F156" s="97">
        <f>(F155/F153)*100</f>
        <v>27.300613496932513</v>
      </c>
      <c r="G156" s="94"/>
      <c r="H156" s="94"/>
      <c r="I156" s="97">
        <f>I155/I153*100</f>
        <v>23.966942148760332</v>
      </c>
      <c r="J156" s="96"/>
      <c r="K156" s="28"/>
      <c r="L156" s="28"/>
    </row>
    <row r="157" spans="1:12" ht="14.85" hidden="1" customHeight="1" x14ac:dyDescent="0.25">
      <c r="A157" s="1815"/>
      <c r="B157" s="1220"/>
      <c r="C157" s="1117" t="s">
        <v>380</v>
      </c>
      <c r="D157" s="144" t="s">
        <v>251</v>
      </c>
      <c r="E157" s="94"/>
      <c r="F157" s="80">
        <v>2290</v>
      </c>
      <c r="G157" s="80"/>
      <c r="H157" s="80"/>
      <c r="I157" s="80">
        <v>1476</v>
      </c>
      <c r="J157" s="96"/>
      <c r="K157" s="28"/>
      <c r="L157" s="28"/>
    </row>
    <row r="158" spans="1:12" hidden="1" x14ac:dyDescent="0.25">
      <c r="A158" s="1815"/>
      <c r="B158" s="1220"/>
      <c r="C158" s="1117"/>
      <c r="D158" s="28" t="s">
        <v>257</v>
      </c>
      <c r="E158" s="94"/>
      <c r="F158" s="80">
        <v>1040</v>
      </c>
      <c r="G158" s="80"/>
      <c r="H158" s="80"/>
      <c r="I158" s="80">
        <v>735</v>
      </c>
      <c r="J158" s="96"/>
      <c r="K158" s="28"/>
      <c r="L158" s="28"/>
    </row>
    <row r="159" spans="1:12" hidden="1" x14ac:dyDescent="0.25">
      <c r="A159" s="1815"/>
      <c r="B159" s="1220"/>
      <c r="C159" s="1117"/>
      <c r="D159" s="28" t="s">
        <v>263</v>
      </c>
      <c r="E159" s="94"/>
      <c r="F159" s="80">
        <v>1250</v>
      </c>
      <c r="G159" s="80"/>
      <c r="H159" s="80"/>
      <c r="I159" s="80">
        <v>741</v>
      </c>
      <c r="J159" s="96"/>
      <c r="K159" s="28"/>
      <c r="L159" s="28"/>
    </row>
    <row r="160" spans="1:12" hidden="1" x14ac:dyDescent="0.25">
      <c r="A160" s="1815"/>
      <c r="B160" s="1220"/>
      <c r="C160" s="1117"/>
      <c r="D160" s="28" t="s">
        <v>357</v>
      </c>
      <c r="E160" s="94"/>
      <c r="F160" s="98">
        <f>(F159/F157)*100</f>
        <v>54.585152838427952</v>
      </c>
      <c r="G160" s="94"/>
      <c r="H160" s="94"/>
      <c r="I160" s="98">
        <f>I159/I157*100</f>
        <v>50.203252032520332</v>
      </c>
      <c r="J160" s="96"/>
      <c r="K160" s="28"/>
      <c r="L160" s="28"/>
    </row>
    <row r="161" spans="1:12" ht="14.85" hidden="1" customHeight="1" x14ac:dyDescent="0.25">
      <c r="A161" s="1815"/>
      <c r="B161" s="1220"/>
      <c r="C161" s="1117" t="s">
        <v>381</v>
      </c>
      <c r="D161" s="144" t="s">
        <v>251</v>
      </c>
      <c r="E161" s="94"/>
      <c r="F161" s="80">
        <v>215</v>
      </c>
      <c r="G161" s="80"/>
      <c r="H161" s="80"/>
      <c r="I161" s="80">
        <v>408</v>
      </c>
      <c r="J161" s="28"/>
      <c r="K161" s="28"/>
      <c r="L161" s="28"/>
    </row>
    <row r="162" spans="1:12" ht="14.85" hidden="1" customHeight="1" x14ac:dyDescent="0.25">
      <c r="A162" s="1815"/>
      <c r="B162" s="1220"/>
      <c r="C162" s="1117"/>
      <c r="D162" s="28" t="s">
        <v>257</v>
      </c>
      <c r="E162" s="94"/>
      <c r="F162" s="80">
        <v>95</v>
      </c>
      <c r="G162" s="80"/>
      <c r="H162" s="80"/>
      <c r="I162" s="80">
        <v>201</v>
      </c>
      <c r="J162" s="28"/>
      <c r="K162" s="28"/>
      <c r="L162" s="28"/>
    </row>
    <row r="163" spans="1:12" hidden="1" x14ac:dyDescent="0.25">
      <c r="A163" s="1815"/>
      <c r="B163" s="1220"/>
      <c r="C163" s="1117"/>
      <c r="D163" s="28" t="s">
        <v>263</v>
      </c>
      <c r="E163" s="94"/>
      <c r="F163" s="80">
        <v>120</v>
      </c>
      <c r="G163" s="80"/>
      <c r="H163" s="80"/>
      <c r="I163" s="80">
        <v>204</v>
      </c>
      <c r="J163" s="28"/>
      <c r="K163" s="28"/>
      <c r="L163" s="28"/>
    </row>
    <row r="164" spans="1:12" hidden="1" x14ac:dyDescent="0.25">
      <c r="A164" s="1815"/>
      <c r="B164" s="1220"/>
      <c r="C164" s="1117"/>
      <c r="D164" s="28" t="s">
        <v>357</v>
      </c>
      <c r="E164" s="94"/>
      <c r="F164" s="98">
        <f>(F163/F161)*100</f>
        <v>55.813953488372093</v>
      </c>
      <c r="G164" s="94"/>
      <c r="H164" s="94"/>
      <c r="I164" s="98">
        <f>I163/I161*100</f>
        <v>50</v>
      </c>
      <c r="J164" s="28"/>
      <c r="K164" s="28"/>
      <c r="L164" s="28"/>
    </row>
    <row r="165" spans="1:12" ht="14.85" hidden="1" customHeight="1" x14ac:dyDescent="0.25">
      <c r="A165" s="1815"/>
      <c r="B165" s="1220"/>
      <c r="C165" s="1218" t="s">
        <v>382</v>
      </c>
      <c r="D165" s="145" t="s">
        <v>251</v>
      </c>
      <c r="E165" s="95"/>
      <c r="F165" s="80">
        <v>2050</v>
      </c>
      <c r="G165" s="80"/>
      <c r="H165" s="80"/>
      <c r="I165" s="80">
        <v>2724</v>
      </c>
      <c r="J165" s="96"/>
      <c r="K165" s="96"/>
      <c r="L165" s="96"/>
    </row>
    <row r="166" spans="1:12" hidden="1" x14ac:dyDescent="0.25">
      <c r="A166" s="1815"/>
      <c r="B166" s="1220"/>
      <c r="C166" s="1218"/>
      <c r="D166" s="96" t="s">
        <v>257</v>
      </c>
      <c r="E166" s="95"/>
      <c r="F166" s="80">
        <v>710</v>
      </c>
      <c r="G166" s="80"/>
      <c r="H166" s="80"/>
      <c r="I166" s="80">
        <v>840</v>
      </c>
      <c r="J166" s="96"/>
      <c r="K166" s="96"/>
      <c r="L166" s="96"/>
    </row>
    <row r="167" spans="1:12" hidden="1" x14ac:dyDescent="0.25">
      <c r="A167" s="1815"/>
      <c r="B167" s="1220"/>
      <c r="C167" s="1218"/>
      <c r="D167" s="96" t="s">
        <v>263</v>
      </c>
      <c r="E167" s="95"/>
      <c r="F167" s="80">
        <v>1340</v>
      </c>
      <c r="G167" s="80"/>
      <c r="H167" s="80"/>
      <c r="I167" s="80">
        <v>1887</v>
      </c>
      <c r="J167" s="96"/>
      <c r="K167" s="96"/>
      <c r="L167" s="96"/>
    </row>
    <row r="168" spans="1:12" hidden="1" x14ac:dyDescent="0.25">
      <c r="A168" s="1815"/>
      <c r="B168" s="1220"/>
      <c r="C168" s="1218"/>
      <c r="D168" s="96" t="s">
        <v>357</v>
      </c>
      <c r="E168" s="95"/>
      <c r="F168" s="99">
        <f>(F167/F165)*100</f>
        <v>65.365853658536594</v>
      </c>
      <c r="G168" s="94"/>
      <c r="H168" s="94"/>
      <c r="I168" s="99">
        <f>I167/I165*100</f>
        <v>69.273127753303967</v>
      </c>
      <c r="J168" s="96"/>
      <c r="K168" s="96"/>
      <c r="L168" s="96"/>
    </row>
    <row r="169" spans="1:12" ht="14.85" hidden="1" customHeight="1" x14ac:dyDescent="0.25">
      <c r="A169" s="1815"/>
      <c r="B169" s="1220"/>
      <c r="C169" s="1218" t="s">
        <v>383</v>
      </c>
      <c r="D169" s="145" t="s">
        <v>251</v>
      </c>
      <c r="E169" s="95"/>
      <c r="F169" s="80">
        <v>1690</v>
      </c>
      <c r="G169" s="80"/>
      <c r="H169" s="80"/>
      <c r="I169" s="80">
        <v>1869</v>
      </c>
      <c r="J169" s="96"/>
      <c r="K169" s="96"/>
      <c r="L169" s="96"/>
    </row>
    <row r="170" spans="1:12" hidden="1" x14ac:dyDescent="0.25">
      <c r="A170" s="1815"/>
      <c r="B170" s="1220"/>
      <c r="C170" s="1218"/>
      <c r="D170" s="96" t="s">
        <v>257</v>
      </c>
      <c r="E170" s="95"/>
      <c r="F170" s="80">
        <v>480</v>
      </c>
      <c r="G170" s="80"/>
      <c r="H170" s="80"/>
      <c r="I170" s="80">
        <v>513</v>
      </c>
      <c r="J170" s="96"/>
      <c r="K170" s="96"/>
      <c r="L170" s="96"/>
    </row>
    <row r="171" spans="1:12" hidden="1" x14ac:dyDescent="0.25">
      <c r="A171" s="1815"/>
      <c r="B171" s="1220"/>
      <c r="C171" s="1218"/>
      <c r="D171" s="96" t="s">
        <v>263</v>
      </c>
      <c r="E171" s="95"/>
      <c r="F171" s="80">
        <v>1210</v>
      </c>
      <c r="G171" s="80"/>
      <c r="H171" s="80"/>
      <c r="I171" s="80">
        <v>1359</v>
      </c>
      <c r="J171" s="96"/>
      <c r="K171" s="96"/>
      <c r="L171" s="96"/>
    </row>
    <row r="172" spans="1:12" hidden="1" x14ac:dyDescent="0.25">
      <c r="A172" s="1815"/>
      <c r="B172" s="1220"/>
      <c r="C172" s="1218"/>
      <c r="D172" s="96" t="s">
        <v>357</v>
      </c>
      <c r="E172" s="95"/>
      <c r="F172" s="99">
        <f>(F171/F169)*100</f>
        <v>71.597633136094672</v>
      </c>
      <c r="G172" s="94"/>
      <c r="H172" s="94"/>
      <c r="I172" s="99">
        <f>I171/I169*100</f>
        <v>72.712680577849113</v>
      </c>
      <c r="J172" s="96"/>
      <c r="K172" s="96"/>
      <c r="L172" s="96"/>
    </row>
    <row r="173" spans="1:12" ht="14.85" hidden="1" customHeight="1" x14ac:dyDescent="0.25">
      <c r="A173" s="1815"/>
      <c r="B173" s="1220"/>
      <c r="C173" s="1218" t="s">
        <v>384</v>
      </c>
      <c r="D173" s="145" t="s">
        <v>251</v>
      </c>
      <c r="E173" s="95"/>
      <c r="F173" s="80">
        <v>2000</v>
      </c>
      <c r="G173" s="80"/>
      <c r="H173" s="80"/>
      <c r="I173" s="80">
        <v>1392</v>
      </c>
      <c r="J173" s="96"/>
      <c r="K173" s="96"/>
      <c r="L173" s="96"/>
    </row>
    <row r="174" spans="1:12" hidden="1" x14ac:dyDescent="0.25">
      <c r="A174" s="1815"/>
      <c r="B174" s="1220"/>
      <c r="C174" s="1218"/>
      <c r="D174" s="96" t="s">
        <v>257</v>
      </c>
      <c r="E174" s="95"/>
      <c r="F174" s="80">
        <v>640</v>
      </c>
      <c r="G174" s="80"/>
      <c r="H174" s="80"/>
      <c r="I174" s="80">
        <v>381</v>
      </c>
      <c r="J174" s="96"/>
      <c r="K174" s="96"/>
      <c r="L174" s="96"/>
    </row>
    <row r="175" spans="1:12" hidden="1" x14ac:dyDescent="0.25">
      <c r="A175" s="1815"/>
      <c r="B175" s="1220"/>
      <c r="C175" s="1218"/>
      <c r="D175" s="96" t="s">
        <v>263</v>
      </c>
      <c r="E175" s="95"/>
      <c r="F175" s="80">
        <v>1360</v>
      </c>
      <c r="G175" s="80"/>
      <c r="H175" s="80"/>
      <c r="I175" s="80">
        <v>1014</v>
      </c>
      <c r="J175" s="96"/>
      <c r="K175" s="96"/>
      <c r="L175" s="96"/>
    </row>
    <row r="176" spans="1:12" hidden="1" x14ac:dyDescent="0.25">
      <c r="A176" s="1815"/>
      <c r="B176" s="1220"/>
      <c r="C176" s="1218"/>
      <c r="D176" s="96" t="s">
        <v>357</v>
      </c>
      <c r="E176" s="95"/>
      <c r="F176" s="99">
        <f>(F175/F173)*100</f>
        <v>68</v>
      </c>
      <c r="G176" s="94"/>
      <c r="H176" s="94"/>
      <c r="I176" s="99">
        <f>I175/I173*100</f>
        <v>72.84482758620689</v>
      </c>
      <c r="J176" s="96"/>
      <c r="K176" s="96"/>
      <c r="L176" s="96"/>
    </row>
    <row r="177" spans="1:12" ht="14.85" hidden="1" customHeight="1" x14ac:dyDescent="0.25">
      <c r="A177" s="1815"/>
      <c r="B177" s="1220"/>
      <c r="C177" s="1218" t="s">
        <v>385</v>
      </c>
      <c r="D177" s="145" t="s">
        <v>251</v>
      </c>
      <c r="E177" s="95"/>
      <c r="F177" s="80">
        <v>175</v>
      </c>
      <c r="G177" s="80"/>
      <c r="H177" s="80"/>
      <c r="I177" s="80">
        <v>309</v>
      </c>
      <c r="J177" s="96"/>
      <c r="K177" s="96"/>
      <c r="L177" s="96"/>
    </row>
    <row r="178" spans="1:12" ht="14.85" hidden="1" customHeight="1" x14ac:dyDescent="0.25">
      <c r="A178" s="1815"/>
      <c r="B178" s="1220"/>
      <c r="C178" s="1218"/>
      <c r="D178" s="96" t="s">
        <v>257</v>
      </c>
      <c r="E178" s="95"/>
      <c r="F178" s="80">
        <v>140</v>
      </c>
      <c r="G178" s="80"/>
      <c r="H178" s="80"/>
      <c r="I178" s="80">
        <v>195</v>
      </c>
      <c r="J178" s="96"/>
      <c r="K178" s="96"/>
      <c r="L178" s="96"/>
    </row>
    <row r="179" spans="1:12" hidden="1" x14ac:dyDescent="0.25">
      <c r="A179" s="1815"/>
      <c r="B179" s="1220"/>
      <c r="C179" s="1218"/>
      <c r="D179" s="96" t="s">
        <v>263</v>
      </c>
      <c r="E179" s="95"/>
      <c r="F179" s="80">
        <v>35</v>
      </c>
      <c r="G179" s="80"/>
      <c r="H179" s="80"/>
      <c r="I179" s="80">
        <v>111</v>
      </c>
      <c r="J179" s="96"/>
      <c r="K179" s="96"/>
      <c r="L179" s="96"/>
    </row>
    <row r="180" spans="1:12" hidden="1" x14ac:dyDescent="0.25">
      <c r="A180" s="1815"/>
      <c r="B180" s="1220"/>
      <c r="C180" s="1218"/>
      <c r="D180" s="96" t="s">
        <v>357</v>
      </c>
      <c r="E180" s="95"/>
      <c r="F180" s="97">
        <f>(F179/F177)*100</f>
        <v>20</v>
      </c>
      <c r="G180" s="94"/>
      <c r="H180" s="94"/>
      <c r="I180" s="97">
        <f>I179/I177*100</f>
        <v>35.922330097087382</v>
      </c>
      <c r="J180" s="96"/>
      <c r="K180" s="96"/>
      <c r="L180" s="96"/>
    </row>
    <row r="181" spans="1:12" ht="14.85" hidden="1" customHeight="1" x14ac:dyDescent="0.25">
      <c r="A181" s="1815"/>
      <c r="B181" s="1220"/>
      <c r="C181" s="1218" t="s">
        <v>386</v>
      </c>
      <c r="D181" s="145" t="s">
        <v>251</v>
      </c>
      <c r="E181" s="95"/>
      <c r="F181" s="80">
        <v>1045</v>
      </c>
      <c r="G181" s="80"/>
      <c r="H181" s="80"/>
      <c r="I181" s="80">
        <v>1959</v>
      </c>
      <c r="J181" s="96"/>
      <c r="K181" s="96"/>
      <c r="L181" s="96"/>
    </row>
    <row r="182" spans="1:12" hidden="1" x14ac:dyDescent="0.25">
      <c r="A182" s="1815"/>
      <c r="B182" s="1220"/>
      <c r="C182" s="1218"/>
      <c r="D182" s="96" t="s">
        <v>257</v>
      </c>
      <c r="E182" s="95"/>
      <c r="F182" s="80">
        <v>620</v>
      </c>
      <c r="G182" s="80"/>
      <c r="H182" s="80"/>
      <c r="I182" s="80">
        <v>999</v>
      </c>
      <c r="J182" s="96"/>
      <c r="K182" s="96"/>
      <c r="L182" s="96"/>
    </row>
    <row r="183" spans="1:12" hidden="1" x14ac:dyDescent="0.25">
      <c r="A183" s="1815"/>
      <c r="B183" s="1220"/>
      <c r="C183" s="1218"/>
      <c r="D183" s="96" t="s">
        <v>263</v>
      </c>
      <c r="E183" s="95"/>
      <c r="F183" s="80">
        <v>425</v>
      </c>
      <c r="G183" s="80"/>
      <c r="H183" s="80"/>
      <c r="I183" s="80">
        <v>960</v>
      </c>
      <c r="J183" s="96"/>
      <c r="K183" s="96"/>
      <c r="L183" s="96"/>
    </row>
    <row r="184" spans="1:12" hidden="1" x14ac:dyDescent="0.25">
      <c r="A184" s="1815"/>
      <c r="B184" s="1220"/>
      <c r="C184" s="1218"/>
      <c r="D184" s="96" t="s">
        <v>357</v>
      </c>
      <c r="E184" s="95"/>
      <c r="F184" s="98">
        <f>(F183/F181)*100</f>
        <v>40.669856459330148</v>
      </c>
      <c r="G184" s="94"/>
      <c r="H184" s="94"/>
      <c r="I184" s="98">
        <f>I183/I181*100</f>
        <v>49.004594180704444</v>
      </c>
      <c r="J184" s="96"/>
      <c r="K184" s="96"/>
      <c r="L184" s="96"/>
    </row>
    <row r="185" spans="1:12" ht="14.85" hidden="1" customHeight="1" x14ac:dyDescent="0.25">
      <c r="A185" s="1815"/>
      <c r="B185" s="1220"/>
      <c r="C185" s="1218" t="s">
        <v>387</v>
      </c>
      <c r="D185" s="145" t="s">
        <v>251</v>
      </c>
      <c r="E185" s="95"/>
      <c r="F185" s="80">
        <v>2395</v>
      </c>
      <c r="G185" s="80"/>
      <c r="H185" s="80"/>
      <c r="I185" s="80">
        <v>2829</v>
      </c>
      <c r="J185" s="96"/>
      <c r="K185" s="96"/>
      <c r="L185" s="96"/>
    </row>
    <row r="186" spans="1:12" hidden="1" x14ac:dyDescent="0.25">
      <c r="A186" s="1815"/>
      <c r="B186" s="1220"/>
      <c r="C186" s="1218"/>
      <c r="D186" s="96" t="s">
        <v>257</v>
      </c>
      <c r="E186" s="95"/>
      <c r="F186" s="80">
        <v>920</v>
      </c>
      <c r="G186" s="80"/>
      <c r="H186" s="80"/>
      <c r="I186" s="80">
        <v>1203</v>
      </c>
      <c r="J186" s="96"/>
      <c r="K186" s="96"/>
      <c r="L186" s="96"/>
    </row>
    <row r="187" spans="1:12" hidden="1" x14ac:dyDescent="0.25">
      <c r="A187" s="1815"/>
      <c r="B187" s="1220"/>
      <c r="C187" s="1218"/>
      <c r="D187" s="96" t="s">
        <v>263</v>
      </c>
      <c r="E187" s="95"/>
      <c r="F187" s="80">
        <v>1475</v>
      </c>
      <c r="G187" s="80"/>
      <c r="H187" s="80"/>
      <c r="I187" s="80">
        <v>1626</v>
      </c>
      <c r="J187" s="96"/>
      <c r="K187" s="96"/>
      <c r="L187" s="96"/>
    </row>
    <row r="188" spans="1:12" hidden="1" x14ac:dyDescent="0.25">
      <c r="A188" s="1815"/>
      <c r="B188" s="1220"/>
      <c r="C188" s="1218"/>
      <c r="D188" s="96" t="s">
        <v>357</v>
      </c>
      <c r="E188" s="95"/>
      <c r="F188" s="99">
        <f>(F187/F185)*100</f>
        <v>61.586638830897698</v>
      </c>
      <c r="G188" s="94"/>
      <c r="H188" s="94"/>
      <c r="I188" s="98">
        <f>I187/I185*100</f>
        <v>57.476139978791096</v>
      </c>
      <c r="J188" s="96"/>
      <c r="K188" s="96"/>
      <c r="L188" s="96"/>
    </row>
    <row r="189" spans="1:12" ht="14.85" hidden="1" customHeight="1" x14ac:dyDescent="0.25">
      <c r="A189" s="1815"/>
      <c r="B189" s="1220"/>
      <c r="C189" s="1218" t="s">
        <v>388</v>
      </c>
      <c r="D189" s="145" t="s">
        <v>251</v>
      </c>
      <c r="E189" s="95"/>
      <c r="F189" s="80">
        <v>10</v>
      </c>
      <c r="G189" s="80"/>
      <c r="H189" s="80"/>
      <c r="I189" s="80">
        <v>558</v>
      </c>
      <c r="J189" s="96"/>
      <c r="K189" s="96"/>
      <c r="L189" s="96"/>
    </row>
    <row r="190" spans="1:12" hidden="1" x14ac:dyDescent="0.25">
      <c r="A190" s="1815"/>
      <c r="B190" s="1220"/>
      <c r="C190" s="1218"/>
      <c r="D190" s="96" t="s">
        <v>257</v>
      </c>
      <c r="E190" s="95"/>
      <c r="F190" s="80">
        <v>10</v>
      </c>
      <c r="G190" s="80"/>
      <c r="H190" s="80"/>
      <c r="I190" s="80">
        <v>318</v>
      </c>
      <c r="J190" s="96"/>
      <c r="K190" s="96"/>
      <c r="L190" s="96"/>
    </row>
    <row r="191" spans="1:12" hidden="1" x14ac:dyDescent="0.25">
      <c r="A191" s="1815"/>
      <c r="B191" s="1220"/>
      <c r="C191" s="1218"/>
      <c r="D191" s="96" t="s">
        <v>263</v>
      </c>
      <c r="E191" s="95"/>
      <c r="F191" s="80">
        <v>0</v>
      </c>
      <c r="G191" s="80"/>
      <c r="H191" s="80"/>
      <c r="I191" s="80">
        <v>243</v>
      </c>
      <c r="J191" s="96"/>
      <c r="K191" s="96"/>
      <c r="L191" s="96"/>
    </row>
    <row r="192" spans="1:12" hidden="1" x14ac:dyDescent="0.25">
      <c r="A192" s="1815"/>
      <c r="B192" s="1220"/>
      <c r="C192" s="1218"/>
      <c r="D192" s="96" t="s">
        <v>357</v>
      </c>
      <c r="E192" s="95"/>
      <c r="F192" s="97">
        <f>F191/F189*100</f>
        <v>0</v>
      </c>
      <c r="G192" s="94"/>
      <c r="H192" s="94"/>
      <c r="I192" s="98">
        <f>I191/I189*100</f>
        <v>43.548387096774192</v>
      </c>
      <c r="J192" s="96"/>
      <c r="K192" s="96"/>
      <c r="L192" s="96"/>
    </row>
    <row r="193" spans="1:12" ht="14.85" hidden="1" customHeight="1" x14ac:dyDescent="0.25">
      <c r="A193" s="1815"/>
      <c r="B193" s="1220"/>
      <c r="C193" s="1117" t="s">
        <v>389</v>
      </c>
      <c r="D193" s="144" t="s">
        <v>251</v>
      </c>
      <c r="E193" s="94"/>
      <c r="F193" s="80">
        <v>405</v>
      </c>
      <c r="G193" s="80"/>
      <c r="H193" s="80"/>
      <c r="I193" s="80">
        <v>516</v>
      </c>
      <c r="J193" s="28"/>
      <c r="K193" s="28"/>
      <c r="L193" s="28"/>
    </row>
    <row r="194" spans="1:12" hidden="1" x14ac:dyDescent="0.25">
      <c r="A194" s="1815"/>
      <c r="B194" s="1220"/>
      <c r="C194" s="1117"/>
      <c r="D194" s="28" t="s">
        <v>257</v>
      </c>
      <c r="E194" s="94"/>
      <c r="F194" s="80">
        <v>245</v>
      </c>
      <c r="G194" s="80"/>
      <c r="H194" s="80"/>
      <c r="I194" s="80">
        <v>231</v>
      </c>
      <c r="J194" s="28"/>
      <c r="K194" s="28"/>
      <c r="L194" s="28"/>
    </row>
    <row r="195" spans="1:12" hidden="1" x14ac:dyDescent="0.25">
      <c r="A195" s="1815"/>
      <c r="B195" s="1220"/>
      <c r="C195" s="1117"/>
      <c r="D195" s="28" t="s">
        <v>263</v>
      </c>
      <c r="E195" s="94"/>
      <c r="F195" s="80">
        <v>160</v>
      </c>
      <c r="G195" s="80"/>
      <c r="H195" s="80"/>
      <c r="I195" s="80">
        <v>282</v>
      </c>
      <c r="J195" s="28"/>
      <c r="K195" s="28"/>
      <c r="L195" s="28"/>
    </row>
    <row r="196" spans="1:12" hidden="1" x14ac:dyDescent="0.25">
      <c r="A196" s="1815"/>
      <c r="B196" s="1220"/>
      <c r="C196" s="1117"/>
      <c r="D196" s="28" t="s">
        <v>357</v>
      </c>
      <c r="E196" s="94"/>
      <c r="F196" s="97">
        <f>(F195/F193)*100</f>
        <v>39.506172839506171</v>
      </c>
      <c r="G196" s="94"/>
      <c r="H196" s="94"/>
      <c r="I196" s="98">
        <f>I195/I193*100</f>
        <v>54.651162790697668</v>
      </c>
      <c r="J196" s="28"/>
      <c r="K196" s="28"/>
      <c r="L196" s="28"/>
    </row>
    <row r="197" spans="1:12" ht="14.85" hidden="1" customHeight="1" x14ac:dyDescent="0.25">
      <c r="A197" s="1815"/>
      <c r="B197" s="1220"/>
      <c r="C197" s="1117" t="s">
        <v>390</v>
      </c>
      <c r="D197" s="144" t="s">
        <v>251</v>
      </c>
      <c r="E197" s="94"/>
      <c r="F197" s="80">
        <v>300</v>
      </c>
      <c r="G197" s="80"/>
      <c r="H197" s="80"/>
      <c r="I197" s="80">
        <v>477</v>
      </c>
      <c r="J197" s="28"/>
      <c r="K197" s="28"/>
      <c r="L197" s="28"/>
    </row>
    <row r="198" spans="1:12" ht="14.85" hidden="1" customHeight="1" x14ac:dyDescent="0.25">
      <c r="A198" s="1815"/>
      <c r="B198" s="1220"/>
      <c r="C198" s="1117"/>
      <c r="D198" s="28" t="s">
        <v>257</v>
      </c>
      <c r="E198" s="94"/>
      <c r="F198" s="80">
        <v>60</v>
      </c>
      <c r="G198" s="80"/>
      <c r="H198" s="80"/>
      <c r="I198" s="80">
        <v>108</v>
      </c>
      <c r="J198" s="28"/>
      <c r="K198" s="28"/>
      <c r="L198" s="28"/>
    </row>
    <row r="199" spans="1:12" hidden="1" x14ac:dyDescent="0.25">
      <c r="A199" s="1815"/>
      <c r="B199" s="1220"/>
      <c r="C199" s="1117"/>
      <c r="D199" s="28" t="s">
        <v>263</v>
      </c>
      <c r="E199" s="94"/>
      <c r="F199" s="80">
        <v>240</v>
      </c>
      <c r="G199" s="80"/>
      <c r="H199" s="80"/>
      <c r="I199" s="80">
        <v>366</v>
      </c>
      <c r="J199" s="28"/>
      <c r="K199" s="28"/>
      <c r="L199" s="28"/>
    </row>
    <row r="200" spans="1:12" hidden="1" x14ac:dyDescent="0.25">
      <c r="A200" s="1815"/>
      <c r="B200" s="1220"/>
      <c r="C200" s="1117"/>
      <c r="D200" s="28" t="s">
        <v>357</v>
      </c>
      <c r="E200" s="94"/>
      <c r="F200" s="99">
        <f>(F199/F197)*100</f>
        <v>80</v>
      </c>
      <c r="G200" s="94"/>
      <c r="H200" s="94"/>
      <c r="I200" s="99">
        <f>I199/I197*100</f>
        <v>76.729559748427675</v>
      </c>
      <c r="J200" s="28"/>
      <c r="K200" s="28"/>
      <c r="L200" s="28"/>
    </row>
    <row r="201" spans="1:12" ht="14.85" hidden="1" customHeight="1" x14ac:dyDescent="0.25">
      <c r="A201" s="1815"/>
      <c r="B201" s="1220"/>
      <c r="C201" s="1117" t="s">
        <v>391</v>
      </c>
      <c r="D201" s="144" t="s">
        <v>251</v>
      </c>
      <c r="E201" s="94"/>
      <c r="F201" s="80">
        <v>855</v>
      </c>
      <c r="G201" s="80"/>
      <c r="H201" s="80"/>
      <c r="I201" s="80">
        <v>1020</v>
      </c>
      <c r="J201" s="28"/>
      <c r="K201" s="28"/>
      <c r="L201" s="28"/>
    </row>
    <row r="202" spans="1:12" hidden="1" x14ac:dyDescent="0.25">
      <c r="A202" s="1815"/>
      <c r="B202" s="1220"/>
      <c r="C202" s="1117"/>
      <c r="D202" s="28" t="s">
        <v>257</v>
      </c>
      <c r="E202" s="94"/>
      <c r="F202" s="80">
        <v>115</v>
      </c>
      <c r="G202" s="80"/>
      <c r="H202" s="80"/>
      <c r="I202" s="80">
        <v>156</v>
      </c>
      <c r="J202" s="28"/>
      <c r="K202" s="28"/>
      <c r="L202" s="28"/>
    </row>
    <row r="203" spans="1:12" hidden="1" x14ac:dyDescent="0.25">
      <c r="A203" s="1815"/>
      <c r="B203" s="1220"/>
      <c r="C203" s="1117"/>
      <c r="D203" s="28" t="s">
        <v>263</v>
      </c>
      <c r="E203" s="94"/>
      <c r="F203" s="80">
        <v>740</v>
      </c>
      <c r="G203" s="80"/>
      <c r="H203" s="80"/>
      <c r="I203" s="80">
        <v>861</v>
      </c>
      <c r="J203" s="28"/>
      <c r="K203" s="28"/>
      <c r="L203" s="28"/>
    </row>
    <row r="204" spans="1:12" hidden="1" x14ac:dyDescent="0.25">
      <c r="A204" s="1815"/>
      <c r="B204" s="1220"/>
      <c r="C204" s="1117"/>
      <c r="D204" s="28" t="s">
        <v>357</v>
      </c>
      <c r="E204" s="94"/>
      <c r="F204" s="99">
        <f>(F203/F201)*100</f>
        <v>86.549707602339183</v>
      </c>
      <c r="G204" s="94"/>
      <c r="H204" s="94"/>
      <c r="I204" s="99">
        <f>I203/I201*100</f>
        <v>84.411764705882348</v>
      </c>
      <c r="J204" s="28"/>
      <c r="K204" s="28"/>
      <c r="L204" s="28"/>
    </row>
    <row r="205" spans="1:12" ht="14.85" hidden="1" customHeight="1" x14ac:dyDescent="0.25">
      <c r="A205" s="1815"/>
      <c r="B205" s="1220"/>
      <c r="C205" s="1117" t="s">
        <v>392</v>
      </c>
      <c r="D205" s="144" t="s">
        <v>251</v>
      </c>
      <c r="E205" s="94"/>
      <c r="F205" s="80">
        <v>465</v>
      </c>
      <c r="G205" s="80"/>
      <c r="H205" s="80"/>
      <c r="I205" s="80">
        <v>489</v>
      </c>
      <c r="J205" s="28"/>
      <c r="K205" s="28"/>
      <c r="L205" s="28"/>
    </row>
    <row r="206" spans="1:12" hidden="1" x14ac:dyDescent="0.25">
      <c r="A206" s="1815"/>
      <c r="B206" s="1220"/>
      <c r="C206" s="1117"/>
      <c r="D206" s="28" t="s">
        <v>257</v>
      </c>
      <c r="E206" s="94"/>
      <c r="F206" s="80">
        <v>80</v>
      </c>
      <c r="G206" s="80"/>
      <c r="H206" s="80"/>
      <c r="I206" s="80">
        <v>42</v>
      </c>
      <c r="J206" s="28"/>
      <c r="K206" s="28"/>
      <c r="L206" s="28"/>
    </row>
    <row r="207" spans="1:12" hidden="1" x14ac:dyDescent="0.25">
      <c r="A207" s="1815"/>
      <c r="B207" s="1220"/>
      <c r="C207" s="1117"/>
      <c r="D207" s="28" t="s">
        <v>263</v>
      </c>
      <c r="E207" s="94"/>
      <c r="F207" s="80">
        <v>385</v>
      </c>
      <c r="G207" s="80"/>
      <c r="H207" s="80"/>
      <c r="I207" s="80">
        <v>447</v>
      </c>
      <c r="J207" s="28"/>
      <c r="K207" s="28"/>
      <c r="L207" s="28"/>
    </row>
    <row r="208" spans="1:12" hidden="1" x14ac:dyDescent="0.25">
      <c r="A208" s="1815"/>
      <c r="B208" s="1220"/>
      <c r="C208" s="1117"/>
      <c r="D208" s="28" t="s">
        <v>357</v>
      </c>
      <c r="E208" s="94"/>
      <c r="F208" s="99">
        <f>(F207/F205)*100</f>
        <v>82.795698924731184</v>
      </c>
      <c r="G208" s="94"/>
      <c r="H208" s="94"/>
      <c r="I208" s="99">
        <f>I207/I205*100</f>
        <v>91.411042944785279</v>
      </c>
      <c r="J208" s="28"/>
      <c r="K208" s="28"/>
      <c r="L208" s="28"/>
    </row>
    <row r="209" spans="1:12" ht="14.85" hidden="1" customHeight="1" x14ac:dyDescent="0.25">
      <c r="A209" s="1815"/>
      <c r="B209" s="1220"/>
      <c r="C209" s="1117" t="s">
        <v>393</v>
      </c>
      <c r="D209" s="144" t="s">
        <v>251</v>
      </c>
      <c r="E209" s="94"/>
      <c r="F209" s="80">
        <v>875</v>
      </c>
      <c r="G209" s="80"/>
      <c r="H209" s="80"/>
      <c r="I209" s="80">
        <v>1443</v>
      </c>
      <c r="J209" s="28"/>
      <c r="K209" s="28"/>
      <c r="L209" s="28"/>
    </row>
    <row r="210" spans="1:12" hidden="1" x14ac:dyDescent="0.25">
      <c r="A210" s="1815"/>
      <c r="B210" s="1220"/>
      <c r="C210" s="1117"/>
      <c r="D210" s="28" t="s">
        <v>257</v>
      </c>
      <c r="E210" s="94"/>
      <c r="F210" s="80">
        <v>380</v>
      </c>
      <c r="G210" s="80"/>
      <c r="H210" s="80"/>
      <c r="I210" s="80">
        <v>678</v>
      </c>
      <c r="J210" s="28"/>
      <c r="K210" s="28"/>
      <c r="L210" s="28"/>
    </row>
    <row r="211" spans="1:12" hidden="1" x14ac:dyDescent="0.25">
      <c r="A211" s="1815"/>
      <c r="B211" s="1220"/>
      <c r="C211" s="1117"/>
      <c r="D211" s="28" t="s">
        <v>263</v>
      </c>
      <c r="E211" s="94"/>
      <c r="F211" s="80">
        <v>495</v>
      </c>
      <c r="G211" s="80"/>
      <c r="H211" s="80"/>
      <c r="I211" s="80">
        <v>765</v>
      </c>
      <c r="J211" s="28"/>
      <c r="K211" s="28"/>
      <c r="L211" s="28"/>
    </row>
    <row r="212" spans="1:12" hidden="1" x14ac:dyDescent="0.25">
      <c r="A212" s="1815"/>
      <c r="B212" s="1220"/>
      <c r="C212" s="1117"/>
      <c r="D212" s="28" t="s">
        <v>357</v>
      </c>
      <c r="E212" s="94"/>
      <c r="F212" s="98">
        <f>(F211/F209)*100</f>
        <v>56.571428571428569</v>
      </c>
      <c r="G212" s="94"/>
      <c r="H212" s="94"/>
      <c r="I212" s="98">
        <f>I211/I209*100</f>
        <v>53.014553014553009</v>
      </c>
      <c r="J212" s="28"/>
      <c r="K212" s="28"/>
      <c r="L212" s="28"/>
    </row>
    <row r="213" spans="1:12" ht="14.85" hidden="1" customHeight="1" x14ac:dyDescent="0.25">
      <c r="A213" s="1815"/>
      <c r="B213" s="1220"/>
      <c r="C213" s="1117" t="s">
        <v>394</v>
      </c>
      <c r="D213" s="144" t="s">
        <v>251</v>
      </c>
      <c r="E213" s="94"/>
      <c r="F213" s="80">
        <v>1270</v>
      </c>
      <c r="G213" s="80"/>
      <c r="H213" s="80"/>
      <c r="I213" s="80">
        <v>1638</v>
      </c>
      <c r="J213" s="28"/>
      <c r="K213" s="28"/>
      <c r="L213" s="28"/>
    </row>
    <row r="214" spans="1:12" hidden="1" x14ac:dyDescent="0.25">
      <c r="A214" s="1815"/>
      <c r="B214" s="1220"/>
      <c r="C214" s="1117"/>
      <c r="D214" s="28" t="s">
        <v>257</v>
      </c>
      <c r="E214" s="94"/>
      <c r="F214" s="80">
        <v>1165</v>
      </c>
      <c r="G214" s="80"/>
      <c r="H214" s="80"/>
      <c r="I214" s="80">
        <v>1311</v>
      </c>
      <c r="J214" s="28"/>
      <c r="K214" s="28"/>
      <c r="L214" s="28"/>
    </row>
    <row r="215" spans="1:12" hidden="1" x14ac:dyDescent="0.25">
      <c r="A215" s="1815"/>
      <c r="B215" s="1220"/>
      <c r="C215" s="1117"/>
      <c r="D215" s="28" t="s">
        <v>263</v>
      </c>
      <c r="E215" s="94"/>
      <c r="F215" s="80">
        <v>105</v>
      </c>
      <c r="G215" s="80"/>
      <c r="H215" s="80"/>
      <c r="I215" s="80">
        <v>327</v>
      </c>
      <c r="J215" s="28"/>
      <c r="K215" s="28"/>
      <c r="L215" s="28"/>
    </row>
    <row r="216" spans="1:12" hidden="1" x14ac:dyDescent="0.25">
      <c r="A216" s="1815"/>
      <c r="B216" s="1220"/>
      <c r="C216" s="1117"/>
      <c r="D216" s="28" t="s">
        <v>357</v>
      </c>
      <c r="E216" s="94"/>
      <c r="F216" s="97">
        <f>(F215/F213)*100</f>
        <v>8.2677165354330722</v>
      </c>
      <c r="G216" s="94"/>
      <c r="H216" s="94"/>
      <c r="I216" s="97">
        <f>I215/I213*100</f>
        <v>19.963369963369964</v>
      </c>
      <c r="J216" s="28"/>
      <c r="K216" s="28"/>
      <c r="L216" s="28"/>
    </row>
    <row r="217" spans="1:12" ht="14.85" hidden="1" customHeight="1" x14ac:dyDescent="0.25">
      <c r="A217" s="1815"/>
      <c r="B217" s="1220"/>
      <c r="C217" s="1117" t="s">
        <v>395</v>
      </c>
      <c r="D217" s="144" t="s">
        <v>251</v>
      </c>
      <c r="E217" s="94"/>
      <c r="F217" s="80">
        <v>315</v>
      </c>
      <c r="G217" s="80"/>
      <c r="H217" s="80"/>
      <c r="I217" s="80">
        <v>162</v>
      </c>
      <c r="J217" s="94"/>
      <c r="K217" s="28"/>
      <c r="L217" s="28"/>
    </row>
    <row r="218" spans="1:12" ht="14.85" hidden="1" customHeight="1" x14ac:dyDescent="0.25">
      <c r="A218" s="1815"/>
      <c r="B218" s="1220"/>
      <c r="C218" s="1117"/>
      <c r="D218" s="28" t="s">
        <v>257</v>
      </c>
      <c r="E218" s="94"/>
      <c r="F218" s="80">
        <v>270</v>
      </c>
      <c r="G218" s="80"/>
      <c r="H218" s="80"/>
      <c r="I218" s="80">
        <v>132</v>
      </c>
      <c r="J218" s="94"/>
      <c r="K218" s="28"/>
      <c r="L218" s="28"/>
    </row>
    <row r="219" spans="1:12" hidden="1" x14ac:dyDescent="0.25">
      <c r="A219" s="1815"/>
      <c r="B219" s="1220"/>
      <c r="C219" s="1117"/>
      <c r="D219" s="28" t="s">
        <v>263</v>
      </c>
      <c r="E219" s="94"/>
      <c r="F219" s="80">
        <v>45</v>
      </c>
      <c r="G219" s="80"/>
      <c r="H219" s="80"/>
      <c r="I219" s="80">
        <v>30</v>
      </c>
      <c r="J219" s="94"/>
      <c r="K219" s="28"/>
      <c r="L219" s="28"/>
    </row>
    <row r="220" spans="1:12" hidden="1" x14ac:dyDescent="0.25">
      <c r="A220" s="1815"/>
      <c r="B220" s="1220"/>
      <c r="C220" s="1117"/>
      <c r="D220" s="28" t="s">
        <v>357</v>
      </c>
      <c r="E220" s="94"/>
      <c r="F220" s="97">
        <f>(F219/F217)*100</f>
        <v>14.285714285714285</v>
      </c>
      <c r="G220" s="94"/>
      <c r="H220" s="94"/>
      <c r="I220" s="97">
        <f>I219/I217*100</f>
        <v>18.518518518518519</v>
      </c>
      <c r="J220" s="94"/>
      <c r="K220" s="28"/>
      <c r="L220" s="28"/>
    </row>
    <row r="221" spans="1:12" ht="14.85" hidden="1" customHeight="1" x14ac:dyDescent="0.25">
      <c r="A221" s="1815"/>
      <c r="B221" s="1220"/>
      <c r="C221" s="1117" t="s">
        <v>396</v>
      </c>
      <c r="D221" s="144" t="s">
        <v>251</v>
      </c>
      <c r="E221" s="94"/>
      <c r="F221" s="80">
        <v>10</v>
      </c>
      <c r="G221" s="80"/>
      <c r="H221" s="80"/>
      <c r="I221" s="80">
        <v>6</v>
      </c>
      <c r="J221" s="94"/>
      <c r="K221" s="28"/>
      <c r="L221" s="28"/>
    </row>
    <row r="222" spans="1:12" hidden="1" x14ac:dyDescent="0.25">
      <c r="A222" s="1815"/>
      <c r="B222" s="1220"/>
      <c r="C222" s="1117"/>
      <c r="D222" s="28" t="s">
        <v>257</v>
      </c>
      <c r="E222" s="94"/>
      <c r="F222" s="80">
        <v>0</v>
      </c>
      <c r="G222" s="80"/>
      <c r="H222" s="80"/>
      <c r="I222" s="80">
        <v>6</v>
      </c>
      <c r="J222" s="94"/>
      <c r="K222" s="28"/>
      <c r="L222" s="28"/>
    </row>
    <row r="223" spans="1:12" hidden="1" x14ac:dyDescent="0.25">
      <c r="A223" s="1815"/>
      <c r="B223" s="1220"/>
      <c r="C223" s="1117"/>
      <c r="D223" s="28" t="s">
        <v>263</v>
      </c>
      <c r="E223" s="94"/>
      <c r="F223" s="80">
        <v>10</v>
      </c>
      <c r="G223" s="80"/>
      <c r="H223" s="80"/>
      <c r="I223" s="80">
        <v>3</v>
      </c>
      <c r="J223" s="94"/>
      <c r="K223" s="28"/>
      <c r="L223" s="28"/>
    </row>
    <row r="224" spans="1:12" hidden="1" x14ac:dyDescent="0.25">
      <c r="A224" s="1815"/>
      <c r="B224" s="1220"/>
      <c r="C224" s="1117"/>
      <c r="D224" s="28" t="s">
        <v>357</v>
      </c>
      <c r="E224" s="94"/>
      <c r="F224" s="99">
        <f>(F223/F221)*100</f>
        <v>100</v>
      </c>
      <c r="G224" s="94"/>
      <c r="H224" s="94"/>
      <c r="I224" s="98">
        <f>I223/I221*100</f>
        <v>50</v>
      </c>
      <c r="J224" s="94"/>
      <c r="K224" s="28"/>
      <c r="L224" s="28"/>
    </row>
    <row r="225" spans="1:12" ht="14.85" hidden="1" customHeight="1" x14ac:dyDescent="0.25">
      <c r="A225" s="1815"/>
      <c r="B225" s="1220"/>
      <c r="C225" s="1117" t="s">
        <v>397</v>
      </c>
      <c r="D225" s="144" t="s">
        <v>251</v>
      </c>
      <c r="E225" s="94"/>
      <c r="F225" s="80"/>
      <c r="G225" s="80"/>
      <c r="H225" s="80"/>
      <c r="I225" s="80">
        <v>3</v>
      </c>
      <c r="J225" s="94"/>
      <c r="K225" s="28"/>
      <c r="L225" s="28"/>
    </row>
    <row r="226" spans="1:12" hidden="1" x14ac:dyDescent="0.25">
      <c r="A226" s="1815"/>
      <c r="B226" s="1220"/>
      <c r="C226" s="1117"/>
      <c r="D226" s="28" t="s">
        <v>257</v>
      </c>
      <c r="E226" s="94"/>
      <c r="F226" s="80"/>
      <c r="G226" s="80"/>
      <c r="H226" s="80"/>
      <c r="I226" s="80">
        <v>3</v>
      </c>
      <c r="J226" s="94"/>
      <c r="K226" s="28"/>
      <c r="L226" s="28"/>
    </row>
    <row r="227" spans="1:12" hidden="1" x14ac:dyDescent="0.25">
      <c r="A227" s="1815"/>
      <c r="B227" s="1220"/>
      <c r="C227" s="1117"/>
      <c r="D227" s="28" t="s">
        <v>263</v>
      </c>
      <c r="E227" s="94"/>
      <c r="F227" s="80"/>
      <c r="G227" s="80"/>
      <c r="H227" s="80"/>
      <c r="I227" s="80">
        <v>0</v>
      </c>
      <c r="J227" s="94"/>
      <c r="K227" s="28"/>
      <c r="L227" s="28"/>
    </row>
    <row r="228" spans="1:12" hidden="1" x14ac:dyDescent="0.25">
      <c r="A228" s="1815"/>
      <c r="B228" s="1220"/>
      <c r="C228" s="1117"/>
      <c r="D228" s="28" t="s">
        <v>357</v>
      </c>
      <c r="E228" s="94"/>
      <c r="F228" s="94"/>
      <c r="G228" s="94"/>
      <c r="H228" s="94"/>
      <c r="I228" s="97">
        <f>I227/I225*100</f>
        <v>0</v>
      </c>
      <c r="J228" s="94"/>
      <c r="K228" s="28"/>
      <c r="L228" s="28"/>
    </row>
    <row r="229" spans="1:12" ht="14.85" hidden="1" customHeight="1" x14ac:dyDescent="0.25">
      <c r="A229" s="1815"/>
      <c r="B229" s="1220"/>
      <c r="C229" s="1117" t="s">
        <v>398</v>
      </c>
      <c r="D229" s="144" t="s">
        <v>251</v>
      </c>
      <c r="E229" s="94"/>
      <c r="F229" s="80"/>
      <c r="G229" s="80"/>
      <c r="H229" s="80"/>
      <c r="I229" s="80">
        <v>3</v>
      </c>
      <c r="J229" s="94"/>
      <c r="K229" s="28"/>
      <c r="L229" s="28"/>
    </row>
    <row r="230" spans="1:12" ht="14.85" hidden="1" customHeight="1" x14ac:dyDescent="0.25">
      <c r="A230" s="1815"/>
      <c r="B230" s="1220"/>
      <c r="C230" s="1117"/>
      <c r="D230" s="28" t="s">
        <v>257</v>
      </c>
      <c r="E230" s="94"/>
      <c r="F230" s="80"/>
      <c r="G230" s="80"/>
      <c r="H230" s="80"/>
      <c r="I230" s="80">
        <v>0</v>
      </c>
      <c r="J230" s="94"/>
      <c r="K230" s="28"/>
      <c r="L230" s="28"/>
    </row>
    <row r="231" spans="1:12" hidden="1" x14ac:dyDescent="0.25">
      <c r="A231" s="1815"/>
      <c r="B231" s="1220"/>
      <c r="C231" s="1117"/>
      <c r="D231" s="28" t="s">
        <v>263</v>
      </c>
      <c r="E231" s="94"/>
      <c r="F231" s="80"/>
      <c r="G231" s="80"/>
      <c r="H231" s="80"/>
      <c r="I231" s="80">
        <v>3</v>
      </c>
      <c r="J231" s="94"/>
      <c r="K231" s="28"/>
      <c r="L231" s="28"/>
    </row>
    <row r="232" spans="1:12" hidden="1" x14ac:dyDescent="0.25">
      <c r="A232" s="1815"/>
      <c r="B232" s="1220"/>
      <c r="C232" s="1117"/>
      <c r="D232" s="28" t="s">
        <v>357</v>
      </c>
      <c r="E232" s="94"/>
      <c r="F232" s="94"/>
      <c r="G232" s="94"/>
      <c r="H232" s="94"/>
      <c r="I232" s="99">
        <f>I231/I229*100</f>
        <v>100</v>
      </c>
      <c r="J232" s="94"/>
      <c r="K232" s="28"/>
      <c r="L232" s="28"/>
    </row>
    <row r="233" spans="1:12" ht="14.85" hidden="1" customHeight="1" x14ac:dyDescent="0.25">
      <c r="A233" s="1815"/>
      <c r="B233" s="1220"/>
      <c r="C233" s="1117" t="s">
        <v>399</v>
      </c>
      <c r="D233" s="144" t="s">
        <v>251</v>
      </c>
      <c r="E233" s="94"/>
      <c r="F233" s="80">
        <v>770</v>
      </c>
      <c r="G233" s="80"/>
      <c r="H233" s="80"/>
      <c r="I233" s="80">
        <v>1047</v>
      </c>
      <c r="J233" s="94"/>
      <c r="K233" s="28"/>
      <c r="L233" s="28"/>
    </row>
    <row r="234" spans="1:12" ht="14.85" hidden="1" customHeight="1" x14ac:dyDescent="0.25">
      <c r="A234" s="1815"/>
      <c r="B234" s="1220"/>
      <c r="C234" s="1117"/>
      <c r="D234" s="28" t="s">
        <v>257</v>
      </c>
      <c r="E234" s="94"/>
      <c r="F234" s="80">
        <v>750</v>
      </c>
      <c r="G234" s="80"/>
      <c r="H234" s="80"/>
      <c r="I234" s="80">
        <v>978</v>
      </c>
      <c r="J234" s="94"/>
      <c r="K234" s="28"/>
      <c r="L234" s="28"/>
    </row>
    <row r="235" spans="1:12" hidden="1" x14ac:dyDescent="0.25">
      <c r="A235" s="1815"/>
      <c r="B235" s="1220"/>
      <c r="C235" s="1117"/>
      <c r="D235" s="28" t="s">
        <v>263</v>
      </c>
      <c r="E235" s="94"/>
      <c r="F235" s="80">
        <v>20</v>
      </c>
      <c r="G235" s="80"/>
      <c r="H235" s="80"/>
      <c r="I235" s="80">
        <v>63</v>
      </c>
      <c r="J235" s="94"/>
      <c r="K235" s="28"/>
      <c r="L235" s="28"/>
    </row>
    <row r="236" spans="1:12" hidden="1" x14ac:dyDescent="0.25">
      <c r="A236" s="1815"/>
      <c r="B236" s="1220"/>
      <c r="C236" s="1117"/>
      <c r="D236" s="28" t="s">
        <v>357</v>
      </c>
      <c r="E236" s="94"/>
      <c r="F236" s="97">
        <f>(F235/F233)*100</f>
        <v>2.5974025974025974</v>
      </c>
      <c r="G236" s="94"/>
      <c r="H236" s="94"/>
      <c r="I236" s="97">
        <f>I235/I233*100</f>
        <v>6.0171919770773634</v>
      </c>
      <c r="J236" s="94"/>
      <c r="K236" s="28"/>
      <c r="L236" s="28"/>
    </row>
    <row r="237" spans="1:12" ht="14.85" hidden="1" customHeight="1" x14ac:dyDescent="0.25">
      <c r="A237" s="1815"/>
      <c r="B237" s="1220"/>
      <c r="C237" s="1117" t="s">
        <v>400</v>
      </c>
      <c r="D237" s="144" t="s">
        <v>251</v>
      </c>
      <c r="E237" s="94"/>
      <c r="F237" s="80">
        <v>385</v>
      </c>
      <c r="G237" s="80"/>
      <c r="H237" s="80"/>
      <c r="I237" s="80">
        <v>591</v>
      </c>
      <c r="J237" s="94"/>
      <c r="K237" s="28"/>
      <c r="L237" s="28"/>
    </row>
    <row r="238" spans="1:12" hidden="1" x14ac:dyDescent="0.25">
      <c r="A238" s="1815"/>
      <c r="B238" s="1220"/>
      <c r="C238" s="1117"/>
      <c r="D238" s="28" t="s">
        <v>257</v>
      </c>
      <c r="E238" s="94"/>
      <c r="F238" s="80">
        <v>310</v>
      </c>
      <c r="G238" s="80"/>
      <c r="H238" s="80"/>
      <c r="I238" s="80">
        <v>561</v>
      </c>
      <c r="J238" s="94"/>
      <c r="K238" s="28"/>
      <c r="L238" s="28"/>
    </row>
    <row r="239" spans="1:12" hidden="1" x14ac:dyDescent="0.25">
      <c r="A239" s="1815"/>
      <c r="B239" s="1220"/>
      <c r="C239" s="1117"/>
      <c r="D239" s="28" t="s">
        <v>263</v>
      </c>
      <c r="E239" s="94"/>
      <c r="F239" s="80">
        <v>75</v>
      </c>
      <c r="G239" s="80"/>
      <c r="H239" s="80"/>
      <c r="I239" s="80">
        <v>30</v>
      </c>
      <c r="J239" s="94"/>
      <c r="K239" s="28"/>
      <c r="L239" s="28"/>
    </row>
    <row r="240" spans="1:12" hidden="1" x14ac:dyDescent="0.25">
      <c r="A240" s="1815"/>
      <c r="B240" s="1220"/>
      <c r="C240" s="1117"/>
      <c r="D240" s="28" t="s">
        <v>357</v>
      </c>
      <c r="E240" s="94"/>
      <c r="F240" s="97">
        <f>(F239/F237)*100</f>
        <v>19.480519480519483</v>
      </c>
      <c r="G240" s="94"/>
      <c r="H240" s="94"/>
      <c r="I240" s="97">
        <f>I239/I237*100</f>
        <v>5.0761421319796955</v>
      </c>
      <c r="J240" s="94"/>
      <c r="K240" s="28"/>
      <c r="L240" s="28"/>
    </row>
    <row r="241" spans="1:12" ht="14.85" hidden="1" customHeight="1" x14ac:dyDescent="0.25">
      <c r="A241" s="1815"/>
      <c r="B241" s="1220"/>
      <c r="C241" s="1117" t="s">
        <v>401</v>
      </c>
      <c r="D241" s="144" t="s">
        <v>251</v>
      </c>
      <c r="E241" s="94"/>
      <c r="F241" s="80">
        <v>600</v>
      </c>
      <c r="G241" s="80"/>
      <c r="H241" s="80"/>
      <c r="I241" s="80">
        <v>288</v>
      </c>
      <c r="J241" s="94"/>
      <c r="K241" s="28"/>
      <c r="L241" s="28"/>
    </row>
    <row r="242" spans="1:12" hidden="1" x14ac:dyDescent="0.25">
      <c r="A242" s="1815"/>
      <c r="B242" s="1220"/>
      <c r="C242" s="1117"/>
      <c r="D242" s="28" t="s">
        <v>257</v>
      </c>
      <c r="E242" s="94"/>
      <c r="F242" s="80">
        <v>460</v>
      </c>
      <c r="G242" s="80"/>
      <c r="H242" s="80"/>
      <c r="I242" s="80">
        <v>279</v>
      </c>
      <c r="J242" s="94"/>
      <c r="K242" s="28"/>
      <c r="L242" s="28"/>
    </row>
    <row r="243" spans="1:12" hidden="1" x14ac:dyDescent="0.25">
      <c r="A243" s="1815"/>
      <c r="B243" s="1220"/>
      <c r="C243" s="1117"/>
      <c r="D243" s="28" t="s">
        <v>263</v>
      </c>
      <c r="E243" s="94"/>
      <c r="F243" s="80">
        <v>140</v>
      </c>
      <c r="G243" s="80"/>
      <c r="H243" s="80"/>
      <c r="I243" s="80">
        <v>12</v>
      </c>
      <c r="J243" s="94"/>
      <c r="K243" s="28"/>
      <c r="L243" s="28"/>
    </row>
    <row r="244" spans="1:12" hidden="1" x14ac:dyDescent="0.25">
      <c r="A244" s="1815"/>
      <c r="B244" s="1220"/>
      <c r="C244" s="1117"/>
      <c r="D244" s="28" t="s">
        <v>357</v>
      </c>
      <c r="E244" s="94"/>
      <c r="F244" s="97">
        <f>(F243/F241)*100</f>
        <v>23.333333333333332</v>
      </c>
      <c r="G244" s="94"/>
      <c r="H244" s="94"/>
      <c r="I244" s="97">
        <f>I243/I241*100</f>
        <v>4.1666666666666661</v>
      </c>
      <c r="J244" s="94"/>
      <c r="K244" s="28"/>
      <c r="L244" s="28"/>
    </row>
    <row r="245" spans="1:12" ht="14.85" hidden="1" customHeight="1" x14ac:dyDescent="0.25">
      <c r="A245" s="1815"/>
      <c r="B245" s="1220"/>
      <c r="C245" s="1117" t="s">
        <v>402</v>
      </c>
      <c r="D245" s="144" t="s">
        <v>251</v>
      </c>
      <c r="E245" s="94"/>
      <c r="F245" s="80">
        <v>505</v>
      </c>
      <c r="G245" s="80"/>
      <c r="H245" s="80"/>
      <c r="I245" s="80">
        <v>615</v>
      </c>
      <c r="J245" s="94"/>
      <c r="K245" s="28"/>
      <c r="L245" s="28"/>
    </row>
    <row r="246" spans="1:12" hidden="1" x14ac:dyDescent="0.25">
      <c r="A246" s="1815"/>
      <c r="B246" s="1220"/>
      <c r="C246" s="1117"/>
      <c r="D246" s="28" t="s">
        <v>257</v>
      </c>
      <c r="E246" s="94"/>
      <c r="F246" s="80">
        <v>505</v>
      </c>
      <c r="G246" s="80"/>
      <c r="H246" s="80"/>
      <c r="I246" s="80">
        <v>576</v>
      </c>
      <c r="J246" s="94"/>
      <c r="K246" s="28"/>
      <c r="L246" s="28"/>
    </row>
    <row r="247" spans="1:12" hidden="1" x14ac:dyDescent="0.25">
      <c r="A247" s="1815"/>
      <c r="B247" s="1220"/>
      <c r="C247" s="1117"/>
      <c r="D247" s="28" t="s">
        <v>263</v>
      </c>
      <c r="E247" s="94"/>
      <c r="F247" s="80">
        <v>0</v>
      </c>
      <c r="G247" s="80"/>
      <c r="H247" s="80"/>
      <c r="I247" s="80">
        <v>39</v>
      </c>
      <c r="J247" s="94"/>
      <c r="K247" s="28"/>
      <c r="L247" s="28"/>
    </row>
    <row r="248" spans="1:12" hidden="1" x14ac:dyDescent="0.25">
      <c r="A248" s="1815"/>
      <c r="B248" s="1220"/>
      <c r="C248" s="1117"/>
      <c r="D248" s="28" t="s">
        <v>357</v>
      </c>
      <c r="E248" s="94"/>
      <c r="F248" s="97">
        <f>(F247/F245)*100</f>
        <v>0</v>
      </c>
      <c r="G248" s="94"/>
      <c r="H248" s="94"/>
      <c r="I248" s="97">
        <f>I247/I245*100</f>
        <v>6.3414634146341466</v>
      </c>
      <c r="J248" s="94"/>
      <c r="K248" s="28"/>
      <c r="L248" s="28"/>
    </row>
    <row r="249" spans="1:12" ht="14.85" hidden="1" customHeight="1" x14ac:dyDescent="0.25">
      <c r="A249" s="1815"/>
      <c r="B249" s="1220"/>
      <c r="C249" s="1117" t="s">
        <v>403</v>
      </c>
      <c r="D249" s="144" t="s">
        <v>251</v>
      </c>
      <c r="E249" s="94"/>
      <c r="F249" s="80">
        <v>925</v>
      </c>
      <c r="G249" s="80"/>
      <c r="H249" s="80"/>
      <c r="I249" s="80">
        <v>801</v>
      </c>
      <c r="J249" s="94"/>
      <c r="K249" s="28"/>
      <c r="L249" s="28"/>
    </row>
    <row r="250" spans="1:12" hidden="1" x14ac:dyDescent="0.25">
      <c r="A250" s="1815"/>
      <c r="B250" s="1220"/>
      <c r="C250" s="1117"/>
      <c r="D250" s="28" t="s">
        <v>257</v>
      </c>
      <c r="E250" s="94"/>
      <c r="F250" s="80">
        <v>855</v>
      </c>
      <c r="G250" s="80"/>
      <c r="H250" s="80"/>
      <c r="I250" s="80">
        <v>735</v>
      </c>
      <c r="J250" s="94"/>
      <c r="K250" s="28"/>
      <c r="L250" s="28"/>
    </row>
    <row r="251" spans="1:12" hidden="1" x14ac:dyDescent="0.25">
      <c r="A251" s="1815"/>
      <c r="B251" s="1220"/>
      <c r="C251" s="1117"/>
      <c r="D251" s="28" t="s">
        <v>263</v>
      </c>
      <c r="E251" s="94"/>
      <c r="F251" s="80">
        <v>70</v>
      </c>
      <c r="G251" s="80"/>
      <c r="H251" s="80"/>
      <c r="I251" s="80">
        <v>66</v>
      </c>
      <c r="J251" s="94"/>
      <c r="K251" s="28"/>
      <c r="L251" s="28"/>
    </row>
    <row r="252" spans="1:12" hidden="1" x14ac:dyDescent="0.25">
      <c r="A252" s="1815"/>
      <c r="B252" s="1220"/>
      <c r="C252" s="1117"/>
      <c r="D252" s="28" t="s">
        <v>357</v>
      </c>
      <c r="E252" s="94"/>
      <c r="F252" s="97">
        <f>(F251/F249)*100</f>
        <v>7.5675675675675684</v>
      </c>
      <c r="G252" s="94"/>
      <c r="H252" s="94"/>
      <c r="I252" s="97">
        <f>I251/I249*100</f>
        <v>8.239700374531834</v>
      </c>
      <c r="J252" s="94"/>
      <c r="K252" s="28"/>
      <c r="L252" s="28"/>
    </row>
    <row r="253" spans="1:12" ht="14.85" hidden="1" customHeight="1" x14ac:dyDescent="0.25">
      <c r="A253" s="1815"/>
      <c r="B253" s="1220"/>
      <c r="C253" s="1117" t="s">
        <v>404</v>
      </c>
      <c r="D253" s="144" t="s">
        <v>251</v>
      </c>
      <c r="E253" s="94"/>
      <c r="F253" s="80">
        <v>425</v>
      </c>
      <c r="G253" s="80"/>
      <c r="H253" s="80"/>
      <c r="I253" s="80">
        <v>210</v>
      </c>
      <c r="J253" s="94"/>
      <c r="K253" s="28"/>
      <c r="L253" s="28"/>
    </row>
    <row r="254" spans="1:12" ht="14.85" hidden="1" customHeight="1" x14ac:dyDescent="0.25">
      <c r="A254" s="1815"/>
      <c r="B254" s="1220"/>
      <c r="C254" s="1117"/>
      <c r="D254" s="28" t="s">
        <v>257</v>
      </c>
      <c r="E254" s="94"/>
      <c r="F254" s="80">
        <v>335</v>
      </c>
      <c r="G254" s="80"/>
      <c r="H254" s="80"/>
      <c r="I254" s="80">
        <v>159</v>
      </c>
      <c r="J254" s="94"/>
      <c r="K254" s="28"/>
      <c r="L254" s="28"/>
    </row>
    <row r="255" spans="1:12" hidden="1" x14ac:dyDescent="0.25">
      <c r="A255" s="1815"/>
      <c r="B255" s="1220"/>
      <c r="C255" s="1117"/>
      <c r="D255" s="28" t="s">
        <v>263</v>
      </c>
      <c r="E255" s="94"/>
      <c r="F255" s="80">
        <v>90</v>
      </c>
      <c r="G255" s="80"/>
      <c r="H255" s="80"/>
      <c r="I255" s="80">
        <v>54</v>
      </c>
      <c r="J255" s="94"/>
      <c r="K255" s="28"/>
      <c r="L255" s="28"/>
    </row>
    <row r="256" spans="1:12" hidden="1" x14ac:dyDescent="0.25">
      <c r="A256" s="1815"/>
      <c r="B256" s="1220"/>
      <c r="C256" s="1117"/>
      <c r="D256" s="28" t="s">
        <v>357</v>
      </c>
      <c r="E256" s="94"/>
      <c r="F256" s="97">
        <f>(F255/F253)*100</f>
        <v>21.176470588235293</v>
      </c>
      <c r="G256" s="94"/>
      <c r="H256" s="94"/>
      <c r="I256" s="97">
        <f>I255/I253*100</f>
        <v>25.714285714285712</v>
      </c>
      <c r="J256" s="94"/>
      <c r="K256" s="28"/>
      <c r="L256" s="28"/>
    </row>
    <row r="257" spans="1:12" ht="14.85" hidden="1" customHeight="1" x14ac:dyDescent="0.25">
      <c r="A257" s="1815"/>
      <c r="B257" s="1220"/>
      <c r="C257" s="1117" t="s">
        <v>405</v>
      </c>
      <c r="D257" s="144" t="s">
        <v>251</v>
      </c>
      <c r="E257" s="94"/>
      <c r="F257" s="80">
        <v>205</v>
      </c>
      <c r="G257" s="80"/>
      <c r="H257" s="80"/>
      <c r="I257" s="80">
        <v>135</v>
      </c>
      <c r="J257" s="94"/>
      <c r="K257" s="28"/>
      <c r="L257" s="28"/>
    </row>
    <row r="258" spans="1:12" hidden="1" x14ac:dyDescent="0.25">
      <c r="A258" s="1815"/>
      <c r="B258" s="1220"/>
      <c r="C258" s="1117"/>
      <c r="D258" s="28" t="s">
        <v>257</v>
      </c>
      <c r="E258" s="94"/>
      <c r="F258" s="80">
        <v>155</v>
      </c>
      <c r="G258" s="80"/>
      <c r="H258" s="80"/>
      <c r="I258" s="80">
        <v>99</v>
      </c>
      <c r="J258" s="94"/>
      <c r="K258" s="28"/>
      <c r="L258" s="28"/>
    </row>
    <row r="259" spans="1:12" hidden="1" x14ac:dyDescent="0.25">
      <c r="A259" s="1815"/>
      <c r="B259" s="1220"/>
      <c r="C259" s="1117"/>
      <c r="D259" s="28" t="s">
        <v>263</v>
      </c>
      <c r="E259" s="94"/>
      <c r="F259" s="80">
        <v>50</v>
      </c>
      <c r="G259" s="80"/>
      <c r="H259" s="80"/>
      <c r="I259" s="80">
        <v>36</v>
      </c>
      <c r="J259" s="94"/>
      <c r="K259" s="28"/>
      <c r="L259" s="28"/>
    </row>
    <row r="260" spans="1:12" hidden="1" x14ac:dyDescent="0.25">
      <c r="A260" s="1815"/>
      <c r="B260" s="1220"/>
      <c r="C260" s="1117"/>
      <c r="D260" s="28" t="s">
        <v>357</v>
      </c>
      <c r="E260" s="94"/>
      <c r="F260" s="97">
        <f>(F259/F257)*100</f>
        <v>24.390243902439025</v>
      </c>
      <c r="G260" s="94"/>
      <c r="H260" s="94"/>
      <c r="I260" s="97">
        <f>I259/I257*100</f>
        <v>26.666666666666668</v>
      </c>
      <c r="J260" s="94"/>
      <c r="K260" s="28"/>
      <c r="L260" s="28"/>
    </row>
    <row r="261" spans="1:12" ht="14.85" hidden="1" customHeight="1" x14ac:dyDescent="0.25">
      <c r="A261" s="1815"/>
      <c r="B261" s="1220"/>
      <c r="C261" s="1117" t="s">
        <v>406</v>
      </c>
      <c r="D261" s="144" t="s">
        <v>251</v>
      </c>
      <c r="E261" s="94"/>
      <c r="F261" s="80">
        <v>120</v>
      </c>
      <c r="G261" s="80"/>
      <c r="H261" s="80"/>
      <c r="I261" s="80">
        <v>231</v>
      </c>
      <c r="J261" s="94"/>
      <c r="K261" s="28"/>
      <c r="L261" s="28"/>
    </row>
    <row r="262" spans="1:12" hidden="1" x14ac:dyDescent="0.25">
      <c r="A262" s="1815"/>
      <c r="B262" s="1220"/>
      <c r="C262" s="1117"/>
      <c r="D262" s="28" t="s">
        <v>257</v>
      </c>
      <c r="E262" s="94"/>
      <c r="F262" s="80">
        <v>55</v>
      </c>
      <c r="G262" s="80"/>
      <c r="H262" s="80"/>
      <c r="I262" s="80">
        <v>174</v>
      </c>
      <c r="J262" s="94"/>
      <c r="K262" s="28"/>
      <c r="L262" s="28"/>
    </row>
    <row r="263" spans="1:12" hidden="1" x14ac:dyDescent="0.25">
      <c r="A263" s="1815"/>
      <c r="B263" s="1220"/>
      <c r="C263" s="1117"/>
      <c r="D263" s="28" t="s">
        <v>263</v>
      </c>
      <c r="E263" s="94"/>
      <c r="F263" s="80">
        <v>65</v>
      </c>
      <c r="G263" s="80"/>
      <c r="H263" s="80"/>
      <c r="I263" s="80">
        <v>57</v>
      </c>
      <c r="J263" s="94"/>
      <c r="K263" s="28"/>
      <c r="L263" s="28"/>
    </row>
    <row r="264" spans="1:12" hidden="1" x14ac:dyDescent="0.25">
      <c r="A264" s="1815"/>
      <c r="B264" s="1220"/>
      <c r="C264" s="1117"/>
      <c r="D264" s="28" t="s">
        <v>357</v>
      </c>
      <c r="E264" s="94"/>
      <c r="F264" s="98">
        <f>(F263/F261)*100</f>
        <v>54.166666666666664</v>
      </c>
      <c r="G264" s="94"/>
      <c r="H264" s="94"/>
      <c r="I264" s="97">
        <f>I263/I261*100</f>
        <v>24.675324675324674</v>
      </c>
      <c r="J264" s="94"/>
      <c r="K264" s="28"/>
      <c r="L264" s="28"/>
    </row>
    <row r="265" spans="1:12" ht="14.85" hidden="1" customHeight="1" x14ac:dyDescent="0.25">
      <c r="A265" s="1815"/>
      <c r="B265" s="1220"/>
      <c r="C265" s="1117" t="s">
        <v>407</v>
      </c>
      <c r="D265" s="144" t="s">
        <v>251</v>
      </c>
      <c r="E265" s="94"/>
      <c r="F265" s="80">
        <v>485</v>
      </c>
      <c r="G265" s="80"/>
      <c r="H265" s="80"/>
      <c r="I265" s="80">
        <v>219</v>
      </c>
      <c r="J265" s="94"/>
      <c r="K265" s="28"/>
      <c r="L265" s="28"/>
    </row>
    <row r="266" spans="1:12" hidden="1" x14ac:dyDescent="0.25">
      <c r="A266" s="1815"/>
      <c r="B266" s="1220"/>
      <c r="C266" s="1117"/>
      <c r="D266" s="28" t="s">
        <v>257</v>
      </c>
      <c r="E266" s="94"/>
      <c r="F266" s="80">
        <v>315</v>
      </c>
      <c r="G266" s="80"/>
      <c r="H266" s="80"/>
      <c r="I266" s="80">
        <v>174</v>
      </c>
      <c r="J266" s="94"/>
      <c r="K266" s="28"/>
      <c r="L266" s="28"/>
    </row>
    <row r="267" spans="1:12" hidden="1" x14ac:dyDescent="0.25">
      <c r="A267" s="1815"/>
      <c r="B267" s="1220"/>
      <c r="C267" s="1117"/>
      <c r="D267" s="28" t="s">
        <v>263</v>
      </c>
      <c r="E267" s="94"/>
      <c r="F267" s="80">
        <v>165</v>
      </c>
      <c r="G267" s="80"/>
      <c r="H267" s="80"/>
      <c r="I267" s="80">
        <v>45</v>
      </c>
      <c r="J267" s="94"/>
      <c r="K267" s="28"/>
      <c r="L267" s="28"/>
    </row>
    <row r="268" spans="1:12" hidden="1" x14ac:dyDescent="0.25">
      <c r="A268" s="1815"/>
      <c r="B268" s="1220"/>
      <c r="C268" s="1117"/>
      <c r="D268" s="28" t="s">
        <v>357</v>
      </c>
      <c r="E268" s="94"/>
      <c r="F268" s="97">
        <f>(F267/F265)*100</f>
        <v>34.020618556701031</v>
      </c>
      <c r="G268" s="94"/>
      <c r="H268" s="94"/>
      <c r="I268" s="97">
        <f>I267/I265*100</f>
        <v>20.547945205479451</v>
      </c>
      <c r="J268" s="94"/>
      <c r="K268" s="28"/>
      <c r="L268" s="28"/>
    </row>
    <row r="269" spans="1:12" ht="14.85" hidden="1" customHeight="1" x14ac:dyDescent="0.25">
      <c r="A269" s="1815"/>
      <c r="B269" s="1220"/>
      <c r="C269" s="1117" t="s">
        <v>408</v>
      </c>
      <c r="D269" s="144" t="s">
        <v>251</v>
      </c>
      <c r="E269" s="94"/>
      <c r="F269" s="80">
        <v>85</v>
      </c>
      <c r="G269" s="80"/>
      <c r="H269" s="80"/>
      <c r="I269" s="80">
        <v>156</v>
      </c>
      <c r="J269" s="94"/>
      <c r="K269" s="28"/>
      <c r="L269" s="28"/>
    </row>
    <row r="270" spans="1:12" hidden="1" x14ac:dyDescent="0.25">
      <c r="A270" s="1815"/>
      <c r="B270" s="1220"/>
      <c r="C270" s="1117"/>
      <c r="D270" s="28" t="s">
        <v>257</v>
      </c>
      <c r="E270" s="94"/>
      <c r="F270" s="80">
        <v>60</v>
      </c>
      <c r="G270" s="80"/>
      <c r="H270" s="80"/>
      <c r="I270" s="80">
        <v>135</v>
      </c>
      <c r="J270" s="94"/>
      <c r="K270" s="28"/>
      <c r="L270" s="28"/>
    </row>
    <row r="271" spans="1:12" hidden="1" x14ac:dyDescent="0.25">
      <c r="A271" s="1815"/>
      <c r="B271" s="1220"/>
      <c r="C271" s="1117"/>
      <c r="D271" s="28" t="s">
        <v>263</v>
      </c>
      <c r="E271" s="94"/>
      <c r="F271" s="80">
        <v>25</v>
      </c>
      <c r="G271" s="80"/>
      <c r="H271" s="80"/>
      <c r="I271" s="80">
        <v>18</v>
      </c>
      <c r="J271" s="94"/>
      <c r="K271" s="28"/>
      <c r="L271" s="28"/>
    </row>
    <row r="272" spans="1:12" hidden="1" x14ac:dyDescent="0.25">
      <c r="A272" s="1815"/>
      <c r="B272" s="1220"/>
      <c r="C272" s="1117"/>
      <c r="D272" s="28" t="s">
        <v>357</v>
      </c>
      <c r="E272" s="94"/>
      <c r="F272" s="97">
        <f>(F271/F269)*100</f>
        <v>29.411764705882355</v>
      </c>
      <c r="G272" s="94"/>
      <c r="H272" s="94"/>
      <c r="I272" s="97">
        <f>I271/I269*100</f>
        <v>11.538461538461538</v>
      </c>
      <c r="J272" s="94"/>
      <c r="K272" s="28"/>
      <c r="L272" s="28"/>
    </row>
    <row r="273" spans="1:12" ht="14.85" hidden="1" customHeight="1" x14ac:dyDescent="0.25">
      <c r="A273" s="1815"/>
      <c r="B273" s="1220"/>
      <c r="C273" s="1117" t="s">
        <v>409</v>
      </c>
      <c r="D273" s="144" t="s">
        <v>251</v>
      </c>
      <c r="E273" s="94"/>
      <c r="F273" s="80">
        <v>95</v>
      </c>
      <c r="G273" s="80"/>
      <c r="H273" s="80"/>
      <c r="I273" s="80">
        <v>201</v>
      </c>
      <c r="J273" s="94"/>
      <c r="K273" s="28"/>
      <c r="L273" s="28"/>
    </row>
    <row r="274" spans="1:12" ht="14.85" hidden="1" customHeight="1" x14ac:dyDescent="0.25">
      <c r="A274" s="1815"/>
      <c r="B274" s="1220"/>
      <c r="C274" s="1117"/>
      <c r="D274" s="28" t="s">
        <v>257</v>
      </c>
      <c r="E274" s="94"/>
      <c r="F274" s="80">
        <v>95</v>
      </c>
      <c r="G274" s="80"/>
      <c r="H274" s="80"/>
      <c r="I274" s="80">
        <v>195</v>
      </c>
      <c r="J274" s="94"/>
      <c r="K274" s="28"/>
      <c r="L274" s="28"/>
    </row>
    <row r="275" spans="1:12" hidden="1" x14ac:dyDescent="0.25">
      <c r="A275" s="1815"/>
      <c r="B275" s="1220"/>
      <c r="C275" s="1117"/>
      <c r="D275" s="28" t="s">
        <v>263</v>
      </c>
      <c r="E275" s="94"/>
      <c r="F275" s="80">
        <v>0</v>
      </c>
      <c r="G275" s="80"/>
      <c r="H275" s="80"/>
      <c r="I275" s="80">
        <v>6</v>
      </c>
      <c r="J275" s="94"/>
      <c r="K275" s="28"/>
      <c r="L275" s="28"/>
    </row>
    <row r="276" spans="1:12" hidden="1" x14ac:dyDescent="0.25">
      <c r="A276" s="1815"/>
      <c r="B276" s="1220"/>
      <c r="C276" s="1117"/>
      <c r="D276" s="28" t="s">
        <v>357</v>
      </c>
      <c r="E276" s="94"/>
      <c r="F276" s="97">
        <f>(F275/F273)*100</f>
        <v>0</v>
      </c>
      <c r="G276" s="94"/>
      <c r="H276" s="94"/>
      <c r="I276" s="97">
        <f>I275/I273*100</f>
        <v>2.9850746268656714</v>
      </c>
      <c r="J276" s="94"/>
      <c r="K276" s="28"/>
      <c r="L276" s="28"/>
    </row>
    <row r="277" spans="1:12" ht="14.85" hidden="1" customHeight="1" x14ac:dyDescent="0.25">
      <c r="A277" s="1815"/>
      <c r="B277" s="1220"/>
      <c r="C277" s="1117" t="s">
        <v>410</v>
      </c>
      <c r="D277" s="144" t="s">
        <v>251</v>
      </c>
      <c r="E277" s="94"/>
      <c r="F277" s="80">
        <v>1615</v>
      </c>
      <c r="G277" s="80"/>
      <c r="H277" s="80"/>
      <c r="I277" s="80">
        <v>2070</v>
      </c>
      <c r="J277" s="94"/>
      <c r="K277" s="28"/>
      <c r="L277" s="28"/>
    </row>
    <row r="278" spans="1:12" hidden="1" x14ac:dyDescent="0.25">
      <c r="A278" s="1815"/>
      <c r="B278" s="1220"/>
      <c r="C278" s="1117"/>
      <c r="D278" s="28" t="s">
        <v>257</v>
      </c>
      <c r="E278" s="94"/>
      <c r="F278" s="80">
        <v>1510</v>
      </c>
      <c r="G278" s="80"/>
      <c r="H278" s="80"/>
      <c r="I278" s="80">
        <v>1911</v>
      </c>
      <c r="J278" s="94"/>
      <c r="K278" s="28"/>
      <c r="L278" s="28"/>
    </row>
    <row r="279" spans="1:12" hidden="1" x14ac:dyDescent="0.25">
      <c r="A279" s="1815"/>
      <c r="B279" s="1220"/>
      <c r="C279" s="1117"/>
      <c r="D279" s="28" t="s">
        <v>263</v>
      </c>
      <c r="E279" s="94"/>
      <c r="F279" s="80">
        <v>100</v>
      </c>
      <c r="G279" s="80"/>
      <c r="H279" s="80"/>
      <c r="I279" s="80">
        <v>159</v>
      </c>
      <c r="J279" s="94"/>
      <c r="K279" s="28"/>
      <c r="L279" s="28"/>
    </row>
    <row r="280" spans="1:12" hidden="1" x14ac:dyDescent="0.25">
      <c r="A280" s="1815"/>
      <c r="B280" s="1220"/>
      <c r="C280" s="1117"/>
      <c r="D280" s="28" t="s">
        <v>357</v>
      </c>
      <c r="E280" s="94"/>
      <c r="F280" s="97">
        <f>(F279/F277)*100</f>
        <v>6.1919504643962853</v>
      </c>
      <c r="G280" s="94"/>
      <c r="H280" s="94"/>
      <c r="I280" s="97">
        <f>I279/I277*100</f>
        <v>7.6811594202898554</v>
      </c>
      <c r="J280" s="94"/>
      <c r="K280" s="28"/>
      <c r="L280" s="28"/>
    </row>
    <row r="281" spans="1:12" hidden="1" x14ac:dyDescent="0.25">
      <c r="A281" s="1815"/>
      <c r="B281" s="1220"/>
      <c r="C281" s="1117" t="s">
        <v>411</v>
      </c>
      <c r="D281" s="144" t="s">
        <v>251</v>
      </c>
      <c r="E281" s="94"/>
      <c r="F281" s="80">
        <v>460</v>
      </c>
      <c r="G281" s="80"/>
      <c r="H281" s="80"/>
      <c r="I281" s="80">
        <v>1269</v>
      </c>
      <c r="J281" s="94"/>
      <c r="K281" s="28"/>
      <c r="L281" s="28"/>
    </row>
    <row r="282" spans="1:12" hidden="1" x14ac:dyDescent="0.25">
      <c r="A282" s="1815"/>
      <c r="B282" s="1220"/>
      <c r="C282" s="1117"/>
      <c r="D282" s="28" t="s">
        <v>257</v>
      </c>
      <c r="E282" s="94"/>
      <c r="F282" s="80">
        <v>25</v>
      </c>
      <c r="G282" s="80"/>
      <c r="H282" s="80"/>
      <c r="I282" s="80">
        <v>33</v>
      </c>
      <c r="J282" s="94"/>
      <c r="K282" s="28"/>
      <c r="L282" s="28"/>
    </row>
    <row r="283" spans="1:12" hidden="1" x14ac:dyDescent="0.25">
      <c r="A283" s="1815"/>
      <c r="B283" s="1220"/>
      <c r="C283" s="1117"/>
      <c r="D283" s="28" t="s">
        <v>263</v>
      </c>
      <c r="E283" s="94"/>
      <c r="F283" s="80">
        <v>435</v>
      </c>
      <c r="G283" s="80"/>
      <c r="H283" s="80"/>
      <c r="I283" s="80">
        <v>1230</v>
      </c>
      <c r="J283" s="94"/>
      <c r="K283" s="28"/>
      <c r="L283" s="28"/>
    </row>
    <row r="284" spans="1:12" hidden="1" x14ac:dyDescent="0.25">
      <c r="A284" s="1815"/>
      <c r="B284" s="1220"/>
      <c r="C284" s="1117"/>
      <c r="D284" s="28" t="s">
        <v>357</v>
      </c>
      <c r="E284" s="94"/>
      <c r="F284" s="99">
        <f>(F283/F281)*100</f>
        <v>94.565217391304344</v>
      </c>
      <c r="G284" s="94"/>
      <c r="H284" s="94"/>
      <c r="I284" s="99">
        <f>I283/I281*100</f>
        <v>96.926713947990535</v>
      </c>
      <c r="J284" s="94"/>
      <c r="K284" s="28"/>
      <c r="L284" s="28"/>
    </row>
    <row r="285" spans="1:12" hidden="1" x14ac:dyDescent="0.25">
      <c r="A285" s="1815"/>
      <c r="B285" s="1220"/>
      <c r="C285" s="1117" t="s">
        <v>412</v>
      </c>
      <c r="D285" s="144" t="s">
        <v>251</v>
      </c>
      <c r="E285" s="94"/>
      <c r="F285" s="80">
        <v>1855</v>
      </c>
      <c r="G285" s="80"/>
      <c r="H285" s="80"/>
      <c r="I285" s="80">
        <v>2250</v>
      </c>
      <c r="J285" s="94"/>
      <c r="K285" s="28"/>
      <c r="L285" s="28"/>
    </row>
    <row r="286" spans="1:12" hidden="1" x14ac:dyDescent="0.25">
      <c r="A286" s="1815"/>
      <c r="B286" s="1220"/>
      <c r="C286" s="1117"/>
      <c r="D286" s="28" t="s">
        <v>257</v>
      </c>
      <c r="E286" s="94"/>
      <c r="F286" s="80">
        <v>310</v>
      </c>
      <c r="G286" s="80"/>
      <c r="H286" s="80"/>
      <c r="I286" s="80">
        <v>513</v>
      </c>
      <c r="J286" s="94"/>
      <c r="K286" s="28"/>
      <c r="L286" s="28"/>
    </row>
    <row r="287" spans="1:12" hidden="1" x14ac:dyDescent="0.25">
      <c r="A287" s="1815"/>
      <c r="B287" s="1220"/>
      <c r="C287" s="1117"/>
      <c r="D287" s="28" t="s">
        <v>263</v>
      </c>
      <c r="E287" s="94"/>
      <c r="F287" s="80">
        <v>1545</v>
      </c>
      <c r="G287" s="80"/>
      <c r="H287" s="80"/>
      <c r="I287" s="80">
        <v>1737</v>
      </c>
      <c r="J287" s="94"/>
      <c r="K287" s="28"/>
      <c r="L287" s="28"/>
    </row>
    <row r="288" spans="1:12" hidden="1" x14ac:dyDescent="0.25">
      <c r="A288" s="1815"/>
      <c r="B288" s="1220"/>
      <c r="C288" s="1117"/>
      <c r="D288" s="28" t="s">
        <v>357</v>
      </c>
      <c r="E288" s="94"/>
      <c r="F288" s="99">
        <f>(F287/F285)*100</f>
        <v>83.288409703504044</v>
      </c>
      <c r="G288" s="94"/>
      <c r="H288" s="94"/>
      <c r="I288" s="99">
        <f>I287/I285*100</f>
        <v>77.2</v>
      </c>
      <c r="J288" s="94"/>
      <c r="K288" s="28"/>
      <c r="L288" s="28"/>
    </row>
    <row r="289" spans="1:12" ht="14.85" hidden="1" customHeight="1" x14ac:dyDescent="0.25">
      <c r="A289" s="1815"/>
      <c r="B289" s="1220"/>
      <c r="C289" s="1117" t="s">
        <v>413</v>
      </c>
      <c r="D289" s="144" t="s">
        <v>251</v>
      </c>
      <c r="E289" s="94"/>
      <c r="F289" s="80">
        <v>180</v>
      </c>
      <c r="G289" s="80"/>
      <c r="H289" s="80"/>
      <c r="I289" s="80">
        <v>213</v>
      </c>
      <c r="J289" s="94"/>
      <c r="K289" s="28"/>
      <c r="L289" s="28"/>
    </row>
    <row r="290" spans="1:12" ht="14.85" hidden="1" customHeight="1" x14ac:dyDescent="0.25">
      <c r="A290" s="1815"/>
      <c r="B290" s="1220"/>
      <c r="C290" s="1117"/>
      <c r="D290" s="28" t="s">
        <v>257</v>
      </c>
      <c r="E290" s="94"/>
      <c r="F290" s="80">
        <v>85</v>
      </c>
      <c r="G290" s="80"/>
      <c r="H290" s="80"/>
      <c r="I290" s="80">
        <v>105</v>
      </c>
      <c r="J290" s="94"/>
      <c r="K290" s="28"/>
      <c r="L290" s="28"/>
    </row>
    <row r="291" spans="1:12" hidden="1" x14ac:dyDescent="0.25">
      <c r="A291" s="1815"/>
      <c r="B291" s="1220"/>
      <c r="C291" s="1117"/>
      <c r="D291" s="28" t="s">
        <v>263</v>
      </c>
      <c r="E291" s="94"/>
      <c r="F291" s="80">
        <v>95</v>
      </c>
      <c r="G291" s="80"/>
      <c r="H291" s="80"/>
      <c r="I291" s="80">
        <v>111</v>
      </c>
      <c r="J291" s="94"/>
      <c r="K291" s="28"/>
      <c r="L291" s="28"/>
    </row>
    <row r="292" spans="1:12" hidden="1" x14ac:dyDescent="0.25">
      <c r="A292" s="1815"/>
      <c r="B292" s="1220"/>
      <c r="C292" s="1117"/>
      <c r="D292" s="28" t="s">
        <v>357</v>
      </c>
      <c r="E292" s="94"/>
      <c r="F292" s="98">
        <f>(F291/F289)*100</f>
        <v>52.777777777777779</v>
      </c>
      <c r="G292" s="94"/>
      <c r="H292" s="94"/>
      <c r="I292" s="98">
        <f>I291/I289*100</f>
        <v>52.112676056338024</v>
      </c>
      <c r="J292" s="94"/>
      <c r="K292" s="28"/>
      <c r="L292" s="28"/>
    </row>
    <row r="293" spans="1:12" ht="14.85" hidden="1" customHeight="1" x14ac:dyDescent="0.25">
      <c r="A293" s="1815"/>
      <c r="B293" s="1220"/>
      <c r="C293" s="1117" t="s">
        <v>414</v>
      </c>
      <c r="D293" s="144" t="s">
        <v>251</v>
      </c>
      <c r="E293" s="94"/>
      <c r="F293" s="80">
        <v>560</v>
      </c>
      <c r="G293" s="80"/>
      <c r="H293" s="80"/>
      <c r="I293" s="80">
        <v>798</v>
      </c>
      <c r="J293" s="94"/>
      <c r="K293" s="28"/>
      <c r="L293" s="28"/>
    </row>
    <row r="294" spans="1:12" ht="14.85" hidden="1" customHeight="1" x14ac:dyDescent="0.25">
      <c r="A294" s="1815"/>
      <c r="B294" s="1220"/>
      <c r="C294" s="1117"/>
      <c r="D294" s="28" t="s">
        <v>257</v>
      </c>
      <c r="E294" s="94"/>
      <c r="F294" s="80">
        <v>370</v>
      </c>
      <c r="G294" s="80"/>
      <c r="H294" s="80"/>
      <c r="I294" s="80">
        <v>591</v>
      </c>
      <c r="J294" s="94"/>
      <c r="K294" s="28"/>
      <c r="L294" s="28"/>
    </row>
    <row r="295" spans="1:12" hidden="1" x14ac:dyDescent="0.25">
      <c r="A295" s="1815"/>
      <c r="B295" s="1220"/>
      <c r="C295" s="1117"/>
      <c r="D295" s="28" t="s">
        <v>263</v>
      </c>
      <c r="E295" s="94"/>
      <c r="F295" s="80">
        <v>190</v>
      </c>
      <c r="G295" s="80"/>
      <c r="H295" s="80"/>
      <c r="I295" s="80">
        <v>207</v>
      </c>
      <c r="J295" s="94"/>
      <c r="K295" s="28"/>
      <c r="L295" s="28"/>
    </row>
    <row r="296" spans="1:12" hidden="1" x14ac:dyDescent="0.25">
      <c r="A296" s="1815"/>
      <c r="B296" s="1220"/>
      <c r="C296" s="1117"/>
      <c r="D296" s="28" t="s">
        <v>357</v>
      </c>
      <c r="E296" s="94"/>
      <c r="F296" s="97">
        <f>(F295/F293)*100</f>
        <v>33.928571428571431</v>
      </c>
      <c r="G296" s="94"/>
      <c r="H296" s="94"/>
      <c r="I296" s="97">
        <f>I295/I293*100</f>
        <v>25.939849624060152</v>
      </c>
      <c r="J296" s="94"/>
      <c r="K296" s="28"/>
      <c r="L296" s="28"/>
    </row>
    <row r="297" spans="1:12" ht="14.85" hidden="1" customHeight="1" x14ac:dyDescent="0.25">
      <c r="A297" s="1815"/>
      <c r="B297" s="1220"/>
      <c r="C297" s="1117" t="s">
        <v>415</v>
      </c>
      <c r="D297" s="144" t="s">
        <v>251</v>
      </c>
      <c r="E297" s="94"/>
      <c r="F297" s="80">
        <v>25</v>
      </c>
      <c r="G297" s="80"/>
      <c r="H297" s="80"/>
      <c r="I297" s="80">
        <v>81</v>
      </c>
      <c r="J297" s="94"/>
      <c r="K297" s="28"/>
      <c r="L297" s="28"/>
    </row>
    <row r="298" spans="1:12" hidden="1" x14ac:dyDescent="0.25">
      <c r="A298" s="1815"/>
      <c r="B298" s="1220"/>
      <c r="C298" s="1117"/>
      <c r="D298" s="28" t="s">
        <v>257</v>
      </c>
      <c r="E298" s="94"/>
      <c r="F298" s="80">
        <v>10</v>
      </c>
      <c r="G298" s="80"/>
      <c r="H298" s="80"/>
      <c r="I298" s="80">
        <v>66</v>
      </c>
      <c r="J298" s="94"/>
      <c r="K298" s="28"/>
      <c r="L298" s="28"/>
    </row>
    <row r="299" spans="1:12" hidden="1" x14ac:dyDescent="0.25">
      <c r="A299" s="1815"/>
      <c r="B299" s="1220"/>
      <c r="C299" s="1117"/>
      <c r="D299" s="28" t="s">
        <v>263</v>
      </c>
      <c r="E299" s="94"/>
      <c r="F299" s="80">
        <v>15</v>
      </c>
      <c r="G299" s="80"/>
      <c r="H299" s="80"/>
      <c r="I299" s="80">
        <v>15</v>
      </c>
      <c r="J299" s="94"/>
      <c r="K299" s="28"/>
      <c r="L299" s="28"/>
    </row>
    <row r="300" spans="1:12" hidden="1" x14ac:dyDescent="0.25">
      <c r="A300" s="1815"/>
      <c r="B300" s="1220"/>
      <c r="C300" s="1117"/>
      <c r="D300" s="28" t="s">
        <v>357</v>
      </c>
      <c r="E300" s="94"/>
      <c r="F300" s="99">
        <f>(F299/F297)*100</f>
        <v>60</v>
      </c>
      <c r="G300" s="94"/>
      <c r="H300" s="94"/>
      <c r="I300" s="97">
        <f>I299/I297*100</f>
        <v>18.518518518518519</v>
      </c>
      <c r="J300" s="94"/>
      <c r="K300" s="28"/>
      <c r="L300" s="28"/>
    </row>
    <row r="301" spans="1:12" ht="14.85" hidden="1" customHeight="1" x14ac:dyDescent="0.25">
      <c r="A301" s="1815"/>
      <c r="B301" s="1220"/>
      <c r="C301" s="1117" t="s">
        <v>416</v>
      </c>
      <c r="D301" s="144" t="s">
        <v>251</v>
      </c>
      <c r="E301" s="94"/>
      <c r="F301" s="80">
        <v>90</v>
      </c>
      <c r="G301" s="80"/>
      <c r="H301" s="80"/>
      <c r="I301" s="80">
        <v>132</v>
      </c>
      <c r="J301" s="94"/>
      <c r="K301" s="28"/>
      <c r="L301" s="28"/>
    </row>
    <row r="302" spans="1:12" hidden="1" x14ac:dyDescent="0.25">
      <c r="A302" s="1815"/>
      <c r="B302" s="1220"/>
      <c r="C302" s="1117"/>
      <c r="D302" s="28" t="s">
        <v>257</v>
      </c>
      <c r="E302" s="94"/>
      <c r="F302" s="80">
        <v>75</v>
      </c>
      <c r="G302" s="80"/>
      <c r="H302" s="80"/>
      <c r="I302" s="80">
        <v>126</v>
      </c>
      <c r="J302" s="94"/>
      <c r="K302" s="28"/>
      <c r="L302" s="28"/>
    </row>
    <row r="303" spans="1:12" hidden="1" x14ac:dyDescent="0.25">
      <c r="A303" s="1815"/>
      <c r="B303" s="1220"/>
      <c r="C303" s="1117"/>
      <c r="D303" s="28" t="s">
        <v>263</v>
      </c>
      <c r="E303" s="94"/>
      <c r="F303" s="80">
        <v>15</v>
      </c>
      <c r="G303" s="80"/>
      <c r="H303" s="80"/>
      <c r="I303" s="80">
        <v>6</v>
      </c>
      <c r="J303" s="94"/>
      <c r="K303" s="28"/>
      <c r="L303" s="28"/>
    </row>
    <row r="304" spans="1:12" hidden="1" x14ac:dyDescent="0.25">
      <c r="A304" s="1815"/>
      <c r="B304" s="1220"/>
      <c r="C304" s="1117"/>
      <c r="D304" s="28" t="s">
        <v>357</v>
      </c>
      <c r="E304" s="94"/>
      <c r="F304" s="97">
        <f>(F303/F301)*100</f>
        <v>16.666666666666664</v>
      </c>
      <c r="G304" s="94"/>
      <c r="H304" s="94"/>
      <c r="I304" s="97">
        <f>I303/I301*100</f>
        <v>4.5454545454545459</v>
      </c>
      <c r="J304" s="94"/>
      <c r="K304" s="28"/>
      <c r="L304" s="28"/>
    </row>
    <row r="305" spans="1:14" ht="14.85" hidden="1" customHeight="1" x14ac:dyDescent="0.25">
      <c r="A305" s="1815"/>
      <c r="B305" s="1220"/>
      <c r="C305" s="1117" t="s">
        <v>417</v>
      </c>
      <c r="D305" s="144" t="s">
        <v>251</v>
      </c>
      <c r="E305" s="94"/>
      <c r="F305" s="80">
        <v>135</v>
      </c>
      <c r="G305" s="80"/>
      <c r="H305" s="80"/>
      <c r="I305" s="80">
        <v>396</v>
      </c>
      <c r="J305" s="94"/>
      <c r="K305" s="28"/>
      <c r="L305" s="28"/>
    </row>
    <row r="306" spans="1:14" hidden="1" x14ac:dyDescent="0.25">
      <c r="A306" s="1815"/>
      <c r="B306" s="1220"/>
      <c r="C306" s="1117"/>
      <c r="D306" s="28" t="s">
        <v>257</v>
      </c>
      <c r="E306" s="94"/>
      <c r="F306" s="80">
        <v>110</v>
      </c>
      <c r="G306" s="80"/>
      <c r="H306" s="80"/>
      <c r="I306" s="80">
        <v>270</v>
      </c>
      <c r="J306" s="94"/>
      <c r="K306" s="28"/>
      <c r="L306" s="28"/>
    </row>
    <row r="307" spans="1:14" hidden="1" x14ac:dyDescent="0.25">
      <c r="A307" s="1815"/>
      <c r="B307" s="1220"/>
      <c r="C307" s="1117"/>
      <c r="D307" s="28" t="s">
        <v>263</v>
      </c>
      <c r="E307" s="94"/>
      <c r="F307" s="80">
        <v>20</v>
      </c>
      <c r="G307" s="80"/>
      <c r="H307" s="80"/>
      <c r="I307" s="80">
        <v>126</v>
      </c>
      <c r="J307" s="94"/>
      <c r="K307" s="28"/>
      <c r="L307" s="28"/>
    </row>
    <row r="308" spans="1:14" hidden="1" x14ac:dyDescent="0.25">
      <c r="A308" s="1815"/>
      <c r="B308" s="1220"/>
      <c r="C308" s="1117"/>
      <c r="D308" s="28" t="s">
        <v>357</v>
      </c>
      <c r="E308" s="94"/>
      <c r="F308" s="97">
        <f>F307/F305*100</f>
        <v>14.814814814814813</v>
      </c>
      <c r="G308" s="94"/>
      <c r="H308" s="94"/>
      <c r="I308" s="97">
        <f>I307/I305*100</f>
        <v>31.818181818181817</v>
      </c>
      <c r="J308" s="94"/>
      <c r="K308" s="28"/>
      <c r="L308" s="28"/>
    </row>
    <row r="309" spans="1:14" ht="14.85" hidden="1" customHeight="1" x14ac:dyDescent="0.25">
      <c r="A309" s="1815"/>
      <c r="B309" s="1220"/>
      <c r="C309" s="1117" t="s">
        <v>418</v>
      </c>
      <c r="D309" s="144" t="s">
        <v>251</v>
      </c>
      <c r="E309" s="94"/>
      <c r="F309" s="80">
        <v>590</v>
      </c>
      <c r="G309" s="80"/>
      <c r="H309" s="80"/>
      <c r="I309" s="80">
        <v>1047</v>
      </c>
      <c r="J309" s="94"/>
      <c r="K309" s="28"/>
      <c r="L309" s="28"/>
    </row>
    <row r="310" spans="1:14" hidden="1" x14ac:dyDescent="0.25">
      <c r="A310" s="1815"/>
      <c r="B310" s="1220"/>
      <c r="C310" s="1117"/>
      <c r="D310" s="28" t="s">
        <v>263</v>
      </c>
      <c r="E310" s="94"/>
      <c r="F310" s="80">
        <v>390</v>
      </c>
      <c r="G310" s="80"/>
      <c r="H310" s="80"/>
      <c r="I310" s="80">
        <v>825</v>
      </c>
      <c r="J310" s="94"/>
      <c r="K310" s="28"/>
      <c r="L310" s="28"/>
    </row>
    <row r="311" spans="1:14" ht="14.85" hidden="1" customHeight="1" x14ac:dyDescent="0.25">
      <c r="A311" s="1815"/>
      <c r="B311" s="1220"/>
      <c r="C311" s="1117"/>
      <c r="D311" s="28" t="s">
        <v>257</v>
      </c>
      <c r="E311" s="94"/>
      <c r="F311" s="80">
        <v>205</v>
      </c>
      <c r="G311" s="80"/>
      <c r="H311" s="80"/>
      <c r="I311" s="80">
        <v>222</v>
      </c>
      <c r="J311" s="94"/>
      <c r="K311" s="28"/>
      <c r="L311" s="28"/>
    </row>
    <row r="312" spans="1:14" hidden="1" x14ac:dyDescent="0.25">
      <c r="A312" s="1815"/>
      <c r="B312" s="1220"/>
      <c r="C312" s="1274"/>
      <c r="D312" s="110" t="s">
        <v>357</v>
      </c>
      <c r="E312" s="126"/>
      <c r="F312" s="469">
        <f>(F311/F309)*100</f>
        <v>34.745762711864408</v>
      </c>
      <c r="G312" s="126"/>
      <c r="H312" s="126"/>
      <c r="I312" s="469">
        <f>I311/I309*100</f>
        <v>21.203438395415471</v>
      </c>
      <c r="J312" s="126"/>
      <c r="K312" s="110"/>
      <c r="L312" s="110"/>
    </row>
    <row r="313" spans="1:14" x14ac:dyDescent="0.25">
      <c r="A313" s="1815"/>
      <c r="B313" s="1907"/>
      <c r="C313" s="1251" t="s">
        <v>419</v>
      </c>
      <c r="D313" s="1206"/>
      <c r="E313" s="249"/>
      <c r="F313" s="470">
        <f>34/60*100</f>
        <v>56.666666666666664</v>
      </c>
      <c r="G313" s="612"/>
      <c r="H313" s="612"/>
      <c r="I313" s="471">
        <f>32/61*100</f>
        <v>52.459016393442624</v>
      </c>
      <c r="J313" s="249"/>
      <c r="K313" s="36"/>
      <c r="L313" s="20"/>
    </row>
    <row r="314" spans="1:14" x14ac:dyDescent="0.25">
      <c r="A314" s="1815"/>
      <c r="B314" s="1907"/>
      <c r="C314" s="1109" t="s">
        <v>420</v>
      </c>
      <c r="D314" s="1110"/>
      <c r="E314" s="94"/>
      <c r="F314" s="102">
        <f>17/60*100</f>
        <v>28.333333333333332</v>
      </c>
      <c r="G314" s="92"/>
      <c r="H314" s="92"/>
      <c r="I314" s="102">
        <f>15/61*100</f>
        <v>24.590163934426229</v>
      </c>
      <c r="J314" s="94"/>
      <c r="K314" s="28"/>
      <c r="L314" s="21"/>
    </row>
    <row r="315" spans="1:14" x14ac:dyDescent="0.25">
      <c r="A315" s="1816"/>
      <c r="B315" s="1908"/>
      <c r="C315" s="1156" t="s">
        <v>421</v>
      </c>
      <c r="D315" s="1157"/>
      <c r="E315" s="126"/>
      <c r="F315" s="127">
        <f>9/60*100</f>
        <v>15</v>
      </c>
      <c r="G315" s="128"/>
      <c r="H315" s="128"/>
      <c r="I315" s="127">
        <f>14/61*100</f>
        <v>22.950819672131146</v>
      </c>
      <c r="J315" s="126"/>
      <c r="K315" s="110"/>
      <c r="L315" s="53"/>
    </row>
    <row r="316" spans="1:14" ht="16.5" thickBot="1" x14ac:dyDescent="0.3">
      <c r="A316" s="338" t="s">
        <v>248</v>
      </c>
      <c r="B316" s="463" t="s">
        <v>249</v>
      </c>
      <c r="C316" s="1422"/>
      <c r="D316" s="1422"/>
      <c r="E316" s="616">
        <v>2005</v>
      </c>
      <c r="F316" s="616">
        <v>2010</v>
      </c>
      <c r="G316" s="616">
        <v>2015</v>
      </c>
      <c r="H316" s="616">
        <v>2020</v>
      </c>
      <c r="I316" s="616">
        <v>2021</v>
      </c>
      <c r="J316" s="616">
        <v>2022</v>
      </c>
      <c r="K316" s="616">
        <v>2023</v>
      </c>
      <c r="L316" s="616">
        <v>2024</v>
      </c>
    </row>
    <row r="317" spans="1:14" ht="14.85" customHeight="1" x14ac:dyDescent="0.25">
      <c r="A317" s="1864" t="s">
        <v>422</v>
      </c>
      <c r="B317" s="1408" t="s">
        <v>164</v>
      </c>
      <c r="C317" s="1520" t="s">
        <v>424</v>
      </c>
      <c r="D317" s="1520"/>
      <c r="E317" s="36"/>
      <c r="F317" s="37">
        <v>889.89</v>
      </c>
      <c r="G317" s="37">
        <v>1012.91</v>
      </c>
      <c r="H317" s="37">
        <v>1123</v>
      </c>
      <c r="I317" s="37">
        <v>1158</v>
      </c>
      <c r="J317" s="37">
        <v>1183</v>
      </c>
      <c r="K317" s="37">
        <v>1342</v>
      </c>
      <c r="L317" s="334">
        <v>1351</v>
      </c>
    </row>
    <row r="318" spans="1:14" x14ac:dyDescent="0.25">
      <c r="A318" s="1865"/>
      <c r="B318" s="1272"/>
      <c r="C318" s="1331" t="s">
        <v>425</v>
      </c>
      <c r="D318" s="1331"/>
      <c r="E318" s="28"/>
      <c r="F318" s="29">
        <v>1058.79</v>
      </c>
      <c r="G318" s="29">
        <v>1230.3</v>
      </c>
      <c r="H318" s="29">
        <v>1391</v>
      </c>
      <c r="I318" s="29">
        <v>1439</v>
      </c>
      <c r="J318" s="29">
        <v>1470</v>
      </c>
      <c r="K318" s="29">
        <v>1652</v>
      </c>
      <c r="L318" s="39">
        <v>1660</v>
      </c>
    </row>
    <row r="319" spans="1:14" x14ac:dyDescent="0.25">
      <c r="A319" s="1865"/>
      <c r="B319" s="1272"/>
      <c r="C319" s="1331" t="s">
        <v>426</v>
      </c>
      <c r="D319" s="1331"/>
      <c r="E319" s="28"/>
      <c r="F319" s="29">
        <v>687.71</v>
      </c>
      <c r="G319" s="29">
        <v>777.4</v>
      </c>
      <c r="H319" s="29">
        <v>877</v>
      </c>
      <c r="I319" s="29">
        <v>908</v>
      </c>
      <c r="J319" s="29">
        <v>931</v>
      </c>
      <c r="K319" s="29">
        <v>1064</v>
      </c>
      <c r="L319" s="39">
        <v>1077</v>
      </c>
    </row>
    <row r="320" spans="1:14" x14ac:dyDescent="0.25">
      <c r="A320" s="1865"/>
      <c r="B320" s="1272"/>
      <c r="C320" s="1333" t="s">
        <v>427</v>
      </c>
      <c r="D320" s="1333"/>
      <c r="E320" s="28"/>
      <c r="F320" s="31">
        <f t="shared" ref="F320:L320" si="17">+F319-F318</f>
        <v>-371.07999999999993</v>
      </c>
      <c r="G320" s="31">
        <f t="shared" si="17"/>
        <v>-452.9</v>
      </c>
      <c r="H320" s="31">
        <f t="shared" si="17"/>
        <v>-514</v>
      </c>
      <c r="I320" s="31">
        <f t="shared" si="17"/>
        <v>-531</v>
      </c>
      <c r="J320" s="31">
        <f t="shared" si="17"/>
        <v>-539</v>
      </c>
      <c r="K320" s="31">
        <f t="shared" si="17"/>
        <v>-588</v>
      </c>
      <c r="L320" s="32">
        <f t="shared" si="17"/>
        <v>-583</v>
      </c>
      <c r="M320" s="905"/>
      <c r="N320" s="905"/>
    </row>
    <row r="321" spans="1:12" ht="16.5" thickBot="1" x14ac:dyDescent="0.3">
      <c r="A321" s="1865"/>
      <c r="B321" s="1273"/>
      <c r="C321" s="1565" t="s">
        <v>428</v>
      </c>
      <c r="D321" s="1565"/>
      <c r="E321" s="110"/>
      <c r="F321" s="423">
        <f t="shared" ref="F321:L321" si="18">(F319-F318)/F318*100</f>
        <v>-35.047554283663423</v>
      </c>
      <c r="G321" s="423">
        <f t="shared" si="18"/>
        <v>-36.812159635861171</v>
      </c>
      <c r="H321" s="423">
        <f t="shared" si="18"/>
        <v>-36.951833213515457</v>
      </c>
      <c r="I321" s="423">
        <f t="shared" si="18"/>
        <v>-36.900625434329392</v>
      </c>
      <c r="J321" s="423">
        <f t="shared" si="18"/>
        <v>-36.666666666666664</v>
      </c>
      <c r="K321" s="423">
        <f t="shared" si="18"/>
        <v>-35.593220338983052</v>
      </c>
      <c r="L321" s="212">
        <f t="shared" si="18"/>
        <v>-35.120481927710841</v>
      </c>
    </row>
    <row r="322" spans="1:12" ht="15" customHeight="1" x14ac:dyDescent="0.25">
      <c r="A322" s="1865"/>
      <c r="B322" s="1408" t="s">
        <v>599</v>
      </c>
      <c r="C322" s="1147" t="s">
        <v>430</v>
      </c>
      <c r="D322" s="1147"/>
      <c r="E322" s="36"/>
      <c r="F322" s="40"/>
      <c r="G322" s="37">
        <v>34.314202334630352</v>
      </c>
      <c r="H322" s="37">
        <v>34.320677035681612</v>
      </c>
      <c r="I322" s="37">
        <v>35.763466990684492</v>
      </c>
      <c r="J322" s="37">
        <v>39.339684625492772</v>
      </c>
      <c r="K322" s="37">
        <v>38.516861115550583</v>
      </c>
      <c r="L322" s="20">
        <v>41</v>
      </c>
    </row>
    <row r="323" spans="1:12" x14ac:dyDescent="0.25">
      <c r="A323" s="1865"/>
      <c r="B323" s="1272"/>
      <c r="C323" s="1124" t="s">
        <v>431</v>
      </c>
      <c r="D323" s="1124"/>
      <c r="E323" s="28"/>
      <c r="F323" s="28"/>
      <c r="G323" s="29">
        <v>38.325504282951087</v>
      </c>
      <c r="H323" s="29">
        <v>38.725624828343861</v>
      </c>
      <c r="I323" s="29">
        <v>40.16393442622951</v>
      </c>
      <c r="J323" s="29">
        <v>44.636963696369634</v>
      </c>
      <c r="K323" s="29">
        <v>43.392342527789211</v>
      </c>
      <c r="L323" s="21">
        <v>46.6</v>
      </c>
    </row>
    <row r="324" spans="1:12" x14ac:dyDescent="0.25">
      <c r="A324" s="1865"/>
      <c r="B324" s="1272"/>
      <c r="C324" s="1124" t="s">
        <v>432</v>
      </c>
      <c r="D324" s="1124"/>
      <c r="E324" s="28"/>
      <c r="F324" s="28"/>
      <c r="G324" s="29">
        <v>31.161780673181326</v>
      </c>
      <c r="H324" s="29">
        <v>31.177738585145992</v>
      </c>
      <c r="I324" s="29">
        <v>32.683038788156985</v>
      </c>
      <c r="J324" s="29">
        <v>35.835152838427945</v>
      </c>
      <c r="K324" s="29">
        <v>35.423197492163013</v>
      </c>
      <c r="L324" s="21">
        <v>37.299999999999997</v>
      </c>
    </row>
    <row r="325" spans="1:12" ht="16.5" thickBot="1" x14ac:dyDescent="0.3">
      <c r="A325" s="1865"/>
      <c r="B325" s="1409"/>
      <c r="C325" s="1225" t="s">
        <v>354</v>
      </c>
      <c r="D325" s="1225"/>
      <c r="E325" s="33"/>
      <c r="F325" s="33"/>
      <c r="G325" s="34">
        <f t="shared" ref="G325:L325" si="19">+G324-G323</f>
        <v>-7.163723609769761</v>
      </c>
      <c r="H325" s="34">
        <f t="shared" si="19"/>
        <v>-7.547886243197869</v>
      </c>
      <c r="I325" s="34">
        <f t="shared" si="19"/>
        <v>-7.4808956380725249</v>
      </c>
      <c r="J325" s="34">
        <f t="shared" si="19"/>
        <v>-8.8018108579416889</v>
      </c>
      <c r="K325" s="34">
        <f t="shared" si="19"/>
        <v>-7.9691450356261981</v>
      </c>
      <c r="L325" s="35">
        <f t="shared" si="19"/>
        <v>-9.3000000000000043</v>
      </c>
    </row>
    <row r="326" spans="1:12" x14ac:dyDescent="0.25">
      <c r="A326" s="1865"/>
      <c r="B326" s="1143" t="s">
        <v>545</v>
      </c>
      <c r="C326" s="1316" t="s">
        <v>434</v>
      </c>
      <c r="D326" s="146" t="s">
        <v>435</v>
      </c>
      <c r="E326" s="36"/>
      <c r="F326" s="36"/>
      <c r="G326" s="40"/>
      <c r="H326" s="40"/>
      <c r="I326" s="40">
        <v>82</v>
      </c>
      <c r="J326" s="40">
        <v>65</v>
      </c>
      <c r="K326" s="40">
        <v>41</v>
      </c>
      <c r="L326" s="1061">
        <v>34</v>
      </c>
    </row>
    <row r="327" spans="1:12" x14ac:dyDescent="0.25">
      <c r="A327" s="1865"/>
      <c r="B327" s="1144"/>
      <c r="C327" s="1268"/>
      <c r="D327" s="147" t="s">
        <v>436</v>
      </c>
      <c r="E327" s="28"/>
      <c r="F327" s="28"/>
      <c r="G327" s="28"/>
      <c r="H327" s="28"/>
      <c r="I327" s="28">
        <v>19</v>
      </c>
      <c r="J327" s="28">
        <v>14</v>
      </c>
      <c r="K327" s="28">
        <v>13</v>
      </c>
      <c r="L327" s="1061">
        <v>9</v>
      </c>
    </row>
    <row r="328" spans="1:12" x14ac:dyDescent="0.25">
      <c r="A328" s="1865"/>
      <c r="B328" s="1144"/>
      <c r="C328" s="1268"/>
      <c r="D328" s="28" t="s">
        <v>437</v>
      </c>
      <c r="E328" s="28"/>
      <c r="F328" s="28"/>
      <c r="G328" s="28"/>
      <c r="H328" s="28"/>
      <c r="I328" s="28">
        <v>63</v>
      </c>
      <c r="J328" s="28">
        <v>51</v>
      </c>
      <c r="K328" s="28">
        <v>28</v>
      </c>
      <c r="L328" s="1061">
        <v>25</v>
      </c>
    </row>
    <row r="329" spans="1:12" x14ac:dyDescent="0.25">
      <c r="A329" s="1865"/>
      <c r="B329" s="1144"/>
      <c r="C329" s="1268"/>
      <c r="D329" s="148" t="s">
        <v>353</v>
      </c>
      <c r="E329" s="28"/>
      <c r="F329" s="28"/>
      <c r="G329" s="28"/>
      <c r="H329" s="28"/>
      <c r="I329" s="157">
        <f>I328-I327</f>
        <v>44</v>
      </c>
      <c r="J329" s="157">
        <f>J328-J327</f>
        <v>37</v>
      </c>
      <c r="K329" s="157">
        <f>K328-K327</f>
        <v>15</v>
      </c>
      <c r="L329" s="157">
        <f>L328-L327</f>
        <v>16</v>
      </c>
    </row>
    <row r="330" spans="1:12" x14ac:dyDescent="0.25">
      <c r="A330" s="1865"/>
      <c r="B330" s="1144"/>
      <c r="C330" s="1268"/>
      <c r="D330" s="148" t="s">
        <v>270</v>
      </c>
      <c r="E330" s="28"/>
      <c r="F330" s="28"/>
      <c r="G330" s="28"/>
      <c r="H330" s="28"/>
      <c r="I330" s="158">
        <f>I328/I326*100</f>
        <v>76.829268292682926</v>
      </c>
      <c r="J330" s="158">
        <f>J328/J326*100</f>
        <v>78.461538461538467</v>
      </c>
      <c r="K330" s="158">
        <f>K328/K326*100</f>
        <v>68.292682926829272</v>
      </c>
      <c r="L330" s="158">
        <f>L328/L326*100</f>
        <v>73.529411764705884</v>
      </c>
    </row>
    <row r="331" spans="1:12" x14ac:dyDescent="0.25">
      <c r="A331" s="1865"/>
      <c r="B331" s="1144"/>
      <c r="C331" s="1268" t="s">
        <v>438</v>
      </c>
      <c r="D331" s="149" t="s">
        <v>435</v>
      </c>
      <c r="E331" s="28"/>
      <c r="F331" s="28"/>
      <c r="G331" s="44"/>
      <c r="H331" s="44"/>
      <c r="I331" s="44">
        <v>583</v>
      </c>
      <c r="J331" s="44">
        <v>256</v>
      </c>
      <c r="K331" s="44">
        <v>86</v>
      </c>
      <c r="L331" s="1062">
        <v>157</v>
      </c>
    </row>
    <row r="332" spans="1:12" x14ac:dyDescent="0.25">
      <c r="A332" s="1865"/>
      <c r="B332" s="1144"/>
      <c r="C332" s="1268"/>
      <c r="D332" s="147" t="s">
        <v>436</v>
      </c>
      <c r="E332" s="28"/>
      <c r="F332" s="28"/>
      <c r="G332" s="28"/>
      <c r="H332" s="28"/>
      <c r="I332" s="28">
        <v>174</v>
      </c>
      <c r="J332" s="28">
        <v>80</v>
      </c>
      <c r="K332" s="28">
        <v>24</v>
      </c>
      <c r="L332" s="1062">
        <v>72</v>
      </c>
    </row>
    <row r="333" spans="1:12" x14ac:dyDescent="0.25">
      <c r="A333" s="1865"/>
      <c r="B333" s="1144"/>
      <c r="C333" s="1268"/>
      <c r="D333" s="28" t="s">
        <v>437</v>
      </c>
      <c r="E333" s="28"/>
      <c r="F333" s="28"/>
      <c r="G333" s="28"/>
      <c r="H333" s="28"/>
      <c r="I333" s="28">
        <v>409</v>
      </c>
      <c r="J333" s="28">
        <v>176</v>
      </c>
      <c r="K333" s="28">
        <v>62</v>
      </c>
      <c r="L333" s="1062">
        <v>85</v>
      </c>
    </row>
    <row r="334" spans="1:12" x14ac:dyDescent="0.25">
      <c r="A334" s="1865"/>
      <c r="B334" s="1144"/>
      <c r="C334" s="1268"/>
      <c r="D334" s="148" t="s">
        <v>353</v>
      </c>
      <c r="E334" s="28"/>
      <c r="F334" s="28"/>
      <c r="G334" s="28"/>
      <c r="H334" s="44"/>
      <c r="I334" s="157">
        <f>I333-I332</f>
        <v>235</v>
      </c>
      <c r="J334" s="157">
        <f>J333-J332</f>
        <v>96</v>
      </c>
      <c r="K334" s="157">
        <f>K333-K332</f>
        <v>38</v>
      </c>
      <c r="L334" s="157">
        <f>L333-L332</f>
        <v>13</v>
      </c>
    </row>
    <row r="335" spans="1:12" ht="16.5" thickBot="1" x14ac:dyDescent="0.3">
      <c r="A335" s="1865"/>
      <c r="B335" s="1264"/>
      <c r="C335" s="1362"/>
      <c r="D335" s="150" t="s">
        <v>270</v>
      </c>
      <c r="E335" s="110"/>
      <c r="F335" s="110"/>
      <c r="G335" s="110"/>
      <c r="H335" s="336"/>
      <c r="I335" s="165">
        <f>I333/I331*100</f>
        <v>70.154373927958829</v>
      </c>
      <c r="J335" s="165">
        <f>J333/J331*100</f>
        <v>68.75</v>
      </c>
      <c r="K335" s="165">
        <f>K333/K331*100</f>
        <v>72.093023255813947</v>
      </c>
      <c r="L335" s="165">
        <f>L333/L331*100</f>
        <v>54.140127388535028</v>
      </c>
    </row>
    <row r="336" spans="1:12" ht="15" customHeight="1" x14ac:dyDescent="0.25">
      <c r="A336" s="1865"/>
      <c r="B336" s="1408" t="s">
        <v>180</v>
      </c>
      <c r="C336" s="1147" t="s">
        <v>435</v>
      </c>
      <c r="D336" s="1147"/>
      <c r="E336" s="36"/>
      <c r="F336" s="36"/>
      <c r="G336" s="36"/>
      <c r="H336" s="195">
        <v>15613</v>
      </c>
      <c r="I336" s="195">
        <v>14574</v>
      </c>
      <c r="J336" s="195">
        <v>15221</v>
      </c>
      <c r="K336" s="195">
        <v>16742</v>
      </c>
      <c r="L336" s="20"/>
    </row>
    <row r="337" spans="1:14" x14ac:dyDescent="0.25">
      <c r="A337" s="1865"/>
      <c r="B337" s="1272"/>
      <c r="C337" s="1124" t="s">
        <v>436</v>
      </c>
      <c r="D337" s="1124"/>
      <c r="E337" s="28"/>
      <c r="F337" s="28"/>
      <c r="G337" s="28"/>
      <c r="H337" s="96">
        <v>6443</v>
      </c>
      <c r="I337" s="96">
        <v>5931</v>
      </c>
      <c r="J337" s="96">
        <v>6150</v>
      </c>
      <c r="K337" s="96">
        <v>6821</v>
      </c>
      <c r="L337" s="21"/>
    </row>
    <row r="338" spans="1:14" x14ac:dyDescent="0.25">
      <c r="A338" s="1865"/>
      <c r="B338" s="1272"/>
      <c r="C338" s="1124" t="s">
        <v>437</v>
      </c>
      <c r="D338" s="1124"/>
      <c r="E338" s="28"/>
      <c r="F338" s="28"/>
      <c r="G338" s="28"/>
      <c r="H338" s="96">
        <v>9170</v>
      </c>
      <c r="I338" s="96">
        <v>8643</v>
      </c>
      <c r="J338" s="96">
        <v>9071</v>
      </c>
      <c r="K338" s="96">
        <v>9921</v>
      </c>
      <c r="L338" s="21"/>
    </row>
    <row r="339" spans="1:14" x14ac:dyDescent="0.25">
      <c r="A339" s="1865"/>
      <c r="B339" s="1272"/>
      <c r="C339" s="1112" t="s">
        <v>353</v>
      </c>
      <c r="D339" s="1112"/>
      <c r="E339" s="28"/>
      <c r="F339" s="28"/>
      <c r="G339" s="28"/>
      <c r="H339" s="157">
        <f>H338-H337</f>
        <v>2727</v>
      </c>
      <c r="I339" s="157">
        <f>I338-I337</f>
        <v>2712</v>
      </c>
      <c r="J339" s="157">
        <f>J338-J337</f>
        <v>2921</v>
      </c>
      <c r="K339" s="157">
        <f>K338-K337</f>
        <v>3100</v>
      </c>
      <c r="L339" s="21"/>
    </row>
    <row r="340" spans="1:14" x14ac:dyDescent="0.25">
      <c r="A340" s="1866"/>
      <c r="B340" s="1273"/>
      <c r="C340" s="1178" t="s">
        <v>270</v>
      </c>
      <c r="D340" s="1178"/>
      <c r="E340" s="110"/>
      <c r="F340" s="110"/>
      <c r="G340" s="110"/>
      <c r="H340" s="165">
        <f>H338/H336*100</f>
        <v>58.733107026196116</v>
      </c>
      <c r="I340" s="165">
        <f>I338/I336*100</f>
        <v>59.304240428159737</v>
      </c>
      <c r="J340" s="165">
        <f>J338/J336*100</f>
        <v>59.595295972669341</v>
      </c>
      <c r="K340" s="165">
        <f>K338/K336*100</f>
        <v>59.258153147772077</v>
      </c>
      <c r="L340" s="53"/>
    </row>
    <row r="341" spans="1:14" ht="16.5" thickBot="1" x14ac:dyDescent="0.3">
      <c r="A341" s="338" t="s">
        <v>248</v>
      </c>
      <c r="B341" s="463" t="s">
        <v>249</v>
      </c>
      <c r="C341" s="1422"/>
      <c r="D341" s="1422"/>
      <c r="E341" s="616">
        <v>2005</v>
      </c>
      <c r="F341" s="616">
        <v>2010</v>
      </c>
      <c r="G341" s="616">
        <v>2015</v>
      </c>
      <c r="H341" s="616">
        <v>2020</v>
      </c>
      <c r="I341" s="616">
        <v>2021</v>
      </c>
      <c r="J341" s="616">
        <v>2022</v>
      </c>
      <c r="K341" s="616">
        <v>2023</v>
      </c>
      <c r="L341" s="616">
        <v>2024</v>
      </c>
    </row>
    <row r="342" spans="1:14" x14ac:dyDescent="0.25">
      <c r="A342" s="1868" t="s">
        <v>439</v>
      </c>
      <c r="B342" s="1237" t="s">
        <v>440</v>
      </c>
      <c r="C342" s="1249" t="s">
        <v>251</v>
      </c>
      <c r="D342" s="1250"/>
      <c r="E342" s="107">
        <v>81</v>
      </c>
      <c r="F342" s="910">
        <v>83.7</v>
      </c>
      <c r="G342" s="910">
        <v>83.5</v>
      </c>
      <c r="H342" s="910">
        <v>80.599999999999994</v>
      </c>
      <c r="I342" s="910">
        <v>84.6</v>
      </c>
      <c r="J342" s="911">
        <v>84.377494506352008</v>
      </c>
      <c r="K342" s="40">
        <v>85</v>
      </c>
      <c r="L342" s="108"/>
      <c r="M342" s="326"/>
      <c r="N342" s="326"/>
    </row>
    <row r="343" spans="1:14" x14ac:dyDescent="0.25">
      <c r="A343" s="1822"/>
      <c r="B343" s="1238"/>
      <c r="C343" s="1235" t="s">
        <v>257</v>
      </c>
      <c r="D343" s="1236"/>
      <c r="E343" s="57">
        <v>76.8</v>
      </c>
      <c r="F343" s="58">
        <v>80.8</v>
      </c>
      <c r="G343" s="58">
        <v>80.8</v>
      </c>
      <c r="H343" s="58">
        <v>77.7</v>
      </c>
      <c r="I343" s="58">
        <v>81.7</v>
      </c>
      <c r="J343" s="59">
        <v>82.102033066715833</v>
      </c>
      <c r="K343" s="28">
        <v>82.8</v>
      </c>
      <c r="L343" s="21"/>
    </row>
    <row r="344" spans="1:14" x14ac:dyDescent="0.25">
      <c r="A344" s="1822"/>
      <c r="B344" s="1238"/>
      <c r="C344" s="1235" t="s">
        <v>263</v>
      </c>
      <c r="D344" s="1236"/>
      <c r="E344" s="57">
        <v>85.2</v>
      </c>
      <c r="F344" s="58">
        <v>86.4</v>
      </c>
      <c r="G344" s="58">
        <v>86</v>
      </c>
      <c r="H344" s="58">
        <v>83.5</v>
      </c>
      <c r="I344" s="58">
        <v>87.1</v>
      </c>
      <c r="J344" s="59">
        <v>86.283488260122951</v>
      </c>
      <c r="K344" s="28">
        <v>86.8</v>
      </c>
      <c r="L344" s="21"/>
    </row>
    <row r="345" spans="1:14" ht="16.5" thickBot="1" x14ac:dyDescent="0.3">
      <c r="A345" s="1822"/>
      <c r="B345" s="1239"/>
      <c r="C345" s="1557" t="s">
        <v>441</v>
      </c>
      <c r="D345" s="1558"/>
      <c r="E345" s="476">
        <f t="shared" ref="E345:K345" si="20">+E344-E343</f>
        <v>8.4000000000000057</v>
      </c>
      <c r="F345" s="476">
        <f t="shared" si="20"/>
        <v>5.6000000000000085</v>
      </c>
      <c r="G345" s="476">
        <f t="shared" si="20"/>
        <v>5.2000000000000028</v>
      </c>
      <c r="H345" s="476">
        <f t="shared" si="20"/>
        <v>5.7999999999999972</v>
      </c>
      <c r="I345" s="476">
        <f t="shared" si="20"/>
        <v>5.3999999999999915</v>
      </c>
      <c r="J345" s="477">
        <f t="shared" si="20"/>
        <v>4.1814551934071176</v>
      </c>
      <c r="K345" s="477">
        <f t="shared" si="20"/>
        <v>4</v>
      </c>
      <c r="L345" s="53"/>
    </row>
    <row r="346" spans="1:14" x14ac:dyDescent="0.25">
      <c r="A346" s="1822"/>
      <c r="B346" s="1237" t="s">
        <v>192</v>
      </c>
      <c r="C346" s="1249" t="s">
        <v>251</v>
      </c>
      <c r="D346" s="1250"/>
      <c r="E346" s="107"/>
      <c r="F346" s="341"/>
      <c r="G346" s="224">
        <v>5805</v>
      </c>
      <c r="H346" s="224">
        <v>6830</v>
      </c>
      <c r="I346" s="224">
        <v>6965</v>
      </c>
      <c r="J346" s="195">
        <v>7328</v>
      </c>
      <c r="K346" s="195">
        <v>8208</v>
      </c>
      <c r="L346" s="20"/>
    </row>
    <row r="347" spans="1:14" x14ac:dyDescent="0.25">
      <c r="A347" s="1822"/>
      <c r="B347" s="1238"/>
      <c r="C347" s="1235" t="s">
        <v>257</v>
      </c>
      <c r="D347" s="1236"/>
      <c r="E347" s="57"/>
      <c r="F347" s="218"/>
      <c r="G347" s="219">
        <v>2873</v>
      </c>
      <c r="H347" s="219">
        <v>3369</v>
      </c>
      <c r="I347" s="219">
        <v>3408</v>
      </c>
      <c r="J347" s="96">
        <v>3578</v>
      </c>
      <c r="K347" s="96">
        <v>4028</v>
      </c>
      <c r="L347" s="21"/>
    </row>
    <row r="348" spans="1:14" x14ac:dyDescent="0.25">
      <c r="A348" s="1822"/>
      <c r="B348" s="1238"/>
      <c r="C348" s="1235" t="s">
        <v>263</v>
      </c>
      <c r="D348" s="1236"/>
      <c r="E348" s="57"/>
      <c r="F348" s="218"/>
      <c r="G348" s="219">
        <v>2932</v>
      </c>
      <c r="H348" s="219">
        <v>3461</v>
      </c>
      <c r="I348" s="219">
        <v>3557</v>
      </c>
      <c r="J348" s="96">
        <v>3750</v>
      </c>
      <c r="K348" s="96">
        <v>4180</v>
      </c>
      <c r="L348" s="21"/>
    </row>
    <row r="349" spans="1:14" ht="16.5" thickBot="1" x14ac:dyDescent="0.3">
      <c r="A349" s="1869"/>
      <c r="B349" s="1239"/>
      <c r="C349" s="1177" t="s">
        <v>270</v>
      </c>
      <c r="D349" s="1178"/>
      <c r="E349" s="478"/>
      <c r="F349" s="478"/>
      <c r="G349" s="378">
        <f>G348/G346*100</f>
        <v>50.508182601205853</v>
      </c>
      <c r="H349" s="378">
        <f>H348/H346*100</f>
        <v>50.673499267935576</v>
      </c>
      <c r="I349" s="378">
        <f>I348/I346*100</f>
        <v>51.069633883704235</v>
      </c>
      <c r="J349" s="378">
        <f>J348/J346*100</f>
        <v>51.173580786026193</v>
      </c>
      <c r="K349" s="378">
        <f>K348/K346*100</f>
        <v>50.925925925925931</v>
      </c>
      <c r="L349" s="53"/>
    </row>
    <row r="350" spans="1:14" ht="16.5" thickBot="1" x14ac:dyDescent="0.3">
      <c r="A350" s="338" t="s">
        <v>248</v>
      </c>
      <c r="B350" s="822" t="s">
        <v>249</v>
      </c>
      <c r="C350" s="1422"/>
      <c r="D350" s="1422"/>
      <c r="E350" s="616"/>
      <c r="F350" s="616" t="s">
        <v>443</v>
      </c>
      <c r="G350" s="616" t="s">
        <v>444</v>
      </c>
      <c r="H350" s="616" t="s">
        <v>445</v>
      </c>
      <c r="I350" s="616" t="s">
        <v>446</v>
      </c>
      <c r="J350" s="616" t="s">
        <v>447</v>
      </c>
      <c r="K350" s="616" t="s">
        <v>448</v>
      </c>
      <c r="L350" s="616" t="s">
        <v>449</v>
      </c>
    </row>
    <row r="351" spans="1:14" ht="15" customHeight="1" x14ac:dyDescent="0.25">
      <c r="A351" s="1801" t="s">
        <v>450</v>
      </c>
      <c r="B351" s="1900" t="s">
        <v>199</v>
      </c>
      <c r="C351" s="1347" t="s">
        <v>451</v>
      </c>
      <c r="D351" s="430" t="s">
        <v>435</v>
      </c>
      <c r="E351" s="225"/>
      <c r="F351" s="195">
        <v>8453</v>
      </c>
      <c r="G351" s="195">
        <v>10446</v>
      </c>
      <c r="H351" s="195">
        <v>9830</v>
      </c>
      <c r="I351" s="195">
        <v>9189</v>
      </c>
      <c r="J351" s="195">
        <v>8705</v>
      </c>
      <c r="K351" s="195">
        <v>8373</v>
      </c>
      <c r="L351" s="20"/>
    </row>
    <row r="352" spans="1:14" x14ac:dyDescent="0.25">
      <c r="A352" s="1802"/>
      <c r="B352" s="1569"/>
      <c r="C352" s="1348"/>
      <c r="D352" s="428" t="s">
        <v>436</v>
      </c>
      <c r="E352" s="96"/>
      <c r="F352" s="96">
        <v>4391</v>
      </c>
      <c r="G352" s="96">
        <v>5324</v>
      </c>
      <c r="H352" s="96">
        <v>5071</v>
      </c>
      <c r="I352" s="96">
        <v>4723</v>
      </c>
      <c r="J352" s="96">
        <v>4436</v>
      </c>
      <c r="K352" s="96">
        <v>4251</v>
      </c>
      <c r="L352" s="21"/>
    </row>
    <row r="353" spans="1:12" x14ac:dyDescent="0.25">
      <c r="A353" s="1802"/>
      <c r="B353" s="1569"/>
      <c r="C353" s="1348"/>
      <c r="D353" s="428" t="s">
        <v>437</v>
      </c>
      <c r="E353" s="96"/>
      <c r="F353" s="96">
        <v>4062</v>
      </c>
      <c r="G353" s="96">
        <v>5122</v>
      </c>
      <c r="H353" s="96">
        <v>4759</v>
      </c>
      <c r="I353" s="96">
        <v>4466</v>
      </c>
      <c r="J353" s="96">
        <v>4269</v>
      </c>
      <c r="K353" s="96">
        <v>4122</v>
      </c>
      <c r="L353" s="21"/>
    </row>
    <row r="354" spans="1:12" ht="15" customHeight="1" x14ac:dyDescent="0.25">
      <c r="A354" s="1802"/>
      <c r="B354" s="1569"/>
      <c r="C354" s="1348" t="s">
        <v>600</v>
      </c>
      <c r="D354" s="427" t="s">
        <v>435</v>
      </c>
      <c r="E354" s="96"/>
      <c r="F354" s="157">
        <f>F355+F356</f>
        <v>4190</v>
      </c>
      <c r="G354" s="157">
        <f t="shared" ref="G354:J354" si="21">G355+G356</f>
        <v>5576</v>
      </c>
      <c r="H354" s="157">
        <f t="shared" si="21"/>
        <v>5469</v>
      </c>
      <c r="I354" s="157">
        <f t="shared" si="21"/>
        <v>5394</v>
      </c>
      <c r="J354" s="157">
        <f t="shared" si="21"/>
        <v>5245</v>
      </c>
      <c r="K354" s="157">
        <f>SUM(K355:K356)</f>
        <v>5078</v>
      </c>
      <c r="L354" s="21"/>
    </row>
    <row r="355" spans="1:12" x14ac:dyDescent="0.25">
      <c r="A355" s="1802"/>
      <c r="B355" s="1569"/>
      <c r="C355" s="1348"/>
      <c r="D355" s="428" t="s">
        <v>436</v>
      </c>
      <c r="E355" s="96"/>
      <c r="F355" s="96">
        <v>2201</v>
      </c>
      <c r="G355" s="96">
        <v>2845</v>
      </c>
      <c r="H355" s="96">
        <v>2828</v>
      </c>
      <c r="I355" s="96">
        <v>2806</v>
      </c>
      <c r="J355" s="96">
        <v>2715</v>
      </c>
      <c r="K355" s="157">
        <v>2608</v>
      </c>
      <c r="L355" s="21"/>
    </row>
    <row r="356" spans="1:12" ht="16.5" thickBot="1" x14ac:dyDescent="0.3">
      <c r="A356" s="1802"/>
      <c r="B356" s="1569"/>
      <c r="C356" s="1506"/>
      <c r="D356" s="434" t="s">
        <v>437</v>
      </c>
      <c r="E356" s="360"/>
      <c r="F356" s="360">
        <v>1989</v>
      </c>
      <c r="G356" s="360">
        <v>2731</v>
      </c>
      <c r="H356" s="360">
        <v>2641</v>
      </c>
      <c r="I356" s="360">
        <v>2588</v>
      </c>
      <c r="J356" s="360">
        <v>2530</v>
      </c>
      <c r="K356" s="441">
        <v>2470</v>
      </c>
      <c r="L356" s="53"/>
    </row>
    <row r="357" spans="1:12" x14ac:dyDescent="0.25">
      <c r="A357" s="1802"/>
      <c r="B357" s="1569"/>
      <c r="C357" s="1352" t="s">
        <v>453</v>
      </c>
      <c r="D357" s="1250"/>
      <c r="E357" s="225"/>
      <c r="F357" s="37">
        <f>+(F354/F351)*100</f>
        <v>49.568200638826454</v>
      </c>
      <c r="G357" s="37">
        <f t="shared" ref="G357:K357" si="22">+(G354/G351)*100</f>
        <v>53.379283936434994</v>
      </c>
      <c r="H357" s="37">
        <f t="shared" si="22"/>
        <v>55.63580874872838</v>
      </c>
      <c r="I357" s="37">
        <f t="shared" si="22"/>
        <v>58.700620306888673</v>
      </c>
      <c r="J357" s="37">
        <f t="shared" si="22"/>
        <v>60.252728317059159</v>
      </c>
      <c r="K357" s="37">
        <f t="shared" si="22"/>
        <v>60.647318762689594</v>
      </c>
      <c r="L357" s="20"/>
    </row>
    <row r="358" spans="1:12" x14ac:dyDescent="0.25">
      <c r="A358" s="1802"/>
      <c r="B358" s="1569"/>
      <c r="C358" s="1363" t="s">
        <v>454</v>
      </c>
      <c r="D358" s="1236"/>
      <c r="E358" s="28"/>
      <c r="F358" s="187">
        <f>F355/F352*100</f>
        <v>50.125256205875658</v>
      </c>
      <c r="G358" s="187">
        <f>G355/G352*100</f>
        <v>53.437265214124722</v>
      </c>
      <c r="H358" s="187">
        <f t="shared" ref="H358:I358" si="23">H355/H352*100</f>
        <v>55.768093078288302</v>
      </c>
      <c r="I358" s="187">
        <f t="shared" si="23"/>
        <v>59.411391065001062</v>
      </c>
      <c r="J358" s="187">
        <f>J355/J352*100</f>
        <v>61.203787195671779</v>
      </c>
      <c r="K358" s="187">
        <f>K355/K352*100</f>
        <v>61.350270524582449</v>
      </c>
      <c r="L358" s="21"/>
    </row>
    <row r="359" spans="1:12" x14ac:dyDescent="0.25">
      <c r="A359" s="1802"/>
      <c r="B359" s="1569"/>
      <c r="C359" s="1363" t="s">
        <v>455</v>
      </c>
      <c r="D359" s="1236"/>
      <c r="E359" s="28"/>
      <c r="F359" s="187">
        <f>F356/F353*100</f>
        <v>48.96602658788774</v>
      </c>
      <c r="G359" s="187">
        <f>G356/G353*100</f>
        <v>53.319016009371332</v>
      </c>
      <c r="H359" s="187">
        <f t="shared" ref="H359:I359" si="24">H356/H353*100</f>
        <v>55.494851859634373</v>
      </c>
      <c r="I359" s="187">
        <f t="shared" si="24"/>
        <v>57.948947604120015</v>
      </c>
      <c r="J359" s="187">
        <f>J356/J353*100</f>
        <v>59.264464745842119</v>
      </c>
      <c r="K359" s="187">
        <f>K356/K353*100</f>
        <v>59.922367782629792</v>
      </c>
      <c r="L359" s="21"/>
    </row>
    <row r="360" spans="1:12" x14ac:dyDescent="0.25">
      <c r="A360" s="1871"/>
      <c r="B360" s="1570"/>
      <c r="C360" s="1383" t="s">
        <v>354</v>
      </c>
      <c r="D360" s="1384"/>
      <c r="E360" s="110"/>
      <c r="F360" s="348">
        <f>+F359-F358</f>
        <v>-1.1592296179879185</v>
      </c>
      <c r="G360" s="349">
        <f t="shared" ref="G360:I360" si="25">+G359-G358</f>
        <v>-0.11824920475338985</v>
      </c>
      <c r="H360" s="349">
        <f t="shared" si="25"/>
        <v>-0.27324121865392925</v>
      </c>
      <c r="I360" s="349">
        <f t="shared" si="25"/>
        <v>-1.4624434608810475</v>
      </c>
      <c r="J360" s="349">
        <f>+J359-J358</f>
        <v>-1.9393224498296604</v>
      </c>
      <c r="K360" s="349">
        <f>+K359-K358</f>
        <v>-1.4279027419526571</v>
      </c>
      <c r="L360" s="53"/>
    </row>
    <row r="361" spans="1:12" ht="16.5" thickBot="1" x14ac:dyDescent="0.3">
      <c r="A361" s="338" t="s">
        <v>248</v>
      </c>
      <c r="B361" s="463" t="s">
        <v>249</v>
      </c>
      <c r="C361" s="1422"/>
      <c r="D361" s="1422"/>
      <c r="E361" s="616" t="s">
        <v>442</v>
      </c>
      <c r="F361" s="616" t="s">
        <v>443</v>
      </c>
      <c r="G361" s="616" t="s">
        <v>444</v>
      </c>
      <c r="H361" s="616" t="s">
        <v>445</v>
      </c>
      <c r="I361" s="616" t="s">
        <v>446</v>
      </c>
      <c r="J361" s="616" t="s">
        <v>447</v>
      </c>
      <c r="K361" s="616" t="s">
        <v>448</v>
      </c>
      <c r="L361" s="616" t="s">
        <v>449</v>
      </c>
    </row>
    <row r="362" spans="1:12" ht="15" customHeight="1" x14ac:dyDescent="0.25">
      <c r="A362" s="1892" t="s">
        <v>456</v>
      </c>
      <c r="B362" s="1150" t="s">
        <v>457</v>
      </c>
      <c r="C362" s="1187" t="s">
        <v>458</v>
      </c>
      <c r="D362" s="229" t="s">
        <v>459</v>
      </c>
      <c r="E362" s="225" t="s">
        <v>460</v>
      </c>
      <c r="F362" s="195">
        <v>612</v>
      </c>
      <c r="G362" s="195">
        <v>632</v>
      </c>
      <c r="H362" s="195">
        <v>805</v>
      </c>
      <c r="I362" s="195">
        <v>858</v>
      </c>
      <c r="J362" s="195">
        <v>885</v>
      </c>
      <c r="K362" s="195">
        <v>913</v>
      </c>
      <c r="L362" s="20"/>
    </row>
    <row r="363" spans="1:12" ht="14.1" customHeight="1" x14ac:dyDescent="0.25">
      <c r="A363" s="1776"/>
      <c r="B363" s="1151"/>
      <c r="C363" s="1173"/>
      <c r="D363" s="227" t="s">
        <v>436</v>
      </c>
      <c r="E363" s="96"/>
      <c r="F363" s="96">
        <v>291</v>
      </c>
      <c r="G363" s="96">
        <v>296</v>
      </c>
      <c r="H363" s="96">
        <v>392</v>
      </c>
      <c r="I363" s="96">
        <v>417</v>
      </c>
      <c r="J363" s="96">
        <v>445</v>
      </c>
      <c r="K363" s="96">
        <v>438</v>
      </c>
      <c r="L363" s="21"/>
    </row>
    <row r="364" spans="1:12" x14ac:dyDescent="0.25">
      <c r="A364" s="1776"/>
      <c r="B364" s="1151"/>
      <c r="C364" s="1173"/>
      <c r="D364" s="227" t="s">
        <v>437</v>
      </c>
      <c r="E364" s="96"/>
      <c r="F364" s="96">
        <v>321</v>
      </c>
      <c r="G364" s="96">
        <v>336</v>
      </c>
      <c r="H364" s="96">
        <v>413</v>
      </c>
      <c r="I364" s="96">
        <v>441</v>
      </c>
      <c r="J364" s="96">
        <v>440</v>
      </c>
      <c r="K364" s="96">
        <v>475</v>
      </c>
      <c r="L364" s="21"/>
    </row>
    <row r="365" spans="1:12" ht="15" customHeight="1" x14ac:dyDescent="0.25">
      <c r="A365" s="1776"/>
      <c r="B365" s="1151"/>
      <c r="C365" s="1173" t="s">
        <v>461</v>
      </c>
      <c r="D365" s="226" t="s">
        <v>459</v>
      </c>
      <c r="E365" s="96"/>
      <c r="F365" s="157">
        <v>257</v>
      </c>
      <c r="G365" s="157">
        <f>164+139</f>
        <v>303</v>
      </c>
      <c r="H365" s="44">
        <v>397</v>
      </c>
      <c r="I365" s="157">
        <v>435</v>
      </c>
      <c r="J365" s="157">
        <f>235+256</f>
        <v>491</v>
      </c>
      <c r="K365" s="157">
        <v>532</v>
      </c>
      <c r="L365" s="21"/>
    </row>
    <row r="366" spans="1:12" x14ac:dyDescent="0.25">
      <c r="A366" s="1776"/>
      <c r="B366" s="1151"/>
      <c r="C366" s="1173"/>
      <c r="D366" s="227" t="s">
        <v>436</v>
      </c>
      <c r="E366" s="96"/>
      <c r="F366" s="96">
        <v>134</v>
      </c>
      <c r="G366" s="96">
        <f>89+65</f>
        <v>154</v>
      </c>
      <c r="H366" s="96">
        <v>226</v>
      </c>
      <c r="I366" s="96">
        <v>241</v>
      </c>
      <c r="J366" s="96">
        <f>131+146</f>
        <v>277</v>
      </c>
      <c r="K366" s="96">
        <v>281</v>
      </c>
      <c r="L366" s="21"/>
    </row>
    <row r="367" spans="1:12" ht="16.5" thickBot="1" x14ac:dyDescent="0.3">
      <c r="A367" s="1776"/>
      <c r="B367" s="1151"/>
      <c r="C367" s="1797"/>
      <c r="D367" s="511" t="s">
        <v>437</v>
      </c>
      <c r="E367" s="360"/>
      <c r="F367" s="360">
        <v>123</v>
      </c>
      <c r="G367" s="360">
        <f>75+74</f>
        <v>149</v>
      </c>
      <c r="H367" s="360">
        <v>171</v>
      </c>
      <c r="I367" s="360">
        <v>194</v>
      </c>
      <c r="J367" s="360">
        <f>104+110</f>
        <v>214</v>
      </c>
      <c r="K367" s="360">
        <v>251</v>
      </c>
      <c r="L367" s="53"/>
    </row>
    <row r="368" spans="1:12" x14ac:dyDescent="0.25">
      <c r="A368" s="1776"/>
      <c r="B368" s="1151"/>
      <c r="C368" s="1389" t="s">
        <v>462</v>
      </c>
      <c r="D368" s="1390"/>
      <c r="E368" s="225"/>
      <c r="F368" s="283">
        <f>F366/F363*100</f>
        <v>46.048109965635739</v>
      </c>
      <c r="G368" s="283">
        <f>G366/G363*100</f>
        <v>52.027027027027032</v>
      </c>
      <c r="H368" s="283">
        <f t="shared" ref="H368:I369" si="26">H366/H363*100</f>
        <v>57.653061224489797</v>
      </c>
      <c r="I368" s="283">
        <f t="shared" si="26"/>
        <v>57.793764988009585</v>
      </c>
      <c r="J368" s="283">
        <f>J366/J363*100</f>
        <v>62.247191011235955</v>
      </c>
      <c r="K368" s="283">
        <f>K366/K363*100</f>
        <v>64.155251141552512</v>
      </c>
      <c r="L368" s="20"/>
    </row>
    <row r="369" spans="1:12" x14ac:dyDescent="0.25">
      <c r="A369" s="1776"/>
      <c r="B369" s="1151"/>
      <c r="C369" s="1123" t="s">
        <v>463</v>
      </c>
      <c r="D369" s="1124"/>
      <c r="E369" s="96"/>
      <c r="F369" s="29">
        <f>F367/F364*100</f>
        <v>38.31775700934579</v>
      </c>
      <c r="G369" s="29">
        <f>G367/G364*100</f>
        <v>44.345238095238095</v>
      </c>
      <c r="H369" s="29">
        <f t="shared" si="26"/>
        <v>41.404358353510894</v>
      </c>
      <c r="I369" s="29">
        <f t="shared" si="26"/>
        <v>43.990929705215422</v>
      </c>
      <c r="J369" s="29">
        <f>J367/J364*100</f>
        <v>48.63636363636364</v>
      </c>
      <c r="K369" s="29">
        <f>K367/K364*100</f>
        <v>52.84210526315789</v>
      </c>
      <c r="L369" s="21"/>
    </row>
    <row r="370" spans="1:12" ht="16.5" thickBot="1" x14ac:dyDescent="0.3">
      <c r="A370" s="1776"/>
      <c r="B370" s="1152"/>
      <c r="C370" s="1359" t="s">
        <v>354</v>
      </c>
      <c r="D370" s="1225"/>
      <c r="E370" s="33"/>
      <c r="F370" s="161">
        <f>+F369-F368</f>
        <v>-7.7303529562899485</v>
      </c>
      <c r="G370" s="161">
        <f t="shared" ref="G370:I370" si="27">+G369-G368</f>
        <v>-7.6817889317889367</v>
      </c>
      <c r="H370" s="161">
        <f t="shared" si="27"/>
        <v>-16.248702870978903</v>
      </c>
      <c r="I370" s="161">
        <f t="shared" si="27"/>
        <v>-13.802835282794163</v>
      </c>
      <c r="J370" s="161">
        <f>+J369-J368</f>
        <v>-13.610827374872315</v>
      </c>
      <c r="K370" s="161">
        <f>+K369-K368</f>
        <v>-11.313145878394621</v>
      </c>
      <c r="L370" s="22"/>
    </row>
    <row r="371" spans="1:12" ht="16.5" thickBot="1" x14ac:dyDescent="0.3">
      <c r="A371" s="1776"/>
      <c r="B371" s="463" t="s">
        <v>249</v>
      </c>
      <c r="C371" s="1422"/>
      <c r="D371" s="1422"/>
      <c r="E371" s="616" t="s">
        <v>442</v>
      </c>
      <c r="F371" s="616" t="s">
        <v>443</v>
      </c>
      <c r="G371" s="616" t="s">
        <v>444</v>
      </c>
      <c r="H371" s="616" t="s">
        <v>445</v>
      </c>
      <c r="I371" s="616" t="s">
        <v>446</v>
      </c>
      <c r="J371" s="616" t="s">
        <v>447</v>
      </c>
      <c r="K371" s="616" t="s">
        <v>448</v>
      </c>
      <c r="L371" s="616" t="s">
        <v>449</v>
      </c>
    </row>
    <row r="372" spans="1:12" ht="15" customHeight="1" x14ac:dyDescent="0.25">
      <c r="A372" s="1776"/>
      <c r="B372" s="1909" t="s">
        <v>464</v>
      </c>
      <c r="C372" s="1206" t="s">
        <v>459</v>
      </c>
      <c r="D372" s="1206"/>
      <c r="E372" s="40"/>
      <c r="F372" s="157">
        <v>217</v>
      </c>
      <c r="G372" s="157">
        <v>224</v>
      </c>
      <c r="H372" s="157">
        <v>394</v>
      </c>
      <c r="I372" s="157">
        <v>403</v>
      </c>
      <c r="J372" s="157">
        <v>413</v>
      </c>
      <c r="K372" s="157">
        <v>483</v>
      </c>
      <c r="L372" s="20"/>
    </row>
    <row r="373" spans="1:12" x14ac:dyDescent="0.25">
      <c r="A373" s="1776"/>
      <c r="B373" s="1893"/>
      <c r="C373" s="1124" t="s">
        <v>436</v>
      </c>
      <c r="D373" s="1124"/>
      <c r="E373" s="96"/>
      <c r="F373" s="96">
        <v>99</v>
      </c>
      <c r="G373" s="96">
        <v>151</v>
      </c>
      <c r="H373" s="96">
        <v>267</v>
      </c>
      <c r="I373" s="96">
        <v>267</v>
      </c>
      <c r="J373" s="96">
        <v>230</v>
      </c>
      <c r="K373" s="96">
        <v>271</v>
      </c>
      <c r="L373" s="21"/>
    </row>
    <row r="374" spans="1:12" x14ac:dyDescent="0.25">
      <c r="A374" s="1776"/>
      <c r="B374" s="1893"/>
      <c r="C374" s="1124" t="s">
        <v>437</v>
      </c>
      <c r="D374" s="1124"/>
      <c r="E374" s="96"/>
      <c r="F374" s="96">
        <v>118</v>
      </c>
      <c r="G374" s="96">
        <v>73</v>
      </c>
      <c r="H374" s="96">
        <v>127</v>
      </c>
      <c r="I374" s="96">
        <v>136</v>
      </c>
      <c r="J374" s="96">
        <v>183</v>
      </c>
      <c r="K374" s="96">
        <v>212</v>
      </c>
      <c r="L374" s="21"/>
    </row>
    <row r="375" spans="1:12" ht="16.5" thickBot="1" x14ac:dyDescent="0.3">
      <c r="A375" s="1776"/>
      <c r="B375" s="1893"/>
      <c r="C375" s="1634" t="s">
        <v>270</v>
      </c>
      <c r="D375" s="1634"/>
      <c r="E375" s="915"/>
      <c r="F375" s="435">
        <f t="shared" ref="F375:J375" si="28">F374/F372*100</f>
        <v>54.377880184331794</v>
      </c>
      <c r="G375" s="435">
        <f t="shared" si="28"/>
        <v>32.589285714285715</v>
      </c>
      <c r="H375" s="435">
        <f t="shared" si="28"/>
        <v>32.233502538071065</v>
      </c>
      <c r="I375" s="435">
        <f t="shared" si="28"/>
        <v>33.746898263027298</v>
      </c>
      <c r="J375" s="435">
        <f t="shared" si="28"/>
        <v>44.309927360774822</v>
      </c>
      <c r="K375" s="435">
        <f>K374/K372*100</f>
        <v>43.892339544513462</v>
      </c>
      <c r="L375" s="53"/>
    </row>
    <row r="376" spans="1:12" x14ac:dyDescent="0.25">
      <c r="A376" s="1776"/>
      <c r="B376" s="1678"/>
      <c r="C376" s="1159" t="s">
        <v>465</v>
      </c>
      <c r="D376" s="248" t="s">
        <v>251</v>
      </c>
      <c r="E376" s="249"/>
      <c r="F376" s="250">
        <v>104</v>
      </c>
      <c r="G376" s="250">
        <v>60</v>
      </c>
      <c r="H376" s="250">
        <v>101</v>
      </c>
      <c r="I376" s="250">
        <v>117</v>
      </c>
      <c r="J376" s="250">
        <v>143</v>
      </c>
      <c r="K376" s="36">
        <v>159</v>
      </c>
      <c r="L376" s="20"/>
    </row>
    <row r="377" spans="1:12" x14ac:dyDescent="0.25">
      <c r="A377" s="1776"/>
      <c r="B377" s="1678"/>
      <c r="C377" s="1160"/>
      <c r="D377" s="28" t="s">
        <v>257</v>
      </c>
      <c r="E377" s="94"/>
      <c r="F377" s="80">
        <v>13</v>
      </c>
      <c r="G377" s="80">
        <v>14</v>
      </c>
      <c r="H377" s="80">
        <v>27</v>
      </c>
      <c r="I377" s="80">
        <v>23</v>
      </c>
      <c r="J377" s="80">
        <v>22</v>
      </c>
      <c r="K377" s="28">
        <v>32</v>
      </c>
      <c r="L377" s="21"/>
    </row>
    <row r="378" spans="1:12" x14ac:dyDescent="0.25">
      <c r="A378" s="1776"/>
      <c r="B378" s="1678"/>
      <c r="C378" s="1160"/>
      <c r="D378" s="28" t="s">
        <v>263</v>
      </c>
      <c r="E378" s="94"/>
      <c r="F378" s="80">
        <v>91</v>
      </c>
      <c r="G378" s="80">
        <v>46</v>
      </c>
      <c r="H378" s="80">
        <v>74</v>
      </c>
      <c r="I378" s="80">
        <v>94</v>
      </c>
      <c r="J378" s="80">
        <v>121</v>
      </c>
      <c r="K378" s="28">
        <v>127</v>
      </c>
      <c r="L378" s="21"/>
    </row>
    <row r="379" spans="1:12" ht="16.5" thickBot="1" x14ac:dyDescent="0.3">
      <c r="A379" s="1776"/>
      <c r="B379" s="1678"/>
      <c r="C379" s="1161"/>
      <c r="D379" s="33" t="s">
        <v>270</v>
      </c>
      <c r="E379" s="104"/>
      <c r="F379" s="251">
        <f>(F378/F376)*100</f>
        <v>87.5</v>
      </c>
      <c r="G379" s="251">
        <f>(G378/G376)*100</f>
        <v>76.666666666666671</v>
      </c>
      <c r="H379" s="251">
        <f>(H378/H376)*100</f>
        <v>73.267326732673268</v>
      </c>
      <c r="I379" s="251">
        <f>I378/I376*100</f>
        <v>80.341880341880341</v>
      </c>
      <c r="J379" s="251">
        <f>J378/J376*100</f>
        <v>84.615384615384613</v>
      </c>
      <c r="K379" s="251">
        <f>K378/K376*100</f>
        <v>79.874213836477992</v>
      </c>
      <c r="L379" s="22"/>
    </row>
    <row r="380" spans="1:12" ht="14.85" customHeight="1" x14ac:dyDescent="0.25">
      <c r="A380" s="1776"/>
      <c r="B380" s="1678"/>
      <c r="C380" s="1159" t="s">
        <v>469</v>
      </c>
      <c r="D380" s="248" t="s">
        <v>251</v>
      </c>
      <c r="E380" s="249"/>
      <c r="F380" s="250"/>
      <c r="G380" s="250">
        <v>47</v>
      </c>
      <c r="H380" s="250">
        <v>168</v>
      </c>
      <c r="I380" s="250">
        <v>161</v>
      </c>
      <c r="J380" s="250">
        <v>122</v>
      </c>
      <c r="K380" s="36">
        <v>146</v>
      </c>
      <c r="L380" s="20"/>
    </row>
    <row r="381" spans="1:12" x14ac:dyDescent="0.25">
      <c r="A381" s="1776"/>
      <c r="B381" s="1678"/>
      <c r="C381" s="1160"/>
      <c r="D381" s="28" t="s">
        <v>257</v>
      </c>
      <c r="E381" s="94"/>
      <c r="F381" s="80"/>
      <c r="G381" s="80">
        <v>38</v>
      </c>
      <c r="H381" s="80">
        <v>135</v>
      </c>
      <c r="I381" s="80">
        <v>136</v>
      </c>
      <c r="J381" s="80">
        <v>96</v>
      </c>
      <c r="K381" s="28">
        <v>115</v>
      </c>
      <c r="L381" s="21"/>
    </row>
    <row r="382" spans="1:12" x14ac:dyDescent="0.25">
      <c r="A382" s="1776"/>
      <c r="B382" s="1678"/>
      <c r="C382" s="1160"/>
      <c r="D382" s="28" t="s">
        <v>263</v>
      </c>
      <c r="E382" s="94"/>
      <c r="F382" s="80"/>
      <c r="G382" s="80">
        <v>9</v>
      </c>
      <c r="H382" s="80">
        <v>33</v>
      </c>
      <c r="I382" s="80">
        <v>25</v>
      </c>
      <c r="J382" s="80">
        <v>26</v>
      </c>
      <c r="K382" s="28">
        <v>31</v>
      </c>
      <c r="L382" s="21"/>
    </row>
    <row r="383" spans="1:12" ht="16.5" thickBot="1" x14ac:dyDescent="0.3">
      <c r="A383" s="1776"/>
      <c r="B383" s="1678"/>
      <c r="C383" s="1161"/>
      <c r="D383" s="203" t="s">
        <v>270</v>
      </c>
      <c r="E383" s="106"/>
      <c r="F383" s="197"/>
      <c r="G383" s="253">
        <f>(G382/G380)*100</f>
        <v>19.148936170212767</v>
      </c>
      <c r="H383" s="253">
        <f t="shared" ref="H383:J383" si="29">(H382/H380)*100</f>
        <v>19.642857142857142</v>
      </c>
      <c r="I383" s="253">
        <f t="shared" si="29"/>
        <v>15.527950310559005</v>
      </c>
      <c r="J383" s="253">
        <f t="shared" si="29"/>
        <v>21.311475409836063</v>
      </c>
      <c r="K383" s="253">
        <f>(K382/K380)*100</f>
        <v>21.232876712328768</v>
      </c>
      <c r="L383" s="22"/>
    </row>
    <row r="384" spans="1:12" ht="14.85" customHeight="1" x14ac:dyDescent="0.25">
      <c r="A384" s="1776"/>
      <c r="B384" s="1678"/>
      <c r="C384" s="1159" t="s">
        <v>581</v>
      </c>
      <c r="D384" s="248" t="s">
        <v>251</v>
      </c>
      <c r="E384" s="249"/>
      <c r="F384" s="250">
        <v>40</v>
      </c>
      <c r="G384" s="250">
        <v>58</v>
      </c>
      <c r="H384" s="250">
        <v>47</v>
      </c>
      <c r="I384" s="250">
        <v>40</v>
      </c>
      <c r="J384" s="250">
        <v>45</v>
      </c>
      <c r="K384" s="36">
        <v>53</v>
      </c>
      <c r="L384" s="20"/>
    </row>
    <row r="385" spans="1:12" x14ac:dyDescent="0.25">
      <c r="A385" s="1776"/>
      <c r="B385" s="1678"/>
      <c r="C385" s="1160"/>
      <c r="D385" s="28" t="s">
        <v>257</v>
      </c>
      <c r="E385" s="94"/>
      <c r="F385" s="80">
        <v>40</v>
      </c>
      <c r="G385" s="80">
        <v>57</v>
      </c>
      <c r="H385" s="80">
        <v>46</v>
      </c>
      <c r="I385" s="80">
        <v>40</v>
      </c>
      <c r="J385" s="80">
        <v>45</v>
      </c>
      <c r="K385" s="28">
        <v>52</v>
      </c>
      <c r="L385" s="21"/>
    </row>
    <row r="386" spans="1:12" x14ac:dyDescent="0.25">
      <c r="A386" s="1776"/>
      <c r="B386" s="1678"/>
      <c r="C386" s="1160"/>
      <c r="D386" s="28" t="s">
        <v>263</v>
      </c>
      <c r="E386" s="94"/>
      <c r="F386" s="80">
        <v>0</v>
      </c>
      <c r="G386" s="80">
        <v>1</v>
      </c>
      <c r="H386" s="80">
        <v>1</v>
      </c>
      <c r="I386" s="80">
        <v>0</v>
      </c>
      <c r="J386" s="80">
        <v>0</v>
      </c>
      <c r="K386" s="28">
        <v>1</v>
      </c>
      <c r="L386" s="21"/>
    </row>
    <row r="387" spans="1:12" ht="16.5" thickBot="1" x14ac:dyDescent="0.3">
      <c r="A387" s="1776"/>
      <c r="B387" s="1678"/>
      <c r="C387" s="1161"/>
      <c r="D387" s="203" t="s">
        <v>270</v>
      </c>
      <c r="E387" s="106"/>
      <c r="F387" s="253">
        <f>(F386/F384)*100</f>
        <v>0</v>
      </c>
      <c r="G387" s="253">
        <f t="shared" ref="G387:J387" si="30">(G386/G384)*100</f>
        <v>1.7241379310344827</v>
      </c>
      <c r="H387" s="253">
        <f t="shared" si="30"/>
        <v>2.1276595744680851</v>
      </c>
      <c r="I387" s="253">
        <f t="shared" si="30"/>
        <v>0</v>
      </c>
      <c r="J387" s="253">
        <f t="shared" si="30"/>
        <v>0</v>
      </c>
      <c r="K387" s="253">
        <f>(K386/K384)*100</f>
        <v>1.8867924528301887</v>
      </c>
      <c r="L387" s="22"/>
    </row>
    <row r="388" spans="1:12" ht="14.85" customHeight="1" x14ac:dyDescent="0.25">
      <c r="A388" s="1776"/>
      <c r="B388" s="1678"/>
      <c r="C388" s="1159" t="s">
        <v>466</v>
      </c>
      <c r="D388" s="248" t="s">
        <v>251</v>
      </c>
      <c r="E388" s="249"/>
      <c r="F388" s="250">
        <v>36</v>
      </c>
      <c r="G388" s="250">
        <v>20</v>
      </c>
      <c r="H388" s="250">
        <v>38</v>
      </c>
      <c r="I388" s="250">
        <v>39</v>
      </c>
      <c r="J388" s="250">
        <v>45</v>
      </c>
      <c r="K388" s="36">
        <v>53</v>
      </c>
      <c r="L388" s="20"/>
    </row>
    <row r="389" spans="1:12" ht="14.85" customHeight="1" x14ac:dyDescent="0.25">
      <c r="A389" s="1776"/>
      <c r="B389" s="1678"/>
      <c r="C389" s="1160"/>
      <c r="D389" s="28" t="s">
        <v>257</v>
      </c>
      <c r="E389" s="94"/>
      <c r="F389" s="80">
        <v>10</v>
      </c>
      <c r="G389" s="80">
        <v>8</v>
      </c>
      <c r="H389" s="80">
        <v>24</v>
      </c>
      <c r="I389" s="80">
        <v>25</v>
      </c>
      <c r="J389" s="80">
        <v>25</v>
      </c>
      <c r="K389" s="28">
        <v>33</v>
      </c>
      <c r="L389" s="21"/>
    </row>
    <row r="390" spans="1:12" x14ac:dyDescent="0.25">
      <c r="A390" s="1776"/>
      <c r="B390" s="1678"/>
      <c r="C390" s="1160"/>
      <c r="D390" s="28" t="s">
        <v>263</v>
      </c>
      <c r="E390" s="94"/>
      <c r="F390" s="80">
        <v>26</v>
      </c>
      <c r="G390" s="80">
        <v>12</v>
      </c>
      <c r="H390" s="80">
        <v>14</v>
      </c>
      <c r="I390" s="80">
        <v>14</v>
      </c>
      <c r="J390" s="80">
        <v>20</v>
      </c>
      <c r="K390" s="28">
        <v>20</v>
      </c>
      <c r="L390" s="21"/>
    </row>
    <row r="391" spans="1:12" ht="16.5" thickBot="1" x14ac:dyDescent="0.3">
      <c r="A391" s="1776"/>
      <c r="B391" s="1678"/>
      <c r="C391" s="1161"/>
      <c r="D391" s="203" t="s">
        <v>270</v>
      </c>
      <c r="E391" s="106"/>
      <c r="F391" s="251">
        <f>(F390/F388)*100</f>
        <v>72.222222222222214</v>
      </c>
      <c r="G391" s="251">
        <f t="shared" ref="G391:J391" si="31">(G390/G388)*100</f>
        <v>60</v>
      </c>
      <c r="H391" s="253">
        <f t="shared" si="31"/>
        <v>36.84210526315789</v>
      </c>
      <c r="I391" s="253">
        <f t="shared" si="31"/>
        <v>35.897435897435898</v>
      </c>
      <c r="J391" s="252">
        <f t="shared" si="31"/>
        <v>44.444444444444443</v>
      </c>
      <c r="K391" s="252">
        <f>(K390/K388)*100</f>
        <v>37.735849056603776</v>
      </c>
      <c r="L391" s="22"/>
    </row>
    <row r="392" spans="1:12" ht="14.85" customHeight="1" x14ac:dyDescent="0.25">
      <c r="A392" s="1776"/>
      <c r="B392" s="1678"/>
      <c r="C392" s="1159" t="s">
        <v>467</v>
      </c>
      <c r="D392" s="248" t="s">
        <v>251</v>
      </c>
      <c r="E392" s="249"/>
      <c r="F392" s="250">
        <v>37</v>
      </c>
      <c r="G392" s="250">
        <v>39</v>
      </c>
      <c r="H392" s="250">
        <v>40</v>
      </c>
      <c r="I392" s="250">
        <v>46</v>
      </c>
      <c r="J392" s="250">
        <v>44</v>
      </c>
      <c r="K392" s="36">
        <v>40</v>
      </c>
      <c r="L392" s="20"/>
    </row>
    <row r="393" spans="1:12" ht="14.85" customHeight="1" x14ac:dyDescent="0.25">
      <c r="A393" s="1776"/>
      <c r="B393" s="1678"/>
      <c r="C393" s="1160"/>
      <c r="D393" s="28" t="s">
        <v>257</v>
      </c>
      <c r="E393" s="94"/>
      <c r="F393" s="80">
        <v>36</v>
      </c>
      <c r="G393" s="80">
        <v>34</v>
      </c>
      <c r="H393" s="80">
        <v>35</v>
      </c>
      <c r="I393" s="80">
        <v>43</v>
      </c>
      <c r="J393" s="80">
        <v>41</v>
      </c>
      <c r="K393" s="28">
        <v>36</v>
      </c>
      <c r="L393" s="21"/>
    </row>
    <row r="394" spans="1:12" x14ac:dyDescent="0.25">
      <c r="A394" s="1776"/>
      <c r="B394" s="1678"/>
      <c r="C394" s="1160"/>
      <c r="D394" s="28" t="s">
        <v>263</v>
      </c>
      <c r="E394" s="94"/>
      <c r="F394" s="80">
        <v>1</v>
      </c>
      <c r="G394" s="80">
        <v>5</v>
      </c>
      <c r="H394" s="80">
        <v>5</v>
      </c>
      <c r="I394" s="80">
        <v>3</v>
      </c>
      <c r="J394" s="80">
        <v>3</v>
      </c>
      <c r="K394" s="28">
        <v>4</v>
      </c>
      <c r="L394" s="21"/>
    </row>
    <row r="395" spans="1:12" ht="16.5" thickBot="1" x14ac:dyDescent="0.3">
      <c r="A395" s="1776"/>
      <c r="B395" s="1678"/>
      <c r="C395" s="1161"/>
      <c r="D395" s="203" t="s">
        <v>270</v>
      </c>
      <c r="E395" s="106"/>
      <c r="F395" s="253">
        <f>(F394/F392)*100</f>
        <v>2.7027027027027026</v>
      </c>
      <c r="G395" s="253">
        <f t="shared" ref="G395:J395" si="32">(G394/G392)*100</f>
        <v>12.820512820512819</v>
      </c>
      <c r="H395" s="253">
        <f t="shared" si="32"/>
        <v>12.5</v>
      </c>
      <c r="I395" s="253">
        <f t="shared" si="32"/>
        <v>6.5217391304347823</v>
      </c>
      <c r="J395" s="253">
        <f t="shared" si="32"/>
        <v>6.8181818181818175</v>
      </c>
      <c r="K395" s="253">
        <f>(K394/K392)*100</f>
        <v>10</v>
      </c>
      <c r="L395" s="22"/>
    </row>
    <row r="396" spans="1:12" ht="14.85" customHeight="1" x14ac:dyDescent="0.25">
      <c r="A396" s="1776"/>
      <c r="B396" s="1678"/>
      <c r="C396" s="1159" t="s">
        <v>470</v>
      </c>
      <c r="D396" s="248" t="s">
        <v>251</v>
      </c>
      <c r="E396" s="249"/>
      <c r="F396" s="250"/>
      <c r="G396" s="250"/>
      <c r="H396" s="250"/>
      <c r="I396" s="250"/>
      <c r="J396" s="250">
        <v>14</v>
      </c>
      <c r="K396" s="36">
        <v>32</v>
      </c>
      <c r="L396" s="20"/>
    </row>
    <row r="397" spans="1:12" ht="14.85" customHeight="1" x14ac:dyDescent="0.25">
      <c r="A397" s="1776"/>
      <c r="B397" s="1678"/>
      <c r="C397" s="1160"/>
      <c r="D397" s="28" t="s">
        <v>257</v>
      </c>
      <c r="E397" s="94"/>
      <c r="F397" s="80"/>
      <c r="G397" s="80"/>
      <c r="H397" s="80"/>
      <c r="I397" s="80"/>
      <c r="J397" s="80">
        <v>1</v>
      </c>
      <c r="K397" s="11">
        <v>3</v>
      </c>
      <c r="L397" s="21"/>
    </row>
    <row r="398" spans="1:12" x14ac:dyDescent="0.25">
      <c r="A398" s="1776"/>
      <c r="B398" s="1678"/>
      <c r="C398" s="1160"/>
      <c r="D398" s="28" t="s">
        <v>263</v>
      </c>
      <c r="E398" s="94"/>
      <c r="F398" s="80"/>
      <c r="G398" s="80"/>
      <c r="H398" s="80"/>
      <c r="I398" s="80"/>
      <c r="J398" s="80">
        <v>13</v>
      </c>
      <c r="K398" s="28">
        <v>29</v>
      </c>
      <c r="L398" s="21"/>
    </row>
    <row r="399" spans="1:12" ht="16.5" thickBot="1" x14ac:dyDescent="0.3">
      <c r="A399" s="1776"/>
      <c r="B399" s="1678"/>
      <c r="C399" s="1519"/>
      <c r="D399" s="203" t="s">
        <v>270</v>
      </c>
      <c r="E399" s="106"/>
      <c r="F399" s="197"/>
      <c r="G399" s="197"/>
      <c r="H399" s="197"/>
      <c r="I399" s="197"/>
      <c r="J399" s="251">
        <f>(J398/J396)*100</f>
        <v>92.857142857142861</v>
      </c>
      <c r="K399" s="251">
        <f>(K398/K396)*100</f>
        <v>90.625</v>
      </c>
      <c r="L399" s="22"/>
    </row>
    <row r="400" spans="1:12" x14ac:dyDescent="0.25">
      <c r="A400" s="1776"/>
      <c r="B400" s="1678"/>
      <c r="C400" s="1910" t="s">
        <v>472</v>
      </c>
      <c r="D400" s="916" t="s">
        <v>473</v>
      </c>
      <c r="E400" s="129"/>
      <c r="F400" s="255">
        <f>2/4*100</f>
        <v>50</v>
      </c>
      <c r="G400" s="255">
        <f>3/5*100</f>
        <v>60</v>
      </c>
      <c r="H400" s="255">
        <f>4/5*100</f>
        <v>80</v>
      </c>
      <c r="I400" s="255">
        <f>4/5*100</f>
        <v>80</v>
      </c>
      <c r="J400" s="255">
        <f>3/6*100</f>
        <v>50</v>
      </c>
      <c r="K400" s="255">
        <f>3/6*100</f>
        <v>50</v>
      </c>
      <c r="L400" s="87"/>
    </row>
    <row r="401" spans="1:12" x14ac:dyDescent="0.25">
      <c r="A401" s="1776"/>
      <c r="B401" s="1678"/>
      <c r="C401" s="1911"/>
      <c r="D401" s="917" t="s">
        <v>474</v>
      </c>
      <c r="E401" s="92"/>
      <c r="F401" s="234">
        <f>2/4*100</f>
        <v>50</v>
      </c>
      <c r="G401" s="234">
        <f>2/5*100</f>
        <v>40</v>
      </c>
      <c r="H401" s="234">
        <f>1/5*100</f>
        <v>20</v>
      </c>
      <c r="I401" s="234">
        <f>1/5*100</f>
        <v>20</v>
      </c>
      <c r="J401" s="234">
        <f>2/6*100</f>
        <v>33.333333333333329</v>
      </c>
      <c r="K401" s="234">
        <f>2/6*100</f>
        <v>33.333333333333329</v>
      </c>
      <c r="L401" s="21"/>
    </row>
    <row r="402" spans="1:12" ht="16.5" thickBot="1" x14ac:dyDescent="0.3">
      <c r="A402" s="1776"/>
      <c r="B402" s="1745"/>
      <c r="C402" s="1912"/>
      <c r="D402" s="918" t="s">
        <v>475</v>
      </c>
      <c r="E402" s="106"/>
      <c r="F402" s="312">
        <f>0/4100</f>
        <v>0</v>
      </c>
      <c r="G402" s="312">
        <f>0/5*100</f>
        <v>0</v>
      </c>
      <c r="H402" s="312">
        <f>0/5*100</f>
        <v>0</v>
      </c>
      <c r="I402" s="312">
        <f>0/5*100</f>
        <v>0</v>
      </c>
      <c r="J402" s="312">
        <f>1/6*100</f>
        <v>16.666666666666664</v>
      </c>
      <c r="K402" s="312">
        <f>1/6*100</f>
        <v>16.666666666666664</v>
      </c>
      <c r="L402" s="22"/>
    </row>
    <row r="403" spans="1:12" ht="16.5" thickBot="1" x14ac:dyDescent="0.3">
      <c r="A403" s="1775"/>
      <c r="B403" s="823" t="s">
        <v>249</v>
      </c>
      <c r="C403" s="1675"/>
      <c r="D403" s="1675"/>
      <c r="E403" s="112" t="s">
        <v>442</v>
      </c>
      <c r="F403" s="112" t="s">
        <v>443</v>
      </c>
      <c r="G403" s="112" t="s">
        <v>444</v>
      </c>
      <c r="H403" s="112" t="s">
        <v>445</v>
      </c>
      <c r="I403" s="112" t="s">
        <v>446</v>
      </c>
      <c r="J403" s="112" t="s">
        <v>447</v>
      </c>
      <c r="K403" s="112" t="s">
        <v>448</v>
      </c>
      <c r="L403" s="112" t="s">
        <v>449</v>
      </c>
    </row>
    <row r="404" spans="1:12" ht="15" customHeight="1" x14ac:dyDescent="0.25">
      <c r="A404" s="1776"/>
      <c r="B404" s="1744" t="s">
        <v>476</v>
      </c>
      <c r="C404" s="1251" t="s">
        <v>459</v>
      </c>
      <c r="D404" s="1390"/>
      <c r="E404" s="40"/>
      <c r="F404" s="195">
        <v>165</v>
      </c>
      <c r="G404" s="195">
        <v>241</v>
      </c>
      <c r="H404" s="195">
        <v>491</v>
      </c>
      <c r="I404" s="195">
        <v>363</v>
      </c>
      <c r="J404" s="195">
        <v>325</v>
      </c>
      <c r="K404" s="36">
        <v>254</v>
      </c>
      <c r="L404" s="20"/>
    </row>
    <row r="405" spans="1:12" x14ac:dyDescent="0.25">
      <c r="A405" s="1776"/>
      <c r="B405" s="1678"/>
      <c r="C405" s="1123" t="s">
        <v>436</v>
      </c>
      <c r="D405" s="1124"/>
      <c r="E405" s="96"/>
      <c r="F405" s="96">
        <v>74</v>
      </c>
      <c r="G405" s="96">
        <v>100</v>
      </c>
      <c r="H405" s="96">
        <v>251</v>
      </c>
      <c r="I405" s="96">
        <v>199</v>
      </c>
      <c r="J405" s="96">
        <v>171</v>
      </c>
      <c r="K405" s="157">
        <v>140</v>
      </c>
      <c r="L405" s="21"/>
    </row>
    <row r="406" spans="1:12" x14ac:dyDescent="0.25">
      <c r="A406" s="1776"/>
      <c r="B406" s="1678"/>
      <c r="C406" s="1123" t="s">
        <v>437</v>
      </c>
      <c r="D406" s="1124"/>
      <c r="E406" s="96"/>
      <c r="F406" s="96">
        <v>91</v>
      </c>
      <c r="G406" s="96">
        <v>141</v>
      </c>
      <c r="H406" s="96">
        <v>240</v>
      </c>
      <c r="I406" s="96">
        <v>164</v>
      </c>
      <c r="J406" s="96">
        <v>154</v>
      </c>
      <c r="K406" s="157">
        <v>114</v>
      </c>
      <c r="L406" s="21"/>
    </row>
    <row r="407" spans="1:12" ht="16.5" thickBot="1" x14ac:dyDescent="0.3">
      <c r="A407" s="1776"/>
      <c r="B407" s="1678"/>
      <c r="C407" s="1170" t="s">
        <v>270</v>
      </c>
      <c r="D407" s="1155"/>
      <c r="E407" s="913"/>
      <c r="F407" s="285">
        <f t="shared" ref="F407:K407" si="33">F406/F404*100</f>
        <v>55.151515151515149</v>
      </c>
      <c r="G407" s="285">
        <f t="shared" si="33"/>
        <v>58.506224066390047</v>
      </c>
      <c r="H407" s="285">
        <f t="shared" si="33"/>
        <v>48.879837067209778</v>
      </c>
      <c r="I407" s="285">
        <f>I406/I404*100</f>
        <v>45.179063360881543</v>
      </c>
      <c r="J407" s="285">
        <f t="shared" si="33"/>
        <v>47.384615384615387</v>
      </c>
      <c r="K407" s="285">
        <f t="shared" si="33"/>
        <v>44.881889763779526</v>
      </c>
      <c r="L407" s="22"/>
    </row>
    <row r="408" spans="1:12" x14ac:dyDescent="0.25">
      <c r="A408" s="1776"/>
      <c r="B408" s="1678"/>
      <c r="C408" s="1159" t="s">
        <v>467</v>
      </c>
      <c r="D408" s="248" t="s">
        <v>251</v>
      </c>
      <c r="E408" s="249"/>
      <c r="F408" s="250"/>
      <c r="G408" s="250"/>
      <c r="H408" s="250">
        <v>120</v>
      </c>
      <c r="I408" s="250">
        <v>96</v>
      </c>
      <c r="J408" s="250">
        <v>90</v>
      </c>
      <c r="K408" s="36">
        <v>41</v>
      </c>
      <c r="L408" s="20"/>
    </row>
    <row r="409" spans="1:12" x14ac:dyDescent="0.25">
      <c r="A409" s="1776"/>
      <c r="B409" s="1678"/>
      <c r="C409" s="1160"/>
      <c r="D409" s="28" t="s">
        <v>257</v>
      </c>
      <c r="E409" s="94"/>
      <c r="F409" s="236"/>
      <c r="G409" s="236"/>
      <c r="H409" s="236">
        <v>103</v>
      </c>
      <c r="I409" s="236">
        <v>81</v>
      </c>
      <c r="J409" s="236">
        <v>68</v>
      </c>
      <c r="K409" s="28">
        <v>28</v>
      </c>
      <c r="L409" s="21"/>
    </row>
    <row r="410" spans="1:12" x14ac:dyDescent="0.25">
      <c r="A410" s="1776"/>
      <c r="B410" s="1678"/>
      <c r="C410" s="1160"/>
      <c r="D410" s="28" t="s">
        <v>263</v>
      </c>
      <c r="E410" s="94"/>
      <c r="F410" s="236"/>
      <c r="G410" s="236"/>
      <c r="H410" s="236">
        <v>17</v>
      </c>
      <c r="I410" s="236">
        <v>15</v>
      </c>
      <c r="J410" s="236">
        <v>22</v>
      </c>
      <c r="K410" s="28">
        <v>13</v>
      </c>
      <c r="L410" s="21"/>
    </row>
    <row r="411" spans="1:12" ht="16.5" thickBot="1" x14ac:dyDescent="0.3">
      <c r="A411" s="1776"/>
      <c r="B411" s="1678"/>
      <c r="C411" s="1161"/>
      <c r="D411" s="203" t="s">
        <v>270</v>
      </c>
      <c r="E411" s="104"/>
      <c r="F411" s="197"/>
      <c r="G411" s="197"/>
      <c r="H411" s="253">
        <f>(H410/H408)*100</f>
        <v>14.166666666666666</v>
      </c>
      <c r="I411" s="253">
        <f>I410/I408*100</f>
        <v>15.625</v>
      </c>
      <c r="J411" s="253">
        <f>J410/J408*100</f>
        <v>24.444444444444443</v>
      </c>
      <c r="K411" s="253">
        <f>K410/K408*100</f>
        <v>31.707317073170731</v>
      </c>
      <c r="L411" s="22"/>
    </row>
    <row r="412" spans="1:12" x14ac:dyDescent="0.25">
      <c r="A412" s="1776"/>
      <c r="B412" s="1678"/>
      <c r="C412" s="1159" t="s">
        <v>469</v>
      </c>
      <c r="D412" s="248" t="s">
        <v>251</v>
      </c>
      <c r="E412" s="249"/>
      <c r="F412" s="250">
        <v>57</v>
      </c>
      <c r="G412" s="250">
        <v>105</v>
      </c>
      <c r="H412" s="250">
        <v>85</v>
      </c>
      <c r="I412" s="250">
        <v>82</v>
      </c>
      <c r="J412" s="250">
        <v>80</v>
      </c>
      <c r="K412" s="36">
        <v>68</v>
      </c>
      <c r="L412" s="20"/>
    </row>
    <row r="413" spans="1:12" x14ac:dyDescent="0.25">
      <c r="A413" s="1776"/>
      <c r="B413" s="1678"/>
      <c r="C413" s="1160"/>
      <c r="D413" s="28" t="s">
        <v>257</v>
      </c>
      <c r="E413" s="94"/>
      <c r="F413" s="80">
        <v>49</v>
      </c>
      <c r="G413" s="80">
        <v>85</v>
      </c>
      <c r="H413" s="80">
        <v>75</v>
      </c>
      <c r="I413" s="80">
        <v>67</v>
      </c>
      <c r="J413" s="80">
        <v>60</v>
      </c>
      <c r="K413" s="28">
        <v>56</v>
      </c>
      <c r="L413" s="21"/>
    </row>
    <row r="414" spans="1:12" x14ac:dyDescent="0.25">
      <c r="A414" s="1776"/>
      <c r="B414" s="1678"/>
      <c r="C414" s="1160"/>
      <c r="D414" s="28" t="s">
        <v>263</v>
      </c>
      <c r="E414" s="94"/>
      <c r="F414" s="80">
        <v>8</v>
      </c>
      <c r="G414" s="80">
        <v>20</v>
      </c>
      <c r="H414" s="80">
        <v>10</v>
      </c>
      <c r="I414" s="80">
        <v>15</v>
      </c>
      <c r="J414" s="80">
        <v>20</v>
      </c>
      <c r="K414" s="28">
        <v>12</v>
      </c>
      <c r="L414" s="21"/>
    </row>
    <row r="415" spans="1:12" ht="16.5" thickBot="1" x14ac:dyDescent="0.3">
      <c r="A415" s="1776"/>
      <c r="B415" s="1678"/>
      <c r="C415" s="1161"/>
      <c r="D415" s="203" t="s">
        <v>270</v>
      </c>
      <c r="E415" s="104"/>
      <c r="F415" s="253">
        <f>(F414/F412)*100</f>
        <v>14.035087719298245</v>
      </c>
      <c r="G415" s="253">
        <f t="shared" ref="G415:K415" si="34">(G414/G412)*100</f>
        <v>19.047619047619047</v>
      </c>
      <c r="H415" s="253">
        <f t="shared" si="34"/>
        <v>11.76470588235294</v>
      </c>
      <c r="I415" s="253">
        <f t="shared" si="34"/>
        <v>18.292682926829269</v>
      </c>
      <c r="J415" s="253">
        <f t="shared" si="34"/>
        <v>25</v>
      </c>
      <c r="K415" s="253">
        <f t="shared" si="34"/>
        <v>17.647058823529413</v>
      </c>
      <c r="L415" s="22"/>
    </row>
    <row r="416" spans="1:12" ht="14.85" customHeight="1" x14ac:dyDescent="0.25">
      <c r="A416" s="1776"/>
      <c r="B416" s="1678"/>
      <c r="C416" s="1159" t="s">
        <v>470</v>
      </c>
      <c r="D416" s="248" t="s">
        <v>251</v>
      </c>
      <c r="E416" s="249"/>
      <c r="F416" s="250">
        <v>74</v>
      </c>
      <c r="G416" s="250">
        <v>110</v>
      </c>
      <c r="H416" s="250">
        <v>169</v>
      </c>
      <c r="I416" s="250">
        <v>110</v>
      </c>
      <c r="J416" s="250">
        <v>75</v>
      </c>
      <c r="K416" s="36">
        <v>79</v>
      </c>
      <c r="L416" s="20"/>
    </row>
    <row r="417" spans="1:12" x14ac:dyDescent="0.25">
      <c r="A417" s="1776"/>
      <c r="B417" s="1678"/>
      <c r="C417" s="1160"/>
      <c r="D417" s="28" t="s">
        <v>257</v>
      </c>
      <c r="E417" s="94"/>
      <c r="F417" s="80">
        <v>6</v>
      </c>
      <c r="G417" s="80">
        <v>6</v>
      </c>
      <c r="H417" s="80">
        <v>14</v>
      </c>
      <c r="I417" s="80">
        <v>10</v>
      </c>
      <c r="J417" s="80">
        <v>5</v>
      </c>
      <c r="K417" s="28">
        <v>19</v>
      </c>
      <c r="L417" s="21"/>
    </row>
    <row r="418" spans="1:12" x14ac:dyDescent="0.25">
      <c r="A418" s="1776"/>
      <c r="B418" s="1678"/>
      <c r="C418" s="1160"/>
      <c r="D418" s="28" t="s">
        <v>263</v>
      </c>
      <c r="E418" s="94"/>
      <c r="F418" s="80">
        <v>68</v>
      </c>
      <c r="G418" s="80">
        <v>104</v>
      </c>
      <c r="H418" s="80">
        <v>155</v>
      </c>
      <c r="I418" s="80">
        <v>100</v>
      </c>
      <c r="J418" s="80">
        <v>70</v>
      </c>
      <c r="K418" s="28">
        <v>60</v>
      </c>
      <c r="L418" s="21"/>
    </row>
    <row r="419" spans="1:12" ht="16.5" thickBot="1" x14ac:dyDescent="0.3">
      <c r="A419" s="1776"/>
      <c r="B419" s="1678"/>
      <c r="C419" s="1161"/>
      <c r="D419" s="203" t="s">
        <v>270</v>
      </c>
      <c r="E419" s="104"/>
      <c r="F419" s="251">
        <f>(F418/F416)*100</f>
        <v>91.891891891891902</v>
      </c>
      <c r="G419" s="251">
        <f t="shared" ref="G419:K419" si="35">(G418/G416)*100</f>
        <v>94.545454545454547</v>
      </c>
      <c r="H419" s="251">
        <f t="shared" si="35"/>
        <v>91.715976331360949</v>
      </c>
      <c r="I419" s="251">
        <f t="shared" si="35"/>
        <v>90.909090909090907</v>
      </c>
      <c r="J419" s="251">
        <f t="shared" si="35"/>
        <v>93.333333333333329</v>
      </c>
      <c r="K419" s="251">
        <f t="shared" si="35"/>
        <v>75.949367088607602</v>
      </c>
      <c r="L419" s="22"/>
    </row>
    <row r="420" spans="1:12" ht="14.85" customHeight="1" x14ac:dyDescent="0.25">
      <c r="A420" s="1776"/>
      <c r="B420" s="1678"/>
      <c r="C420" s="1159" t="s">
        <v>585</v>
      </c>
      <c r="D420" s="248" t="s">
        <v>251</v>
      </c>
      <c r="E420" s="249"/>
      <c r="F420" s="250"/>
      <c r="G420" s="250"/>
      <c r="H420" s="250">
        <v>77</v>
      </c>
      <c r="I420" s="250">
        <v>34</v>
      </c>
      <c r="J420" s="250">
        <v>42</v>
      </c>
      <c r="K420" s="36">
        <v>26</v>
      </c>
      <c r="L420" s="20"/>
    </row>
    <row r="421" spans="1:12" ht="14.85" customHeight="1" x14ac:dyDescent="0.25">
      <c r="A421" s="1776"/>
      <c r="B421" s="1678"/>
      <c r="C421" s="1160"/>
      <c r="D421" s="28" t="s">
        <v>257</v>
      </c>
      <c r="E421" s="94"/>
      <c r="F421" s="80"/>
      <c r="G421" s="80"/>
      <c r="H421" s="80">
        <v>37</v>
      </c>
      <c r="I421" s="80">
        <v>14</v>
      </c>
      <c r="J421" s="80">
        <v>12</v>
      </c>
      <c r="K421" s="28">
        <v>10</v>
      </c>
      <c r="L421" s="21"/>
    </row>
    <row r="422" spans="1:12" x14ac:dyDescent="0.25">
      <c r="A422" s="1776"/>
      <c r="B422" s="1678"/>
      <c r="C422" s="1160"/>
      <c r="D422" s="28" t="s">
        <v>263</v>
      </c>
      <c r="E422" s="94"/>
      <c r="F422" s="80"/>
      <c r="G422" s="80"/>
      <c r="H422" s="80">
        <v>40</v>
      </c>
      <c r="I422" s="80">
        <v>20</v>
      </c>
      <c r="J422" s="80">
        <v>30</v>
      </c>
      <c r="K422" s="28">
        <v>16</v>
      </c>
      <c r="L422" s="21"/>
    </row>
    <row r="423" spans="1:12" ht="16.5" thickBot="1" x14ac:dyDescent="0.3">
      <c r="A423" s="1776"/>
      <c r="B423" s="1678"/>
      <c r="C423" s="1161"/>
      <c r="D423" s="203" t="s">
        <v>270</v>
      </c>
      <c r="E423" s="104"/>
      <c r="F423" s="197"/>
      <c r="G423" s="197"/>
      <c r="H423" s="252">
        <f>(H422/H420)*100</f>
        <v>51.94805194805194</v>
      </c>
      <c r="I423" s="252">
        <f t="shared" ref="I423:K423" si="36">(I422/I420)*100</f>
        <v>58.82352941176471</v>
      </c>
      <c r="J423" s="251">
        <f t="shared" si="36"/>
        <v>71.428571428571431</v>
      </c>
      <c r="K423" s="251">
        <f t="shared" si="36"/>
        <v>61.53846153846154</v>
      </c>
      <c r="L423" s="22"/>
    </row>
    <row r="424" spans="1:12" ht="14.85" customHeight="1" x14ac:dyDescent="0.25">
      <c r="A424" s="1776"/>
      <c r="B424" s="1678"/>
      <c r="C424" s="1659" t="s">
        <v>466</v>
      </c>
      <c r="D424" s="241" t="s">
        <v>251</v>
      </c>
      <c r="E424" s="242"/>
      <c r="F424" s="243">
        <v>34</v>
      </c>
      <c r="G424" s="243">
        <v>26</v>
      </c>
      <c r="H424" s="243">
        <v>40</v>
      </c>
      <c r="I424" s="243">
        <v>41</v>
      </c>
      <c r="J424" s="243">
        <v>38</v>
      </c>
      <c r="K424" s="122">
        <v>40</v>
      </c>
      <c r="L424" s="87"/>
    </row>
    <row r="425" spans="1:12" ht="14.85" customHeight="1" x14ac:dyDescent="0.25">
      <c r="A425" s="1776"/>
      <c r="B425" s="1678"/>
      <c r="C425" s="1160"/>
      <c r="D425" s="28" t="s">
        <v>257</v>
      </c>
      <c r="E425" s="94"/>
      <c r="F425" s="80">
        <v>19</v>
      </c>
      <c r="G425" s="80">
        <v>9</v>
      </c>
      <c r="H425" s="80">
        <v>22</v>
      </c>
      <c r="I425" s="80">
        <v>27</v>
      </c>
      <c r="J425" s="80">
        <v>26</v>
      </c>
      <c r="K425" s="28">
        <v>27</v>
      </c>
      <c r="L425" s="21"/>
    </row>
    <row r="426" spans="1:12" x14ac:dyDescent="0.25">
      <c r="A426" s="1776"/>
      <c r="B426" s="1678"/>
      <c r="C426" s="1160"/>
      <c r="D426" s="28" t="s">
        <v>263</v>
      </c>
      <c r="E426" s="94"/>
      <c r="F426" s="80">
        <v>15</v>
      </c>
      <c r="G426" s="80">
        <v>17</v>
      </c>
      <c r="H426" s="80">
        <v>18</v>
      </c>
      <c r="I426" s="80">
        <v>14</v>
      </c>
      <c r="J426" s="80">
        <v>12</v>
      </c>
      <c r="K426" s="28">
        <v>13</v>
      </c>
      <c r="L426" s="21"/>
    </row>
    <row r="427" spans="1:12" ht="16.5" thickBot="1" x14ac:dyDescent="0.3">
      <c r="A427" s="1776"/>
      <c r="B427" s="1678"/>
      <c r="C427" s="1161"/>
      <c r="D427" s="203" t="s">
        <v>270</v>
      </c>
      <c r="E427" s="106"/>
      <c r="F427" s="252">
        <f>(F426/F424)*100</f>
        <v>44.117647058823529</v>
      </c>
      <c r="G427" s="251">
        <f t="shared" ref="G427:K427" si="37">(G426/G424)*100</f>
        <v>65.384615384615387</v>
      </c>
      <c r="H427" s="252">
        <f t="shared" si="37"/>
        <v>45</v>
      </c>
      <c r="I427" s="253">
        <f t="shared" si="37"/>
        <v>34.146341463414636</v>
      </c>
      <c r="J427" s="253">
        <f t="shared" si="37"/>
        <v>31.578947368421051</v>
      </c>
      <c r="K427" s="253">
        <f t="shared" si="37"/>
        <v>32.5</v>
      </c>
      <c r="L427" s="22"/>
    </row>
    <row r="428" spans="1:12" x14ac:dyDescent="0.25">
      <c r="A428" s="1776"/>
      <c r="B428" s="1678"/>
      <c r="C428" s="1166" t="s">
        <v>472</v>
      </c>
      <c r="D428" s="308" t="s">
        <v>473</v>
      </c>
      <c r="E428" s="612"/>
      <c r="F428" s="261">
        <f>1/3*100</f>
        <v>33.333333333333329</v>
      </c>
      <c r="G428" s="261">
        <f>1/3*100</f>
        <v>33.333333333333329</v>
      </c>
      <c r="H428" s="261">
        <f>2/5*100</f>
        <v>40</v>
      </c>
      <c r="I428" s="261">
        <f>3/5*100</f>
        <v>60</v>
      </c>
      <c r="J428" s="261">
        <v>60</v>
      </c>
      <c r="K428" s="261">
        <f>3/5*100</f>
        <v>60</v>
      </c>
      <c r="L428" s="20"/>
    </row>
    <row r="429" spans="1:12" x14ac:dyDescent="0.25">
      <c r="A429" s="1776"/>
      <c r="B429" s="1678"/>
      <c r="C429" s="1167"/>
      <c r="D429" s="232" t="s">
        <v>474</v>
      </c>
      <c r="E429" s="92"/>
      <c r="F429" s="234">
        <f t="shared" ref="F429:F430" si="38">1/3*100</f>
        <v>33.333333333333329</v>
      </c>
      <c r="G429" s="234">
        <f>2/3*100</f>
        <v>66.666666666666657</v>
      </c>
      <c r="H429" s="234">
        <v>20</v>
      </c>
      <c r="I429" s="234">
        <f>1/5*100</f>
        <v>20</v>
      </c>
      <c r="J429" s="234">
        <v>40</v>
      </c>
      <c r="K429" s="234">
        <f>2/5*100</f>
        <v>40</v>
      </c>
      <c r="L429" s="21"/>
    </row>
    <row r="430" spans="1:12" ht="16.5" thickBot="1" x14ac:dyDescent="0.3">
      <c r="A430" s="1776"/>
      <c r="B430" s="1745"/>
      <c r="C430" s="1255"/>
      <c r="D430" s="311" t="s">
        <v>475</v>
      </c>
      <c r="E430" s="106"/>
      <c r="F430" s="312">
        <f t="shared" si="38"/>
        <v>33.333333333333329</v>
      </c>
      <c r="G430" s="312">
        <v>0</v>
      </c>
      <c r="H430" s="312">
        <v>40</v>
      </c>
      <c r="I430" s="312">
        <v>20</v>
      </c>
      <c r="J430" s="312">
        <v>0</v>
      </c>
      <c r="K430" s="312">
        <v>0</v>
      </c>
      <c r="L430" s="22"/>
    </row>
    <row r="431" spans="1:12" ht="16.5" thickBot="1" x14ac:dyDescent="0.3">
      <c r="A431" s="1775"/>
      <c r="B431" s="823" t="s">
        <v>249</v>
      </c>
      <c r="C431" s="1675"/>
      <c r="D431" s="1675"/>
      <c r="E431" s="112" t="s">
        <v>442</v>
      </c>
      <c r="F431" s="112" t="s">
        <v>443</v>
      </c>
      <c r="G431" s="112" t="s">
        <v>444</v>
      </c>
      <c r="H431" s="112" t="s">
        <v>445</v>
      </c>
      <c r="I431" s="112" t="s">
        <v>446</v>
      </c>
      <c r="J431" s="112" t="s">
        <v>447</v>
      </c>
      <c r="K431" s="112" t="s">
        <v>448</v>
      </c>
      <c r="L431" s="112" t="s">
        <v>449</v>
      </c>
    </row>
    <row r="432" spans="1:12" x14ac:dyDescent="0.25">
      <c r="A432" s="1776"/>
      <c r="B432" s="1744" t="s">
        <v>219</v>
      </c>
      <c r="C432" s="1251" t="s">
        <v>459</v>
      </c>
      <c r="D432" s="1206"/>
      <c r="E432" s="36"/>
      <c r="F432" s="259"/>
      <c r="G432" s="259"/>
      <c r="H432" s="914">
        <v>61</v>
      </c>
      <c r="I432" s="914">
        <v>261</v>
      </c>
      <c r="J432" s="914">
        <v>349</v>
      </c>
      <c r="K432" s="36">
        <v>304</v>
      </c>
      <c r="L432" s="20"/>
    </row>
    <row r="433" spans="1:12" x14ac:dyDescent="0.25">
      <c r="A433" s="1776"/>
      <c r="B433" s="1678"/>
      <c r="C433" s="1123" t="s">
        <v>436</v>
      </c>
      <c r="D433" s="1124"/>
      <c r="E433" s="28"/>
      <c r="F433" s="187"/>
      <c r="G433" s="187"/>
      <c r="H433" s="358">
        <v>20</v>
      </c>
      <c r="I433" s="358">
        <v>149</v>
      </c>
      <c r="J433" s="358">
        <v>205</v>
      </c>
      <c r="K433" s="28">
        <v>175</v>
      </c>
      <c r="L433" s="21"/>
    </row>
    <row r="434" spans="1:12" x14ac:dyDescent="0.25">
      <c r="A434" s="1776"/>
      <c r="B434" s="1678"/>
      <c r="C434" s="1123" t="s">
        <v>437</v>
      </c>
      <c r="D434" s="1124"/>
      <c r="E434" s="96"/>
      <c r="F434" s="96"/>
      <c r="G434" s="96"/>
      <c r="H434" s="96">
        <v>41</v>
      </c>
      <c r="I434" s="96">
        <v>112</v>
      </c>
      <c r="J434" s="96">
        <v>144</v>
      </c>
      <c r="K434" s="96">
        <v>129</v>
      </c>
      <c r="L434" s="21"/>
    </row>
    <row r="435" spans="1:12" x14ac:dyDescent="0.25">
      <c r="A435" s="1776"/>
      <c r="B435" s="1678"/>
      <c r="C435" s="1111" t="s">
        <v>353</v>
      </c>
      <c r="D435" s="1112"/>
      <c r="E435" s="157"/>
      <c r="F435" s="157"/>
      <c r="G435" s="157"/>
      <c r="H435" s="157">
        <f>H434-H433</f>
        <v>21</v>
      </c>
      <c r="I435" s="157">
        <f>I434-I433</f>
        <v>-37</v>
      </c>
      <c r="J435" s="157">
        <f>J434-J433</f>
        <v>-61</v>
      </c>
      <c r="K435" s="157">
        <f>K434-K433</f>
        <v>-46</v>
      </c>
      <c r="L435" s="21"/>
    </row>
    <row r="436" spans="1:12" ht="16.5" thickBot="1" x14ac:dyDescent="0.3">
      <c r="A436" s="1776"/>
      <c r="B436" s="1678"/>
      <c r="C436" s="1353" t="s">
        <v>270</v>
      </c>
      <c r="D436" s="1178"/>
      <c r="E436" s="360"/>
      <c r="F436" s="360"/>
      <c r="G436" s="441"/>
      <c r="H436" s="435">
        <f>H434/H432*100</f>
        <v>67.213114754098356</v>
      </c>
      <c r="I436" s="423">
        <f>I434/I432*100</f>
        <v>42.911877394636015</v>
      </c>
      <c r="J436" s="423">
        <f>J434/J432*100</f>
        <v>41.260744985673355</v>
      </c>
      <c r="K436" s="423">
        <f>K434/K432*100</f>
        <v>42.434210526315788</v>
      </c>
      <c r="L436" s="53"/>
    </row>
    <row r="437" spans="1:12" x14ac:dyDescent="0.25">
      <c r="A437" s="1776"/>
      <c r="B437" s="1678"/>
      <c r="C437" s="1406" t="s">
        <v>484</v>
      </c>
      <c r="D437" s="1405"/>
      <c r="E437" s="225"/>
      <c r="F437" s="225"/>
      <c r="G437" s="195"/>
      <c r="H437" s="261">
        <v>50</v>
      </c>
      <c r="I437" s="261">
        <f>3/6*100</f>
        <v>50</v>
      </c>
      <c r="J437" s="261">
        <f>2/7*100</f>
        <v>28.571428571428569</v>
      </c>
      <c r="K437" s="315">
        <v>55.555555555555557</v>
      </c>
      <c r="L437" s="20"/>
    </row>
    <row r="438" spans="1:12" x14ac:dyDescent="0.25">
      <c r="A438" s="1776"/>
      <c r="B438" s="1678"/>
      <c r="C438" s="1111" t="s">
        <v>485</v>
      </c>
      <c r="D438" s="1112"/>
      <c r="E438" s="96"/>
      <c r="F438" s="96"/>
      <c r="G438" s="157"/>
      <c r="H438" s="235">
        <v>25</v>
      </c>
      <c r="I438" s="235">
        <v>0</v>
      </c>
      <c r="J438" s="235">
        <f>1/7*100</f>
        <v>14.285714285714285</v>
      </c>
      <c r="K438" s="237">
        <v>22.222222222222221</v>
      </c>
      <c r="L438" s="21"/>
    </row>
    <row r="439" spans="1:12" x14ac:dyDescent="0.25">
      <c r="A439" s="1777"/>
      <c r="B439" s="1679"/>
      <c r="C439" s="1277" t="s">
        <v>486</v>
      </c>
      <c r="D439" s="1142"/>
      <c r="E439" s="360"/>
      <c r="F439" s="360"/>
      <c r="G439" s="441"/>
      <c r="H439" s="356">
        <v>25</v>
      </c>
      <c r="I439" s="356">
        <f>3/6*100</f>
        <v>50</v>
      </c>
      <c r="J439" s="356">
        <f>4/7*100</f>
        <v>57.142857142857139</v>
      </c>
      <c r="K439" s="361">
        <v>22.222222222222221</v>
      </c>
      <c r="L439" s="53"/>
    </row>
    <row r="440" spans="1:12" ht="16.5" thickBot="1" x14ac:dyDescent="0.3">
      <c r="A440" s="338" t="s">
        <v>248</v>
      </c>
      <c r="B440" s="463" t="s">
        <v>249</v>
      </c>
      <c r="C440" s="1422"/>
      <c r="D440" s="1422"/>
      <c r="E440" s="616">
        <v>2005</v>
      </c>
      <c r="F440" s="616">
        <v>2010</v>
      </c>
      <c r="G440" s="616">
        <v>2015</v>
      </c>
      <c r="H440" s="616">
        <v>2020</v>
      </c>
      <c r="I440" s="616">
        <v>2021</v>
      </c>
      <c r="J440" s="616">
        <v>2022</v>
      </c>
      <c r="K440" s="616">
        <v>2023</v>
      </c>
      <c r="L440" s="616">
        <v>2024</v>
      </c>
    </row>
    <row r="441" spans="1:12" ht="15" customHeight="1" x14ac:dyDescent="0.25">
      <c r="A441" s="1735" t="s">
        <v>487</v>
      </c>
      <c r="B441" s="1692" t="s">
        <v>227</v>
      </c>
      <c r="C441" s="1206" t="s">
        <v>435</v>
      </c>
      <c r="D441" s="1206"/>
      <c r="E441" s="36"/>
      <c r="F441" s="36"/>
      <c r="G441" s="36"/>
      <c r="H441" s="36"/>
      <c r="I441" s="36"/>
      <c r="J441" s="36"/>
      <c r="K441" s="195">
        <v>382</v>
      </c>
      <c r="L441" s="325">
        <v>411</v>
      </c>
    </row>
    <row r="442" spans="1:12" x14ac:dyDescent="0.25">
      <c r="A442" s="1736"/>
      <c r="B442" s="1693"/>
      <c r="C442" s="1124" t="s">
        <v>533</v>
      </c>
      <c r="D442" s="1124"/>
      <c r="E442" s="28"/>
      <c r="F442" s="28"/>
      <c r="G442" s="28"/>
      <c r="H442" s="28"/>
      <c r="I442" s="28"/>
      <c r="J442" s="28"/>
      <c r="K442" s="28">
        <v>137</v>
      </c>
      <c r="L442" s="21">
        <v>154</v>
      </c>
    </row>
    <row r="443" spans="1:12" x14ac:dyDescent="0.25">
      <c r="A443" s="1736"/>
      <c r="B443" s="1693"/>
      <c r="C443" s="1124" t="s">
        <v>534</v>
      </c>
      <c r="D443" s="1124"/>
      <c r="E443" s="28"/>
      <c r="F443" s="28"/>
      <c r="G443" s="28"/>
      <c r="H443" s="28"/>
      <c r="I443" s="28"/>
      <c r="J443" s="28"/>
      <c r="K443" s="28">
        <v>245</v>
      </c>
      <c r="L443" s="21">
        <v>257</v>
      </c>
    </row>
    <row r="444" spans="1:12" x14ac:dyDescent="0.25">
      <c r="A444" s="1736"/>
      <c r="B444" s="1693"/>
      <c r="C444" s="1128" t="s">
        <v>353</v>
      </c>
      <c r="D444" s="1128"/>
      <c r="E444" s="28"/>
      <c r="F444" s="28"/>
      <c r="G444" s="28"/>
      <c r="H444" s="28"/>
      <c r="I444" s="28"/>
      <c r="J444" s="28"/>
      <c r="K444" s="262">
        <f t="shared" ref="K444" si="39">K443-K442</f>
        <v>108</v>
      </c>
      <c r="L444" s="317">
        <v>103</v>
      </c>
    </row>
    <row r="445" spans="1:12" ht="16.5" thickBot="1" x14ac:dyDescent="0.3">
      <c r="A445" s="1736"/>
      <c r="B445" s="1875"/>
      <c r="C445" s="1178" t="s">
        <v>270</v>
      </c>
      <c r="D445" s="1178"/>
      <c r="E445" s="441"/>
      <c r="F445" s="441"/>
      <c r="G445" s="441"/>
      <c r="H445" s="441"/>
      <c r="I445" s="441"/>
      <c r="J445" s="441"/>
      <c r="K445" s="165">
        <f t="shared" ref="K445" si="40">K443/K441*100</f>
        <v>64.136125654450254</v>
      </c>
      <c r="L445" s="166">
        <v>62.530413625304135</v>
      </c>
    </row>
    <row r="446" spans="1:12" x14ac:dyDescent="0.25">
      <c r="A446" s="1736"/>
      <c r="B446" s="1692" t="s">
        <v>488</v>
      </c>
      <c r="C446" s="1405" t="s">
        <v>489</v>
      </c>
      <c r="D446" s="1405"/>
      <c r="E446" s="36"/>
      <c r="F446" s="40">
        <v>54</v>
      </c>
      <c r="G446" s="40">
        <v>58</v>
      </c>
      <c r="H446" s="40">
        <v>78</v>
      </c>
      <c r="I446" s="36"/>
      <c r="J446" s="36"/>
      <c r="K446" s="40">
        <v>95</v>
      </c>
      <c r="L446" s="1072">
        <v>31</v>
      </c>
    </row>
    <row r="447" spans="1:12" x14ac:dyDescent="0.25">
      <c r="A447" s="1736"/>
      <c r="B447" s="1693"/>
      <c r="C447" s="1112" t="s">
        <v>490</v>
      </c>
      <c r="D447" s="1112"/>
      <c r="E447" s="96"/>
      <c r="F447" s="44">
        <v>4</v>
      </c>
      <c r="G447" s="44">
        <v>2</v>
      </c>
      <c r="H447" s="44">
        <v>2</v>
      </c>
      <c r="I447" s="28"/>
      <c r="J447" s="28"/>
      <c r="K447" s="44">
        <v>2</v>
      </c>
      <c r="L447" s="1072">
        <v>1</v>
      </c>
    </row>
    <row r="448" spans="1:12" x14ac:dyDescent="0.25">
      <c r="A448" s="1874"/>
      <c r="B448" s="1875"/>
      <c r="C448" s="1142" t="s">
        <v>491</v>
      </c>
      <c r="D448" s="1142"/>
      <c r="E448" s="336"/>
      <c r="F448" s="165">
        <f>F447/F446*100</f>
        <v>7.4074074074074066</v>
      </c>
      <c r="G448" s="165">
        <f t="shared" ref="G448:H448" si="41">G447/G446*100</f>
        <v>3.4482758620689653</v>
      </c>
      <c r="H448" s="165">
        <f t="shared" si="41"/>
        <v>2.5641025641025639</v>
      </c>
      <c r="I448" s="336"/>
      <c r="J448" s="336"/>
      <c r="K448" s="165">
        <f>K447/K446*100</f>
        <v>2.1052631578947367</v>
      </c>
      <c r="L448" s="859">
        <v>3.225806451612903</v>
      </c>
    </row>
    <row r="449" spans="1:12" ht="16.5" thickBot="1" x14ac:dyDescent="0.3">
      <c r="A449" s="338" t="s">
        <v>248</v>
      </c>
      <c r="B449" s="824" t="s">
        <v>249</v>
      </c>
      <c r="C449" s="1433"/>
      <c r="D449" s="1433"/>
      <c r="E449" s="617">
        <v>2005</v>
      </c>
      <c r="F449" s="617">
        <v>2010</v>
      </c>
      <c r="G449" s="617">
        <v>2015</v>
      </c>
      <c r="H449" s="617">
        <v>2020</v>
      </c>
      <c r="I449" s="617">
        <v>2021</v>
      </c>
      <c r="J449" s="617">
        <v>2022</v>
      </c>
      <c r="K449" s="617">
        <v>2023</v>
      </c>
      <c r="L449" s="616">
        <v>2024</v>
      </c>
    </row>
    <row r="450" spans="1:12" ht="15" customHeight="1" x14ac:dyDescent="0.25">
      <c r="A450" s="1621" t="s">
        <v>492</v>
      </c>
      <c r="B450" s="1624" t="s">
        <v>493</v>
      </c>
      <c r="C450" s="1251" t="s">
        <v>459</v>
      </c>
      <c r="D450" s="1206"/>
      <c r="E450" s="36"/>
      <c r="F450" s="195">
        <v>581</v>
      </c>
      <c r="G450" s="195">
        <v>566</v>
      </c>
      <c r="H450" s="195">
        <v>976</v>
      </c>
      <c r="I450" s="195">
        <v>1055</v>
      </c>
      <c r="J450" s="195">
        <v>1227</v>
      </c>
      <c r="K450" s="195">
        <v>1412</v>
      </c>
      <c r="L450" s="195">
        <v>1222</v>
      </c>
    </row>
    <row r="451" spans="1:12" x14ac:dyDescent="0.25">
      <c r="A451" s="1622"/>
      <c r="B451" s="1625"/>
      <c r="C451" s="1160" t="s">
        <v>436</v>
      </c>
      <c r="D451" s="28" t="s">
        <v>494</v>
      </c>
      <c r="E451" s="28"/>
      <c r="F451" s="96">
        <v>240</v>
      </c>
      <c r="G451" s="96">
        <v>240</v>
      </c>
      <c r="H451" s="96">
        <v>503</v>
      </c>
      <c r="I451" s="96">
        <v>521</v>
      </c>
      <c r="J451" s="96">
        <v>636</v>
      </c>
      <c r="K451" s="96">
        <v>692</v>
      </c>
      <c r="L451" s="21">
        <v>588</v>
      </c>
    </row>
    <row r="452" spans="1:12" x14ac:dyDescent="0.25">
      <c r="A452" s="1622"/>
      <c r="B452" s="1625"/>
      <c r="C452" s="1160"/>
      <c r="D452" s="28" t="s">
        <v>495</v>
      </c>
      <c r="E452" s="28"/>
      <c r="F452" s="96">
        <v>51</v>
      </c>
      <c r="G452" s="96">
        <v>38</v>
      </c>
      <c r="H452" s="96">
        <v>77</v>
      </c>
      <c r="I452" s="96">
        <v>73</v>
      </c>
      <c r="J452" s="96">
        <v>73</v>
      </c>
      <c r="K452" s="96">
        <v>93</v>
      </c>
      <c r="L452" s="21">
        <v>81</v>
      </c>
    </row>
    <row r="453" spans="1:12" x14ac:dyDescent="0.25">
      <c r="A453" s="1622"/>
      <c r="B453" s="1625"/>
      <c r="C453" s="1160" t="s">
        <v>437</v>
      </c>
      <c r="D453" s="28" t="s">
        <v>496</v>
      </c>
      <c r="E453" s="28"/>
      <c r="F453" s="96">
        <v>87</v>
      </c>
      <c r="G453" s="96">
        <v>94</v>
      </c>
      <c r="H453" s="96">
        <v>167</v>
      </c>
      <c r="I453" s="96">
        <v>199</v>
      </c>
      <c r="J453" s="96">
        <v>230</v>
      </c>
      <c r="K453" s="96">
        <v>269</v>
      </c>
      <c r="L453" s="21">
        <v>233</v>
      </c>
    </row>
    <row r="454" spans="1:12" ht="16.5" thickBot="1" x14ac:dyDescent="0.3">
      <c r="A454" s="1622"/>
      <c r="B454" s="1625"/>
      <c r="C454" s="1519"/>
      <c r="D454" s="110" t="s">
        <v>497</v>
      </c>
      <c r="E454" s="110"/>
      <c r="F454" s="360">
        <v>70</v>
      </c>
      <c r="G454" s="360">
        <v>67</v>
      </c>
      <c r="H454" s="360">
        <v>84</v>
      </c>
      <c r="I454" s="360">
        <v>86</v>
      </c>
      <c r="J454" s="360">
        <v>98</v>
      </c>
      <c r="K454" s="360">
        <v>111</v>
      </c>
      <c r="L454" s="53">
        <v>121</v>
      </c>
    </row>
    <row r="455" spans="1:12" x14ac:dyDescent="0.25">
      <c r="A455" s="1622"/>
      <c r="B455" s="1625"/>
      <c r="C455" s="1263" t="s">
        <v>353</v>
      </c>
      <c r="D455" s="40" t="s">
        <v>498</v>
      </c>
      <c r="E455" s="40"/>
      <c r="F455" s="81">
        <f t="shared" ref="F455:L455" si="42">+F453-F451</f>
        <v>-153</v>
      </c>
      <c r="G455" s="81">
        <f t="shared" si="42"/>
        <v>-146</v>
      </c>
      <c r="H455" s="81">
        <f t="shared" si="42"/>
        <v>-336</v>
      </c>
      <c r="I455" s="81">
        <f t="shared" si="42"/>
        <v>-322</v>
      </c>
      <c r="J455" s="81">
        <f t="shared" si="42"/>
        <v>-406</v>
      </c>
      <c r="K455" s="81">
        <f t="shared" si="42"/>
        <v>-423</v>
      </c>
      <c r="L455" s="81">
        <f t="shared" si="42"/>
        <v>-355</v>
      </c>
    </row>
    <row r="456" spans="1:12" x14ac:dyDescent="0.25">
      <c r="A456" s="1622"/>
      <c r="B456" s="1625"/>
      <c r="C456" s="1256"/>
      <c r="D456" s="44" t="s">
        <v>499</v>
      </c>
      <c r="E456" s="44"/>
      <c r="F456" s="79">
        <f t="shared" ref="F456:L456" si="43">F454-F452</f>
        <v>19</v>
      </c>
      <c r="G456" s="79">
        <f t="shared" si="43"/>
        <v>29</v>
      </c>
      <c r="H456" s="79">
        <f t="shared" si="43"/>
        <v>7</v>
      </c>
      <c r="I456" s="79">
        <f t="shared" si="43"/>
        <v>13</v>
      </c>
      <c r="J456" s="79">
        <f t="shared" si="43"/>
        <v>25</v>
      </c>
      <c r="K456" s="79">
        <f t="shared" si="43"/>
        <v>18</v>
      </c>
      <c r="L456" s="79">
        <f t="shared" si="43"/>
        <v>40</v>
      </c>
    </row>
    <row r="457" spans="1:12" ht="16.5" customHeight="1" x14ac:dyDescent="0.25">
      <c r="A457" s="1622"/>
      <c r="B457" s="1625"/>
      <c r="C457" s="1256" t="s">
        <v>270</v>
      </c>
      <c r="D457" s="44" t="s">
        <v>500</v>
      </c>
      <c r="E457" s="44"/>
      <c r="F457" s="263">
        <f>+F453/(F453+F451)*100</f>
        <v>26.605504587155966</v>
      </c>
      <c r="G457" s="263">
        <f t="shared" ref="G457:L458" si="44">+G453/(G453+G451)*100</f>
        <v>28.143712574850298</v>
      </c>
      <c r="H457" s="263">
        <f t="shared" si="44"/>
        <v>24.925373134328357</v>
      </c>
      <c r="I457" s="263">
        <f t="shared" si="44"/>
        <v>27.638888888888889</v>
      </c>
      <c r="J457" s="263">
        <f t="shared" si="44"/>
        <v>26.558891454965355</v>
      </c>
      <c r="K457" s="263">
        <f t="shared" si="44"/>
        <v>27.991675338189388</v>
      </c>
      <c r="L457" s="263">
        <f t="shared" si="44"/>
        <v>28.380024360535934</v>
      </c>
    </row>
    <row r="458" spans="1:12" ht="16.5" thickBot="1" x14ac:dyDescent="0.3">
      <c r="A458" s="1623"/>
      <c r="B458" s="1626"/>
      <c r="C458" s="1257"/>
      <c r="D458" s="203" t="s">
        <v>501</v>
      </c>
      <c r="E458" s="203"/>
      <c r="F458" s="230">
        <f>+F454/(F454+F452)*100</f>
        <v>57.851239669421481</v>
      </c>
      <c r="G458" s="230">
        <f t="shared" si="44"/>
        <v>63.809523809523803</v>
      </c>
      <c r="H458" s="230">
        <f t="shared" si="44"/>
        <v>52.173913043478258</v>
      </c>
      <c r="I458" s="230">
        <f t="shared" si="44"/>
        <v>54.088050314465406</v>
      </c>
      <c r="J458" s="230">
        <f t="shared" si="44"/>
        <v>57.309941520467831</v>
      </c>
      <c r="K458" s="230">
        <f t="shared" si="44"/>
        <v>54.411764705882348</v>
      </c>
      <c r="L458" s="230">
        <f t="shared" si="44"/>
        <v>59.900990099009896</v>
      </c>
    </row>
  </sheetData>
  <mergeCells count="225">
    <mergeCell ref="B432:B439"/>
    <mergeCell ref="C432:D432"/>
    <mergeCell ref="C433:D433"/>
    <mergeCell ref="C434:D434"/>
    <mergeCell ref="C436:D436"/>
    <mergeCell ref="C388:C391"/>
    <mergeCell ref="C392:C395"/>
    <mergeCell ref="C396:C399"/>
    <mergeCell ref="C428:C430"/>
    <mergeCell ref="C400:C402"/>
    <mergeCell ref="C416:C419"/>
    <mergeCell ref="C444:D444"/>
    <mergeCell ref="C457:C458"/>
    <mergeCell ref="B450:B458"/>
    <mergeCell ref="A450:A458"/>
    <mergeCell ref="A362:A439"/>
    <mergeCell ref="B362:B370"/>
    <mergeCell ref="C362:C364"/>
    <mergeCell ref="C365:C367"/>
    <mergeCell ref="C368:D368"/>
    <mergeCell ref="C369:D369"/>
    <mergeCell ref="C370:D370"/>
    <mergeCell ref="C372:D372"/>
    <mergeCell ref="C373:D373"/>
    <mergeCell ref="C374:D374"/>
    <mergeCell ref="C375:D375"/>
    <mergeCell ref="C404:D404"/>
    <mergeCell ref="C405:D405"/>
    <mergeCell ref="C406:D406"/>
    <mergeCell ref="C407:D407"/>
    <mergeCell ref="C451:C452"/>
    <mergeCell ref="C453:C454"/>
    <mergeCell ref="C455:C456"/>
    <mergeCell ref="C408:C411"/>
    <mergeCell ref="C412:C415"/>
    <mergeCell ref="A351:A360"/>
    <mergeCell ref="B351:B360"/>
    <mergeCell ref="C354:C356"/>
    <mergeCell ref="C361:D361"/>
    <mergeCell ref="C449:D449"/>
    <mergeCell ref="C450:D450"/>
    <mergeCell ref="C440:D440"/>
    <mergeCell ref="A441:A448"/>
    <mergeCell ref="B441:B445"/>
    <mergeCell ref="C441:D441"/>
    <mergeCell ref="C442:D442"/>
    <mergeCell ref="C443:D443"/>
    <mergeCell ref="C445:D445"/>
    <mergeCell ref="B446:B448"/>
    <mergeCell ref="C446:D446"/>
    <mergeCell ref="C448:D448"/>
    <mergeCell ref="B404:B430"/>
    <mergeCell ref="C437:D437"/>
    <mergeCell ref="C438:D438"/>
    <mergeCell ref="C439:D439"/>
    <mergeCell ref="B372:B402"/>
    <mergeCell ref="C358:D358"/>
    <mergeCell ref="C359:D359"/>
    <mergeCell ref="C360:D360"/>
    <mergeCell ref="A317:A340"/>
    <mergeCell ref="B317:B321"/>
    <mergeCell ref="C317:D317"/>
    <mergeCell ref="C318:D318"/>
    <mergeCell ref="C319:D319"/>
    <mergeCell ref="C320:D320"/>
    <mergeCell ref="C321:D321"/>
    <mergeCell ref="C322:D322"/>
    <mergeCell ref="C323:D323"/>
    <mergeCell ref="A342:A349"/>
    <mergeCell ref="B342:B345"/>
    <mergeCell ref="C342:D342"/>
    <mergeCell ref="C343:D343"/>
    <mergeCell ref="C344:D344"/>
    <mergeCell ref="C345:D345"/>
    <mergeCell ref="B346:B349"/>
    <mergeCell ref="C346:D346"/>
    <mergeCell ref="C347:D347"/>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 ref="C384:C387"/>
    <mergeCell ref="C293:C296"/>
    <mergeCell ref="C297:C300"/>
    <mergeCell ref="C301:C304"/>
    <mergeCell ref="C305:C308"/>
    <mergeCell ref="C309:C312"/>
    <mergeCell ref="C313:D313"/>
    <mergeCell ref="C314:D314"/>
    <mergeCell ref="C315:D315"/>
    <mergeCell ref="C324:D324"/>
    <mergeCell ref="C316:D316"/>
    <mergeCell ref="C357:D357"/>
    <mergeCell ref="C371:D371"/>
    <mergeCell ref="C447:D447"/>
    <mergeCell ref="C341:D341"/>
    <mergeCell ref="B326:B335"/>
    <mergeCell ref="C326:C330"/>
    <mergeCell ref="C350:D350"/>
    <mergeCell ref="C435:D435"/>
    <mergeCell ref="C325:D325"/>
    <mergeCell ref="C331:C335"/>
    <mergeCell ref="B336:B340"/>
    <mergeCell ref="C336:D336"/>
    <mergeCell ref="C337:D337"/>
    <mergeCell ref="C338:D338"/>
    <mergeCell ref="C339:D339"/>
    <mergeCell ref="C340:D340"/>
    <mergeCell ref="B322:B325"/>
    <mergeCell ref="C348:D348"/>
    <mergeCell ref="C349:D349"/>
    <mergeCell ref="C351:C353"/>
    <mergeCell ref="C420:C423"/>
    <mergeCell ref="C424:C427"/>
    <mergeCell ref="C403:D403"/>
    <mergeCell ref="C431:D431"/>
    <mergeCell ref="C376:C379"/>
    <mergeCell ref="C380:C383"/>
  </mergeCells>
  <conditionalFormatting sqref="E349:F349">
    <cfRule type="cellIs" dxfId="259" priority="223" operator="greaterThan">
      <formula>0</formula>
    </cfRule>
    <cfRule type="cellIs" dxfId="258" priority="222" operator="lessThan">
      <formula>0</formula>
    </cfRule>
  </conditionalFormatting>
  <conditionalFormatting sqref="E39:L39">
    <cfRule type="cellIs" dxfId="257" priority="379" operator="lessThan">
      <formula>1</formula>
    </cfRule>
    <cfRule type="cellIs" dxfId="256" priority="377" operator="greaterThan">
      <formula>1</formula>
    </cfRule>
    <cfRule type="cellIs" dxfId="255" priority="378" operator="greaterThan">
      <formula>1</formula>
    </cfRule>
    <cfRule type="cellIs" dxfId="254" priority="380" operator="greaterThan">
      <formula>1</formula>
    </cfRule>
  </conditionalFormatting>
  <conditionalFormatting sqref="E40:L40">
    <cfRule type="cellIs" dxfId="253" priority="376" operator="greaterThan">
      <formula>50</formula>
    </cfRule>
    <cfRule type="cellIs" dxfId="252" priority="381" operator="lessThan">
      <formula>50</formula>
    </cfRule>
    <cfRule type="cellIs" dxfId="251" priority="382" operator="greaterThan">
      <formula>50</formula>
    </cfRule>
  </conditionalFormatting>
  <conditionalFormatting sqref="E44:L44">
    <cfRule type="cellIs" dxfId="250" priority="375" operator="greaterThan">
      <formula>1</formula>
    </cfRule>
    <cfRule type="cellIs" dxfId="249" priority="372" operator="greaterThan">
      <formula>1</formula>
    </cfRule>
    <cfRule type="cellIs" dxfId="248" priority="374" operator="lessThan">
      <formula>1</formula>
    </cfRule>
    <cfRule type="cellIs" dxfId="247" priority="373" operator="greaterThan">
      <formula>1</formula>
    </cfRule>
  </conditionalFormatting>
  <conditionalFormatting sqref="E45:L45">
    <cfRule type="cellIs" dxfId="246" priority="369" operator="greaterThan">
      <formula>50</formula>
    </cfRule>
    <cfRule type="cellIs" dxfId="245" priority="370" operator="lessThan">
      <formula>50</formula>
    </cfRule>
    <cfRule type="cellIs" dxfId="244" priority="371" operator="greaterThan">
      <formula>50</formula>
    </cfRule>
  </conditionalFormatting>
  <conditionalFormatting sqref="E50:L50">
    <cfRule type="cellIs" dxfId="243" priority="187" operator="greaterThan">
      <formula>1</formula>
    </cfRule>
    <cfRule type="cellIs" dxfId="242" priority="186" operator="lessThan">
      <formula>1</formula>
    </cfRule>
    <cfRule type="cellIs" dxfId="241" priority="185" operator="greaterThan">
      <formula>1</formula>
    </cfRule>
    <cfRule type="cellIs" dxfId="240" priority="184" operator="greaterThan">
      <formula>1</formula>
    </cfRule>
    <cfRule type="cellIs" dxfId="239" priority="183" operator="lessThan">
      <formula>1</formula>
    </cfRule>
  </conditionalFormatting>
  <conditionalFormatting sqref="E51:L51">
    <cfRule type="cellIs" dxfId="238" priority="195" operator="lessThan">
      <formula>50</formula>
    </cfRule>
    <cfRule type="cellIs" dxfId="237" priority="194" operator="greaterThan">
      <formula>50</formula>
    </cfRule>
  </conditionalFormatting>
  <conditionalFormatting sqref="F360:K360">
    <cfRule type="cellIs" dxfId="236" priority="2" operator="greaterThan">
      <formula>0</formula>
    </cfRule>
    <cfRule type="cellIs" dxfId="235" priority="1" operator="lessThan">
      <formula>0</formula>
    </cfRule>
  </conditionalFormatting>
  <conditionalFormatting sqref="F370:K370">
    <cfRule type="cellIs" dxfId="234" priority="88" operator="lessThan">
      <formula>0</formula>
    </cfRule>
  </conditionalFormatting>
  <conditionalFormatting sqref="F320:L321">
    <cfRule type="cellIs" dxfId="233" priority="103" operator="lessThan">
      <formula>1</formula>
    </cfRule>
  </conditionalFormatting>
  <conditionalFormatting sqref="F455:L455">
    <cfRule type="cellIs" dxfId="232" priority="14" operator="lessThan">
      <formula>0</formula>
    </cfRule>
  </conditionalFormatting>
  <conditionalFormatting sqref="F456:L458">
    <cfRule type="cellIs" dxfId="231" priority="12" operator="greaterThan">
      <formula>0</formula>
    </cfRule>
  </conditionalFormatting>
  <conditionalFormatting sqref="F458:L458">
    <cfRule type="cellIs" dxfId="230" priority="16" operator="greaterThan">
      <formula>0</formula>
    </cfRule>
    <cfRule type="cellIs" dxfId="229" priority="17" operator="lessThan">
      <formula>0</formula>
    </cfRule>
  </conditionalFormatting>
  <conditionalFormatting sqref="G325:L325">
    <cfRule type="cellIs" dxfId="228" priority="108" operator="greaterThan">
      <formula>0</formula>
    </cfRule>
    <cfRule type="cellIs" dxfId="227" priority="109" operator="lessThan">
      <formula>1</formula>
    </cfRule>
  </conditionalFormatting>
  <conditionalFormatting sqref="H435:J435">
    <cfRule type="cellIs" dxfId="226" priority="5" operator="greaterThan">
      <formula>0</formula>
    </cfRule>
  </conditionalFormatting>
  <conditionalFormatting sqref="H59:K59">
    <cfRule type="cellIs" dxfId="225" priority="190" operator="greaterThan">
      <formula>0</formula>
    </cfRule>
  </conditionalFormatting>
  <conditionalFormatting sqref="H60:K60">
    <cfRule type="cellIs" dxfId="224" priority="189" operator="greaterThan">
      <formula>50</formula>
    </cfRule>
    <cfRule type="cellIs" dxfId="223" priority="191" operator="lessThan">
      <formula>50</formula>
    </cfRule>
    <cfRule type="cellIs" dxfId="222" priority="192" operator="greaterThan">
      <formula>50</formula>
    </cfRule>
    <cfRule type="cellIs" dxfId="221" priority="188" operator="lessThan">
      <formula>50</formula>
    </cfRule>
  </conditionalFormatting>
  <conditionalFormatting sqref="H339:K339">
    <cfRule type="cellIs" dxfId="220" priority="115" operator="greaterThan">
      <formula>0</formula>
    </cfRule>
    <cfRule type="cellIs" dxfId="219" priority="111" operator="lessThan">
      <formula>0</formula>
    </cfRule>
    <cfRule type="cellIs" dxfId="218" priority="116" operator="lessThan">
      <formula>0</formula>
    </cfRule>
    <cfRule type="cellIs" dxfId="217" priority="117" operator="greaterThan">
      <formula>0</formula>
    </cfRule>
  </conditionalFormatting>
  <conditionalFormatting sqref="H340:K340">
    <cfRule type="cellIs" dxfId="216" priority="110" operator="lessThan">
      <formula>50</formula>
    </cfRule>
    <cfRule type="cellIs" dxfId="215" priority="114" operator="greaterThan">
      <formula>50</formula>
    </cfRule>
    <cfRule type="cellIs" dxfId="214" priority="92" operator="greaterThan">
      <formula>50</formula>
    </cfRule>
  </conditionalFormatting>
  <conditionalFormatting sqref="H435:K435">
    <cfRule type="cellIs" dxfId="213" priority="4" operator="lessThan">
      <formula>0</formula>
    </cfRule>
  </conditionalFormatting>
  <conditionalFormatting sqref="H55:L55">
    <cfRule type="cellIs" dxfId="212" priority="193" operator="greaterThan">
      <formula>0</formula>
    </cfRule>
  </conditionalFormatting>
  <conditionalFormatting sqref="I436:K436">
    <cfRule type="cellIs" dxfId="211" priority="3" operator="lessThan">
      <formula>50</formula>
    </cfRule>
  </conditionalFormatting>
  <conditionalFormatting sqref="I329:L329">
    <cfRule type="cellIs" dxfId="210" priority="105" operator="lessThan">
      <formula>0</formula>
    </cfRule>
    <cfRule type="cellIs" dxfId="209" priority="98" operator="greaterThan">
      <formula>0</formula>
    </cfRule>
  </conditionalFormatting>
  <conditionalFormatting sqref="I330:L330">
    <cfRule type="cellIs" dxfId="208" priority="106" operator="lessThan">
      <formula>50</formula>
    </cfRule>
    <cfRule type="cellIs" dxfId="207" priority="104" operator="greaterThan">
      <formula>50</formula>
    </cfRule>
    <cfRule type="cellIs" dxfId="206" priority="97" operator="greaterThan">
      <formula>50</formula>
    </cfRule>
  </conditionalFormatting>
  <conditionalFormatting sqref="I334:L334">
    <cfRule type="cellIs" dxfId="205" priority="95" operator="greaterThan">
      <formula>0</formula>
    </cfRule>
    <cfRule type="cellIs" dxfId="204" priority="113" operator="lessThan">
      <formula>1</formula>
    </cfRule>
    <cfRule type="cellIs" dxfId="203" priority="112" operator="greaterThan">
      <formula>0</formula>
    </cfRule>
  </conditionalFormatting>
  <conditionalFormatting sqref="I335:L335">
    <cfRule type="cellIs" dxfId="202" priority="93" operator="greaterThan">
      <formula>50</formula>
    </cfRule>
  </conditionalFormatting>
  <conditionalFormatting sqref="K445">
    <cfRule type="cellIs" dxfId="201" priority="11" operator="greaterThan">
      <formula>50</formula>
    </cfRule>
    <cfRule type="cellIs" dxfId="200" priority="10" operator="lessThan">
      <formula>50</formula>
    </cfRule>
    <cfRule type="cellIs" dxfId="199" priority="9" operator="lessThan">
      <formula>50</formula>
    </cfRule>
  </conditionalFormatting>
  <hyperlinks>
    <hyperlink ref="M1" location="INDICADORES!A1" display="INDICADORES" xr:uid="{FEF69FFC-9568-4C00-9963-FE609203B6BF}"/>
    <hyperlink ref="O1" location="DISTRITOS!A1" display="DISTRITOS" xr:uid="{15E01C3B-CCE8-40EA-815D-1D91585F9446}"/>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F065A-425D-4247-96ED-C8AB082228C2}">
  <sheetPr codeName="Hoja22">
    <tabColor theme="8" tint="-0.249977111117893"/>
  </sheetPr>
  <dimension ref="A1:O446"/>
  <sheetViews>
    <sheetView showGridLines="0" topLeftCell="C1" zoomScale="80" zoomScaleNormal="80" workbookViewId="0">
      <pane ySplit="2" topLeftCell="A426" activePane="bottomLeft" state="frozen"/>
      <selection activeCell="C3" activeCellId="1" sqref="K60 C3:K3"/>
      <selection pane="bottomLeft" activeCell="L433" sqref="L433"/>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5" style="11" customWidth="1"/>
    <col min="14" max="14" width="7.7109375" style="11" customWidth="1"/>
    <col min="15" max="15" width="14.140625" style="11" customWidth="1"/>
    <col min="16" max="16384" width="11.42578125" style="11"/>
  </cols>
  <sheetData>
    <row r="1" spans="1:15" ht="30" customHeight="1" thickTop="1" thickBot="1" x14ac:dyDescent="0.3">
      <c r="A1" s="1020" t="s">
        <v>601</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c r="M2" s="482"/>
    </row>
    <row r="3" spans="1:15" s="64" customFormat="1" x14ac:dyDescent="0.25">
      <c r="A3" s="1878" t="s">
        <v>26</v>
      </c>
      <c r="B3" s="1194" t="s">
        <v>568</v>
      </c>
      <c r="C3" s="1211" t="s">
        <v>251</v>
      </c>
      <c r="D3" s="1211"/>
      <c r="E3" s="919">
        <v>63881</v>
      </c>
      <c r="F3" s="919">
        <v>70726</v>
      </c>
      <c r="G3" s="919">
        <v>69363</v>
      </c>
      <c r="H3" s="919">
        <v>74048</v>
      </c>
      <c r="I3" s="919">
        <v>75485</v>
      </c>
      <c r="J3" s="919">
        <v>79328</v>
      </c>
      <c r="K3" s="81">
        <v>83804</v>
      </c>
      <c r="L3" s="82">
        <v>89772</v>
      </c>
    </row>
    <row r="4" spans="1:15" x14ac:dyDescent="0.25">
      <c r="A4" s="1817"/>
      <c r="B4" s="1195"/>
      <c r="C4" s="1213" t="s">
        <v>257</v>
      </c>
      <c r="D4" s="1213"/>
      <c r="E4" s="181">
        <v>31709</v>
      </c>
      <c r="F4" s="181">
        <v>35115</v>
      </c>
      <c r="G4" s="181">
        <v>33730</v>
      </c>
      <c r="H4" s="181">
        <v>35795</v>
      </c>
      <c r="I4" s="181">
        <v>36497</v>
      </c>
      <c r="J4" s="181">
        <v>38437</v>
      </c>
      <c r="K4" s="80">
        <v>40580</v>
      </c>
      <c r="L4" s="83">
        <v>43490</v>
      </c>
    </row>
    <row r="5" spans="1:15" x14ac:dyDescent="0.25">
      <c r="A5" s="1817"/>
      <c r="B5" s="1195"/>
      <c r="C5" s="1213" t="s">
        <v>263</v>
      </c>
      <c r="D5" s="1213"/>
      <c r="E5" s="181">
        <v>32172</v>
      </c>
      <c r="F5" s="181">
        <v>35611</v>
      </c>
      <c r="G5" s="181">
        <v>35633</v>
      </c>
      <c r="H5" s="181">
        <v>38253</v>
      </c>
      <c r="I5" s="181">
        <v>38988</v>
      </c>
      <c r="J5" s="181">
        <v>40891</v>
      </c>
      <c r="K5" s="80">
        <v>43224</v>
      </c>
      <c r="L5" s="83">
        <v>46282</v>
      </c>
    </row>
    <row r="6" spans="1:15" x14ac:dyDescent="0.25">
      <c r="A6" s="1817"/>
      <c r="B6" s="1196"/>
      <c r="C6" s="1215" t="s">
        <v>269</v>
      </c>
      <c r="D6" s="1215"/>
      <c r="E6" s="363">
        <f>+E5-E4</f>
        <v>463</v>
      </c>
      <c r="F6" s="363">
        <f t="shared" ref="F6:L6" si="0">+F5-F4</f>
        <v>496</v>
      </c>
      <c r="G6" s="363">
        <f t="shared" si="0"/>
        <v>1903</v>
      </c>
      <c r="H6" s="363">
        <f t="shared" si="0"/>
        <v>2458</v>
      </c>
      <c r="I6" s="363">
        <f t="shared" si="0"/>
        <v>2491</v>
      </c>
      <c r="J6" s="363">
        <f t="shared" si="0"/>
        <v>2454</v>
      </c>
      <c r="K6" s="363">
        <f t="shared" si="0"/>
        <v>2644</v>
      </c>
      <c r="L6" s="365">
        <f t="shared" si="0"/>
        <v>2792</v>
      </c>
    </row>
    <row r="7" spans="1:15" ht="16.5" thickBot="1" x14ac:dyDescent="0.3">
      <c r="A7" s="1817"/>
      <c r="B7" s="1197"/>
      <c r="C7" s="1126" t="s">
        <v>270</v>
      </c>
      <c r="D7" s="1126"/>
      <c r="E7" s="366">
        <f>E5/E3*100</f>
        <v>50.362392573691707</v>
      </c>
      <c r="F7" s="366">
        <f t="shared" ref="F7:L7" si="1">F5/F3*100</f>
        <v>50.350648983400724</v>
      </c>
      <c r="G7" s="366">
        <f t="shared" si="1"/>
        <v>51.371768810460907</v>
      </c>
      <c r="H7" s="366">
        <f t="shared" si="1"/>
        <v>51.659734226447704</v>
      </c>
      <c r="I7" s="366">
        <f t="shared" si="1"/>
        <v>51.649996688083718</v>
      </c>
      <c r="J7" s="366">
        <f t="shared" si="1"/>
        <v>51.546742638160545</v>
      </c>
      <c r="K7" s="366">
        <f t="shared" si="1"/>
        <v>51.577490334590237</v>
      </c>
      <c r="L7" s="367">
        <f t="shared" si="1"/>
        <v>51.555050572561598</v>
      </c>
    </row>
    <row r="8" spans="1:15" x14ac:dyDescent="0.25">
      <c r="A8" s="1817"/>
      <c r="B8" s="1787" t="s">
        <v>569</v>
      </c>
      <c r="C8" s="1300" t="s">
        <v>257</v>
      </c>
      <c r="D8" s="168" t="s">
        <v>272</v>
      </c>
      <c r="E8" s="919">
        <v>31703</v>
      </c>
      <c r="F8" s="919">
        <v>35115</v>
      </c>
      <c r="G8" s="919">
        <v>33730</v>
      </c>
      <c r="H8" s="919">
        <v>35795</v>
      </c>
      <c r="I8" s="919">
        <v>36497</v>
      </c>
      <c r="J8" s="919">
        <v>38437</v>
      </c>
      <c r="K8" s="920">
        <v>40580</v>
      </c>
      <c r="L8" s="921">
        <v>43490</v>
      </c>
    </row>
    <row r="9" spans="1:15" x14ac:dyDescent="0.25">
      <c r="A9" s="1817"/>
      <c r="B9" s="1788"/>
      <c r="C9" s="1301"/>
      <c r="D9" s="164" t="s">
        <v>275</v>
      </c>
      <c r="E9" s="181">
        <v>5854</v>
      </c>
      <c r="F9" s="181">
        <v>7062</v>
      </c>
      <c r="G9" s="181">
        <v>7194</v>
      </c>
      <c r="H9" s="181">
        <v>6783</v>
      </c>
      <c r="I9" s="181">
        <v>6713</v>
      </c>
      <c r="J9" s="181">
        <v>6945</v>
      </c>
      <c r="K9" s="199">
        <v>7161</v>
      </c>
      <c r="L9" s="922">
        <v>6758</v>
      </c>
    </row>
    <row r="10" spans="1:15" x14ac:dyDescent="0.25">
      <c r="A10" s="1817"/>
      <c r="B10" s="1788"/>
      <c r="C10" s="1301"/>
      <c r="D10" s="164" t="s">
        <v>282</v>
      </c>
      <c r="E10" s="181">
        <v>22410</v>
      </c>
      <c r="F10" s="181">
        <v>24049</v>
      </c>
      <c r="G10" s="181">
        <v>22295</v>
      </c>
      <c r="H10" s="181">
        <v>24530</v>
      </c>
      <c r="I10" s="181">
        <v>25332</v>
      </c>
      <c r="J10" s="181">
        <v>26982</v>
      </c>
      <c r="K10" s="199">
        <v>28738</v>
      </c>
      <c r="L10" s="922">
        <v>31794</v>
      </c>
    </row>
    <row r="11" spans="1:15" x14ac:dyDescent="0.25">
      <c r="A11" s="1817"/>
      <c r="B11" s="1788"/>
      <c r="C11" s="1301"/>
      <c r="D11" s="164" t="s">
        <v>288</v>
      </c>
      <c r="E11" s="181">
        <v>3438</v>
      </c>
      <c r="F11" s="181">
        <v>4003</v>
      </c>
      <c r="G11" s="181">
        <v>4241</v>
      </c>
      <c r="H11" s="181">
        <v>4482</v>
      </c>
      <c r="I11" s="181">
        <v>4452</v>
      </c>
      <c r="J11" s="181">
        <v>4510</v>
      </c>
      <c r="K11" s="199">
        <v>4681</v>
      </c>
      <c r="L11" s="922">
        <v>4938</v>
      </c>
    </row>
    <row r="12" spans="1:15" x14ac:dyDescent="0.25">
      <c r="A12" s="1817"/>
      <c r="B12" s="1788"/>
      <c r="C12" s="1301"/>
      <c r="D12" s="164" t="s">
        <v>295</v>
      </c>
      <c r="E12" s="96">
        <v>444</v>
      </c>
      <c r="F12" s="96">
        <v>688</v>
      </c>
      <c r="G12" s="96">
        <v>1132</v>
      </c>
      <c r="H12" s="96">
        <v>1464</v>
      </c>
      <c r="I12" s="96">
        <v>1559</v>
      </c>
      <c r="J12" s="96">
        <v>1565</v>
      </c>
      <c r="K12" s="200">
        <v>1602</v>
      </c>
      <c r="L12" s="922">
        <v>1623</v>
      </c>
    </row>
    <row r="13" spans="1:15" ht="16.5" thickBot="1" x14ac:dyDescent="0.3">
      <c r="A13" s="1817"/>
      <c r="B13" s="1788"/>
      <c r="C13" s="1302"/>
      <c r="D13" s="169" t="s">
        <v>296</v>
      </c>
      <c r="E13" s="33">
        <v>1</v>
      </c>
      <c r="F13" s="33">
        <v>1</v>
      </c>
      <c r="G13" s="33">
        <v>0</v>
      </c>
      <c r="H13" s="33">
        <v>0</v>
      </c>
      <c r="I13" s="33">
        <v>0</v>
      </c>
      <c r="J13" s="33">
        <v>0</v>
      </c>
      <c r="K13" s="22">
        <v>0</v>
      </c>
      <c r="L13" s="923">
        <v>0</v>
      </c>
    </row>
    <row r="14" spans="1:15" x14ac:dyDescent="0.25">
      <c r="A14" s="1817"/>
      <c r="B14" s="1788"/>
      <c r="C14" s="1300" t="s">
        <v>263</v>
      </c>
      <c r="D14" s="168" t="s">
        <v>272</v>
      </c>
      <c r="E14" s="919">
        <v>32164</v>
      </c>
      <c r="F14" s="919">
        <v>35611</v>
      </c>
      <c r="G14" s="919">
        <v>35633</v>
      </c>
      <c r="H14" s="919">
        <v>38253</v>
      </c>
      <c r="I14" s="919">
        <v>38988</v>
      </c>
      <c r="J14" s="919">
        <v>40891</v>
      </c>
      <c r="K14" s="920">
        <v>43224</v>
      </c>
      <c r="L14" s="921">
        <v>46282</v>
      </c>
    </row>
    <row r="15" spans="1:15" x14ac:dyDescent="0.25">
      <c r="A15" s="1817"/>
      <c r="B15" s="1788"/>
      <c r="C15" s="1301"/>
      <c r="D15" s="164" t="s">
        <v>275</v>
      </c>
      <c r="E15" s="181">
        <v>5570</v>
      </c>
      <c r="F15" s="181">
        <v>6714</v>
      </c>
      <c r="G15" s="181">
        <v>6891</v>
      </c>
      <c r="H15" s="181">
        <v>6541</v>
      </c>
      <c r="I15" s="181">
        <v>6417</v>
      </c>
      <c r="J15" s="181">
        <v>6550</v>
      </c>
      <c r="K15" s="199">
        <v>6767</v>
      </c>
      <c r="L15" s="922">
        <v>6490</v>
      </c>
    </row>
    <row r="16" spans="1:15" x14ac:dyDescent="0.25">
      <c r="A16" s="1817"/>
      <c r="B16" s="1788"/>
      <c r="C16" s="1301"/>
      <c r="D16" s="164" t="s">
        <v>282</v>
      </c>
      <c r="E16" s="181">
        <v>22398</v>
      </c>
      <c r="F16" s="181">
        <v>23808</v>
      </c>
      <c r="G16" s="181">
        <v>23032</v>
      </c>
      <c r="H16" s="181">
        <v>25555</v>
      </c>
      <c r="I16" s="181">
        <v>26394</v>
      </c>
      <c r="J16" s="181">
        <v>28046</v>
      </c>
      <c r="K16" s="199">
        <v>29887</v>
      </c>
      <c r="L16" s="922">
        <v>32876</v>
      </c>
    </row>
    <row r="17" spans="1:13" x14ac:dyDescent="0.25">
      <c r="A17" s="1817"/>
      <c r="B17" s="1788"/>
      <c r="C17" s="1301"/>
      <c r="D17" s="164" t="s">
        <v>288</v>
      </c>
      <c r="E17" s="181">
        <v>4196</v>
      </c>
      <c r="F17" s="181">
        <v>5089</v>
      </c>
      <c r="G17" s="181">
        <v>5710</v>
      </c>
      <c r="H17" s="181">
        <v>6157</v>
      </c>
      <c r="I17" s="181">
        <v>6177</v>
      </c>
      <c r="J17" s="181">
        <v>6295</v>
      </c>
      <c r="K17" s="199">
        <v>6570</v>
      </c>
      <c r="L17" s="922">
        <v>6916</v>
      </c>
    </row>
    <row r="18" spans="1:13" x14ac:dyDescent="0.25">
      <c r="A18" s="1817"/>
      <c r="B18" s="1788"/>
      <c r="C18" s="1301"/>
      <c r="D18" s="164" t="s">
        <v>295</v>
      </c>
      <c r="E18" s="96">
        <v>884</v>
      </c>
      <c r="F18" s="96">
        <v>1173</v>
      </c>
      <c r="G18" s="96">
        <v>1664</v>
      </c>
      <c r="H18" s="96">
        <v>2130</v>
      </c>
      <c r="I18" s="96">
        <v>2270</v>
      </c>
      <c r="J18" s="96">
        <v>2313</v>
      </c>
      <c r="K18" s="200">
        <v>2420</v>
      </c>
      <c r="L18" s="922">
        <v>2563</v>
      </c>
    </row>
    <row r="19" spans="1:13" ht="16.5" thickBot="1" x14ac:dyDescent="0.3">
      <c r="A19" s="1817"/>
      <c r="B19" s="1788"/>
      <c r="C19" s="1302"/>
      <c r="D19" s="169" t="s">
        <v>296</v>
      </c>
      <c r="E19" s="33">
        <v>0</v>
      </c>
      <c r="F19" s="33">
        <v>0</v>
      </c>
      <c r="G19" s="33">
        <v>0</v>
      </c>
      <c r="H19" s="33">
        <v>0</v>
      </c>
      <c r="I19" s="33">
        <v>0</v>
      </c>
      <c r="J19" s="33">
        <v>0</v>
      </c>
      <c r="K19" s="22">
        <v>0</v>
      </c>
      <c r="L19" s="923">
        <v>0</v>
      </c>
    </row>
    <row r="20" spans="1:13" x14ac:dyDescent="0.25">
      <c r="A20" s="1817"/>
      <c r="B20" s="1788"/>
      <c r="C20" s="1306" t="s">
        <v>269</v>
      </c>
      <c r="D20" s="535" t="s">
        <v>272</v>
      </c>
      <c r="E20" s="375">
        <f>E14-E8</f>
        <v>461</v>
      </c>
      <c r="F20" s="375">
        <f t="shared" ref="F20:L20" si="2">F14-F8</f>
        <v>496</v>
      </c>
      <c r="G20" s="375">
        <f t="shared" si="2"/>
        <v>1903</v>
      </c>
      <c r="H20" s="375">
        <f t="shared" si="2"/>
        <v>2458</v>
      </c>
      <c r="I20" s="375">
        <f t="shared" si="2"/>
        <v>2491</v>
      </c>
      <c r="J20" s="375">
        <f t="shared" si="2"/>
        <v>2454</v>
      </c>
      <c r="K20" s="376">
        <f t="shared" si="2"/>
        <v>2644</v>
      </c>
      <c r="L20" s="925">
        <f t="shared" si="2"/>
        <v>2792</v>
      </c>
    </row>
    <row r="21" spans="1:13" x14ac:dyDescent="0.25">
      <c r="A21" s="1817"/>
      <c r="B21" s="1788"/>
      <c r="C21" s="1307"/>
      <c r="D21" s="527" t="s">
        <v>275</v>
      </c>
      <c r="E21" s="157">
        <f t="shared" ref="E21:L24" si="3">E15-E9</f>
        <v>-284</v>
      </c>
      <c r="F21" s="157">
        <f t="shared" si="3"/>
        <v>-348</v>
      </c>
      <c r="G21" s="157">
        <f t="shared" si="3"/>
        <v>-303</v>
      </c>
      <c r="H21" s="157">
        <f t="shared" si="3"/>
        <v>-242</v>
      </c>
      <c r="I21" s="157">
        <f t="shared" si="3"/>
        <v>-296</v>
      </c>
      <c r="J21" s="157">
        <f t="shared" si="3"/>
        <v>-395</v>
      </c>
      <c r="K21" s="160">
        <f t="shared" si="3"/>
        <v>-394</v>
      </c>
      <c r="L21" s="926">
        <f t="shared" si="3"/>
        <v>-268</v>
      </c>
    </row>
    <row r="22" spans="1:13" x14ac:dyDescent="0.25">
      <c r="A22" s="1817"/>
      <c r="B22" s="1788"/>
      <c r="C22" s="1307"/>
      <c r="D22" s="527" t="s">
        <v>282</v>
      </c>
      <c r="E22" s="157">
        <f t="shared" si="3"/>
        <v>-12</v>
      </c>
      <c r="F22" s="157">
        <f t="shared" si="3"/>
        <v>-241</v>
      </c>
      <c r="G22" s="363">
        <f t="shared" si="3"/>
        <v>737</v>
      </c>
      <c r="H22" s="363">
        <f t="shared" si="3"/>
        <v>1025</v>
      </c>
      <c r="I22" s="363">
        <f t="shared" si="3"/>
        <v>1062</v>
      </c>
      <c r="J22" s="363">
        <f t="shared" si="3"/>
        <v>1064</v>
      </c>
      <c r="K22" s="365">
        <f t="shared" ref="K22:L22" si="4">K16-K10</f>
        <v>1149</v>
      </c>
      <c r="L22" s="927">
        <f t="shared" si="4"/>
        <v>1082</v>
      </c>
    </row>
    <row r="23" spans="1:13" x14ac:dyDescent="0.25">
      <c r="A23" s="1817"/>
      <c r="B23" s="1788"/>
      <c r="C23" s="1307"/>
      <c r="D23" s="527" t="s">
        <v>288</v>
      </c>
      <c r="E23" s="363">
        <f t="shared" si="3"/>
        <v>758</v>
      </c>
      <c r="F23" s="363">
        <f t="shared" si="3"/>
        <v>1086</v>
      </c>
      <c r="G23" s="363">
        <f t="shared" si="3"/>
        <v>1469</v>
      </c>
      <c r="H23" s="363">
        <f t="shared" si="3"/>
        <v>1675</v>
      </c>
      <c r="I23" s="363">
        <f t="shared" si="3"/>
        <v>1725</v>
      </c>
      <c r="J23" s="363">
        <f t="shared" si="3"/>
        <v>1785</v>
      </c>
      <c r="K23" s="365">
        <f t="shared" ref="K23:L23" si="5">K17-K11</f>
        <v>1889</v>
      </c>
      <c r="L23" s="927">
        <f t="shared" si="5"/>
        <v>1978</v>
      </c>
    </row>
    <row r="24" spans="1:13" ht="16.5" thickBot="1" x14ac:dyDescent="0.3">
      <c r="A24" s="1817"/>
      <c r="B24" s="1788"/>
      <c r="C24" s="1308"/>
      <c r="D24" s="538" t="s">
        <v>295</v>
      </c>
      <c r="E24" s="382">
        <f t="shared" si="3"/>
        <v>440</v>
      </c>
      <c r="F24" s="382">
        <f t="shared" si="3"/>
        <v>485</v>
      </c>
      <c r="G24" s="382">
        <f t="shared" si="3"/>
        <v>532</v>
      </c>
      <c r="H24" s="382">
        <f t="shared" si="3"/>
        <v>666</v>
      </c>
      <c r="I24" s="382">
        <f t="shared" si="3"/>
        <v>711</v>
      </c>
      <c r="J24" s="382">
        <f t="shared" si="3"/>
        <v>748</v>
      </c>
      <c r="K24" s="383">
        <f t="shared" ref="K24:L24" si="6">K18-K12</f>
        <v>818</v>
      </c>
      <c r="L24" s="928">
        <f t="shared" si="6"/>
        <v>940</v>
      </c>
    </row>
    <row r="25" spans="1:13" ht="15" customHeight="1" x14ac:dyDescent="0.25">
      <c r="A25" s="1817"/>
      <c r="B25" s="1195"/>
      <c r="C25" s="1228" t="s">
        <v>270</v>
      </c>
      <c r="D25" s="757" t="s">
        <v>272</v>
      </c>
      <c r="E25" s="758">
        <f>E14/E3*100</f>
        <v>50.349869288207763</v>
      </c>
      <c r="F25" s="758">
        <f t="shared" ref="F25:L25" si="7">F14/F3*100</f>
        <v>50.350648983400724</v>
      </c>
      <c r="G25" s="758">
        <f t="shared" si="7"/>
        <v>51.371768810460907</v>
      </c>
      <c r="H25" s="758">
        <f t="shared" si="7"/>
        <v>51.659734226447704</v>
      </c>
      <c r="I25" s="758">
        <f t="shared" si="7"/>
        <v>51.649996688083718</v>
      </c>
      <c r="J25" s="758">
        <f t="shared" si="7"/>
        <v>51.546742638160545</v>
      </c>
      <c r="K25" s="841">
        <f t="shared" si="7"/>
        <v>51.577490334590237</v>
      </c>
      <c r="L25" s="924">
        <f t="shared" si="7"/>
        <v>51.555050572561598</v>
      </c>
    </row>
    <row r="26" spans="1:13" x14ac:dyDescent="0.25">
      <c r="A26" s="1817"/>
      <c r="B26" s="1195"/>
      <c r="C26" s="1309"/>
      <c r="D26" s="527" t="s">
        <v>275</v>
      </c>
      <c r="E26" s="158">
        <f>(E15/(E15+E9))*100</f>
        <v>48.75700280112045</v>
      </c>
      <c r="F26" s="158">
        <f t="shared" ref="F26:L27" si="8">(F15/(F15+F9))*100</f>
        <v>48.736933797909408</v>
      </c>
      <c r="G26" s="158">
        <f t="shared" si="8"/>
        <v>48.924387646432379</v>
      </c>
      <c r="H26" s="158">
        <f t="shared" si="8"/>
        <v>49.091864305013509</v>
      </c>
      <c r="I26" s="158">
        <f t="shared" si="8"/>
        <v>48.872810357958876</v>
      </c>
      <c r="J26" s="158">
        <f t="shared" si="8"/>
        <v>48.536494998147461</v>
      </c>
      <c r="K26" s="330">
        <f t="shared" si="8"/>
        <v>48.585582998276855</v>
      </c>
      <c r="L26" s="395">
        <f t="shared" si="8"/>
        <v>48.988526570048307</v>
      </c>
    </row>
    <row r="27" spans="1:13" x14ac:dyDescent="0.25">
      <c r="A27" s="1817"/>
      <c r="B27" s="1195"/>
      <c r="C27" s="1309"/>
      <c r="D27" s="527" t="s">
        <v>282</v>
      </c>
      <c r="E27" s="158">
        <f>(E16/(E16+E10))*100</f>
        <v>49.986609534011784</v>
      </c>
      <c r="F27" s="158">
        <f t="shared" si="8"/>
        <v>49.748208203606573</v>
      </c>
      <c r="G27" s="364">
        <f t="shared" si="8"/>
        <v>50.812981225318246</v>
      </c>
      <c r="H27" s="364">
        <f t="shared" si="8"/>
        <v>51.023260457222719</v>
      </c>
      <c r="I27" s="364">
        <f t="shared" si="8"/>
        <v>51.02656304373042</v>
      </c>
      <c r="J27" s="364">
        <f t="shared" si="8"/>
        <v>50.966780548084614</v>
      </c>
      <c r="K27" s="386">
        <f t="shared" si="8"/>
        <v>50.979957356076753</v>
      </c>
      <c r="L27" s="396">
        <f t="shared" si="8"/>
        <v>50.836554816762025</v>
      </c>
    </row>
    <row r="28" spans="1:13" x14ac:dyDescent="0.25">
      <c r="A28" s="1817"/>
      <c r="B28" s="1195"/>
      <c r="C28" s="1309"/>
      <c r="D28" s="527" t="s">
        <v>288</v>
      </c>
      <c r="E28" s="364">
        <f t="shared" ref="E28:L29" si="9">(E17/(E17+E11))*100</f>
        <v>54.964631909876871</v>
      </c>
      <c r="F28" s="364">
        <f t="shared" si="9"/>
        <v>55.972283326000884</v>
      </c>
      <c r="G28" s="364">
        <f t="shared" si="9"/>
        <v>57.381167721837002</v>
      </c>
      <c r="H28" s="364">
        <f t="shared" si="9"/>
        <v>57.871980449290348</v>
      </c>
      <c r="I28" s="364">
        <f t="shared" si="9"/>
        <v>58.114592153542198</v>
      </c>
      <c r="J28" s="364">
        <f t="shared" si="9"/>
        <v>58.260064784821843</v>
      </c>
      <c r="K28" s="386">
        <f t="shared" si="9"/>
        <v>58.394809350279978</v>
      </c>
      <c r="L28" s="396">
        <f t="shared" si="9"/>
        <v>58.343175299476968</v>
      </c>
    </row>
    <row r="29" spans="1:13" ht="16.5" thickBot="1" x14ac:dyDescent="0.3">
      <c r="A29" s="1817"/>
      <c r="B29" s="1595"/>
      <c r="C29" s="1416"/>
      <c r="D29" s="538" t="s">
        <v>295</v>
      </c>
      <c r="E29" s="366">
        <f t="shared" si="9"/>
        <v>66.566265060240966</v>
      </c>
      <c r="F29" s="366">
        <f t="shared" si="9"/>
        <v>63.030628694250403</v>
      </c>
      <c r="G29" s="366">
        <f t="shared" si="9"/>
        <v>59.513590844062946</v>
      </c>
      <c r="H29" s="366">
        <f t="shared" si="9"/>
        <v>59.265442404006677</v>
      </c>
      <c r="I29" s="366">
        <f t="shared" si="9"/>
        <v>59.284408461739361</v>
      </c>
      <c r="J29" s="366">
        <f t="shared" si="9"/>
        <v>59.644146467251161</v>
      </c>
      <c r="K29" s="367">
        <f t="shared" si="9"/>
        <v>60.16907011437096</v>
      </c>
      <c r="L29" s="396">
        <f t="shared" si="9"/>
        <v>61.227902532250354</v>
      </c>
    </row>
    <row r="30" spans="1:13" ht="17.25" thickTop="1" thickBot="1" x14ac:dyDescent="0.3">
      <c r="A30" s="1783"/>
      <c r="B30" s="823" t="s">
        <v>249</v>
      </c>
      <c r="C30" s="1675"/>
      <c r="D30" s="1675"/>
      <c r="E30" s="112">
        <v>2005</v>
      </c>
      <c r="F30" s="112">
        <v>2010</v>
      </c>
      <c r="G30" s="112">
        <v>2015</v>
      </c>
      <c r="H30" s="112">
        <v>2020</v>
      </c>
      <c r="I30" s="112">
        <v>2021</v>
      </c>
      <c r="J30" s="112">
        <v>2022</v>
      </c>
      <c r="K30" s="112">
        <v>2023</v>
      </c>
      <c r="L30" s="616">
        <v>2024</v>
      </c>
      <c r="M30" s="482"/>
    </row>
    <row r="31" spans="1:13" x14ac:dyDescent="0.25">
      <c r="A31" s="1817"/>
      <c r="B31" s="1194" t="s">
        <v>570</v>
      </c>
      <c r="C31" s="1211" t="s">
        <v>272</v>
      </c>
      <c r="D31" s="1541"/>
      <c r="E31" s="919">
        <v>7600</v>
      </c>
      <c r="F31" s="919">
        <v>11926</v>
      </c>
      <c r="G31" s="919">
        <v>7757</v>
      </c>
      <c r="H31" s="919">
        <v>9593</v>
      </c>
      <c r="I31" s="919">
        <v>10064</v>
      </c>
      <c r="J31" s="919">
        <v>10568</v>
      </c>
      <c r="K31" s="919">
        <v>12055</v>
      </c>
      <c r="L31" s="920">
        <f>L32+L33</f>
        <v>14539</v>
      </c>
    </row>
    <row r="32" spans="1:13" x14ac:dyDescent="0.25">
      <c r="A32" s="1817"/>
      <c r="B32" s="1195"/>
      <c r="C32" s="1124" t="s">
        <v>257</v>
      </c>
      <c r="D32" s="1124"/>
      <c r="E32" s="181">
        <v>3821</v>
      </c>
      <c r="F32" s="181">
        <v>6164</v>
      </c>
      <c r="G32" s="181">
        <v>3803</v>
      </c>
      <c r="H32" s="181">
        <v>4637</v>
      </c>
      <c r="I32" s="181">
        <v>4899</v>
      </c>
      <c r="J32" s="181">
        <v>5127</v>
      </c>
      <c r="K32" s="181">
        <v>5780</v>
      </c>
      <c r="L32" s="199">
        <v>7010</v>
      </c>
    </row>
    <row r="33" spans="1:12" x14ac:dyDescent="0.25">
      <c r="A33" s="1817"/>
      <c r="B33" s="1195"/>
      <c r="C33" s="1124" t="s">
        <v>263</v>
      </c>
      <c r="D33" s="1124"/>
      <c r="E33" s="181">
        <v>3779</v>
      </c>
      <c r="F33" s="181">
        <v>5762</v>
      </c>
      <c r="G33" s="181">
        <v>3954</v>
      </c>
      <c r="H33" s="181">
        <v>4956</v>
      </c>
      <c r="I33" s="181">
        <v>5165</v>
      </c>
      <c r="J33" s="181">
        <v>5441</v>
      </c>
      <c r="K33" s="181">
        <v>6275</v>
      </c>
      <c r="L33" s="199">
        <v>7529</v>
      </c>
    </row>
    <row r="34" spans="1:12" x14ac:dyDescent="0.25">
      <c r="A34" s="1817"/>
      <c r="B34" s="1195"/>
      <c r="C34" s="1112" t="s">
        <v>269</v>
      </c>
      <c r="D34" s="1112"/>
      <c r="E34" s="157">
        <f>+E33-E32</f>
        <v>-42</v>
      </c>
      <c r="F34" s="157">
        <f t="shared" ref="F34:L34" si="10">+F33-F32</f>
        <v>-402</v>
      </c>
      <c r="G34" s="157">
        <f t="shared" si="10"/>
        <v>151</v>
      </c>
      <c r="H34" s="157">
        <f t="shared" si="10"/>
        <v>319</v>
      </c>
      <c r="I34" s="157">
        <f t="shared" si="10"/>
        <v>266</v>
      </c>
      <c r="J34" s="157">
        <f t="shared" si="10"/>
        <v>314</v>
      </c>
      <c r="K34" s="157">
        <f t="shared" si="10"/>
        <v>495</v>
      </c>
      <c r="L34" s="160">
        <f t="shared" si="10"/>
        <v>519</v>
      </c>
    </row>
    <row r="35" spans="1:12" ht="16.5" thickBot="1" x14ac:dyDescent="0.3">
      <c r="A35" s="1817"/>
      <c r="B35" s="1595"/>
      <c r="C35" s="1126" t="s">
        <v>270</v>
      </c>
      <c r="D35" s="1126"/>
      <c r="E35" s="161">
        <f>E33/E31*100</f>
        <v>49.723684210526315</v>
      </c>
      <c r="F35" s="161">
        <f t="shared" ref="F35:L35" si="11">F33/F31*100</f>
        <v>48.314606741573037</v>
      </c>
      <c r="G35" s="366">
        <f t="shared" si="11"/>
        <v>50.97331442568003</v>
      </c>
      <c r="H35" s="366">
        <f t="shared" si="11"/>
        <v>51.662670697383504</v>
      </c>
      <c r="I35" s="366">
        <f t="shared" si="11"/>
        <v>51.321542130365657</v>
      </c>
      <c r="J35" s="366">
        <f t="shared" si="11"/>
        <v>51.485616956850869</v>
      </c>
      <c r="K35" s="366">
        <f t="shared" si="11"/>
        <v>52.053090004147663</v>
      </c>
      <c r="L35" s="367">
        <f t="shared" si="11"/>
        <v>51.784854529197332</v>
      </c>
    </row>
    <row r="36" spans="1:12" ht="15" customHeight="1" x14ac:dyDescent="0.25">
      <c r="A36" s="1817"/>
      <c r="B36" s="1194" t="s">
        <v>342</v>
      </c>
      <c r="C36" s="1147" t="s">
        <v>343</v>
      </c>
      <c r="D36" s="1147"/>
      <c r="E36" s="195">
        <f>E37+E38</f>
        <v>1264</v>
      </c>
      <c r="F36" s="195">
        <f t="shared" ref="F36:L36" si="12">F37+F38</f>
        <v>1617</v>
      </c>
      <c r="G36" s="195">
        <f t="shared" si="12"/>
        <v>2025</v>
      </c>
      <c r="H36" s="195">
        <f t="shared" si="12"/>
        <v>2395</v>
      </c>
      <c r="I36" s="195">
        <f t="shared" si="12"/>
        <v>2460</v>
      </c>
      <c r="J36" s="195">
        <f t="shared" si="12"/>
        <v>2514</v>
      </c>
      <c r="K36" s="195">
        <f t="shared" si="12"/>
        <v>2624</v>
      </c>
      <c r="L36" s="196">
        <f t="shared" si="12"/>
        <v>2788</v>
      </c>
    </row>
    <row r="37" spans="1:12" x14ac:dyDescent="0.25">
      <c r="A37" s="1817"/>
      <c r="B37" s="1195"/>
      <c r="C37" s="1124" t="s">
        <v>344</v>
      </c>
      <c r="D37" s="1124"/>
      <c r="E37" s="96">
        <v>282</v>
      </c>
      <c r="F37" s="96">
        <v>401</v>
      </c>
      <c r="G37" s="80">
        <v>498</v>
      </c>
      <c r="H37" s="96">
        <v>611</v>
      </c>
      <c r="I37" s="96">
        <v>618</v>
      </c>
      <c r="J37" s="96">
        <v>631</v>
      </c>
      <c r="K37" s="96">
        <v>656</v>
      </c>
      <c r="L37" s="200">
        <v>719</v>
      </c>
    </row>
    <row r="38" spans="1:12" x14ac:dyDescent="0.25">
      <c r="A38" s="1817"/>
      <c r="B38" s="1195"/>
      <c r="C38" s="1124" t="s">
        <v>345</v>
      </c>
      <c r="D38" s="1124"/>
      <c r="E38" s="96">
        <v>982</v>
      </c>
      <c r="F38" s="96">
        <v>1216</v>
      </c>
      <c r="G38" s="96">
        <v>1527</v>
      </c>
      <c r="H38" s="96">
        <v>1784</v>
      </c>
      <c r="I38" s="96">
        <v>1842</v>
      </c>
      <c r="J38" s="96">
        <v>1883</v>
      </c>
      <c r="K38" s="96">
        <v>1968</v>
      </c>
      <c r="L38" s="200">
        <v>2069</v>
      </c>
    </row>
    <row r="39" spans="1:12" x14ac:dyDescent="0.25">
      <c r="A39" s="1817"/>
      <c r="B39" s="1195"/>
      <c r="C39" s="1112" t="s">
        <v>269</v>
      </c>
      <c r="D39" s="1112"/>
      <c r="E39" s="157">
        <f>E38-E37</f>
        <v>700</v>
      </c>
      <c r="F39" s="157">
        <f t="shared" ref="F39:L39" si="13">F38-F37</f>
        <v>815</v>
      </c>
      <c r="G39" s="157">
        <f t="shared" si="13"/>
        <v>1029</v>
      </c>
      <c r="H39" s="157">
        <f t="shared" si="13"/>
        <v>1173</v>
      </c>
      <c r="I39" s="157">
        <f t="shared" si="13"/>
        <v>1224</v>
      </c>
      <c r="J39" s="157">
        <f t="shared" si="13"/>
        <v>1252</v>
      </c>
      <c r="K39" s="157">
        <f t="shared" si="13"/>
        <v>1312</v>
      </c>
      <c r="L39" s="160">
        <f t="shared" si="13"/>
        <v>1350</v>
      </c>
    </row>
    <row r="40" spans="1:12" ht="16.5" thickBot="1" x14ac:dyDescent="0.3">
      <c r="A40" s="1817"/>
      <c r="B40" s="1755"/>
      <c r="C40" s="1178" t="s">
        <v>346</v>
      </c>
      <c r="D40" s="1178"/>
      <c r="E40" s="165">
        <f t="shared" ref="E40:L40" si="14">E38/E36*100</f>
        <v>77.689873417721529</v>
      </c>
      <c r="F40" s="165">
        <f t="shared" si="14"/>
        <v>75.200989486703776</v>
      </c>
      <c r="G40" s="165">
        <f t="shared" si="14"/>
        <v>75.407407407407419</v>
      </c>
      <c r="H40" s="165">
        <f t="shared" si="14"/>
        <v>74.488517745302715</v>
      </c>
      <c r="I40" s="165">
        <f t="shared" si="14"/>
        <v>74.878048780487802</v>
      </c>
      <c r="J40" s="165">
        <f t="shared" si="14"/>
        <v>74.9005568814638</v>
      </c>
      <c r="K40" s="165">
        <f t="shared" si="14"/>
        <v>75</v>
      </c>
      <c r="L40" s="166">
        <f t="shared" si="14"/>
        <v>74.210903873744613</v>
      </c>
    </row>
    <row r="41" spans="1:12" ht="15" customHeight="1" x14ac:dyDescent="0.25">
      <c r="A41" s="1817"/>
      <c r="B41" s="1194" t="s">
        <v>134</v>
      </c>
      <c r="C41" s="1206" t="s">
        <v>348</v>
      </c>
      <c r="D41" s="1206"/>
      <c r="E41" s="195">
        <f>E42+E43</f>
        <v>482</v>
      </c>
      <c r="F41" s="195">
        <f t="shared" ref="F41:L41" si="15">F42+F43</f>
        <v>764</v>
      </c>
      <c r="G41" s="195">
        <f t="shared" si="15"/>
        <v>941</v>
      </c>
      <c r="H41" s="195">
        <f t="shared" si="15"/>
        <v>889</v>
      </c>
      <c r="I41" s="195">
        <f t="shared" si="15"/>
        <v>874</v>
      </c>
      <c r="J41" s="195">
        <f t="shared" si="15"/>
        <v>911</v>
      </c>
      <c r="K41" s="195">
        <f t="shared" si="15"/>
        <v>943</v>
      </c>
      <c r="L41" s="196">
        <f t="shared" si="15"/>
        <v>975</v>
      </c>
    </row>
    <row r="42" spans="1:12" x14ac:dyDescent="0.25">
      <c r="A42" s="1817"/>
      <c r="B42" s="1195"/>
      <c r="C42" s="1124" t="s">
        <v>349</v>
      </c>
      <c r="D42" s="1124"/>
      <c r="E42" s="28">
        <v>99</v>
      </c>
      <c r="F42" s="28">
        <v>155</v>
      </c>
      <c r="G42" s="28">
        <v>176</v>
      </c>
      <c r="H42" s="28">
        <v>135</v>
      </c>
      <c r="I42" s="28">
        <v>138</v>
      </c>
      <c r="J42" s="28">
        <v>145</v>
      </c>
      <c r="K42" s="28">
        <v>172</v>
      </c>
      <c r="L42" s="21">
        <v>167</v>
      </c>
    </row>
    <row r="43" spans="1:12" x14ac:dyDescent="0.25">
      <c r="A43" s="1817"/>
      <c r="B43" s="1195"/>
      <c r="C43" s="1124" t="s">
        <v>350</v>
      </c>
      <c r="D43" s="1124"/>
      <c r="E43" s="28">
        <v>383</v>
      </c>
      <c r="F43" s="28">
        <v>609</v>
      </c>
      <c r="G43" s="96">
        <v>765</v>
      </c>
      <c r="H43" s="28">
        <v>754</v>
      </c>
      <c r="I43" s="28">
        <v>736</v>
      </c>
      <c r="J43" s="28">
        <v>766</v>
      </c>
      <c r="K43" s="28">
        <v>771</v>
      </c>
      <c r="L43" s="21">
        <v>808</v>
      </c>
    </row>
    <row r="44" spans="1:12" x14ac:dyDescent="0.25">
      <c r="A44" s="1817"/>
      <c r="B44" s="1195"/>
      <c r="C44" s="1112" t="s">
        <v>269</v>
      </c>
      <c r="D44" s="1112"/>
      <c r="E44" s="157">
        <f>E43-E42</f>
        <v>284</v>
      </c>
      <c r="F44" s="157">
        <f t="shared" ref="F44:L44" si="16">F43-F42</f>
        <v>454</v>
      </c>
      <c r="G44" s="157">
        <f t="shared" si="16"/>
        <v>589</v>
      </c>
      <c r="H44" s="157">
        <f t="shared" si="16"/>
        <v>619</v>
      </c>
      <c r="I44" s="157">
        <f t="shared" si="16"/>
        <v>598</v>
      </c>
      <c r="J44" s="157">
        <f t="shared" si="16"/>
        <v>621</v>
      </c>
      <c r="K44" s="157">
        <f t="shared" si="16"/>
        <v>599</v>
      </c>
      <c r="L44" s="160">
        <f t="shared" si="16"/>
        <v>641</v>
      </c>
    </row>
    <row r="45" spans="1:12" x14ac:dyDescent="0.25">
      <c r="A45" s="1818"/>
      <c r="B45" s="1755"/>
      <c r="C45" s="1178" t="s">
        <v>351</v>
      </c>
      <c r="D45" s="1178"/>
      <c r="E45" s="165">
        <f t="shared" ref="E45:L45" si="17">E43/E41*100</f>
        <v>79.460580912863065</v>
      </c>
      <c r="F45" s="165">
        <f t="shared" si="17"/>
        <v>79.712041884816756</v>
      </c>
      <c r="G45" s="165">
        <f t="shared" si="17"/>
        <v>81.296493092454838</v>
      </c>
      <c r="H45" s="165">
        <f t="shared" si="17"/>
        <v>84.814398200224971</v>
      </c>
      <c r="I45" s="165">
        <f t="shared" si="17"/>
        <v>84.210526315789465</v>
      </c>
      <c r="J45" s="165">
        <f t="shared" si="17"/>
        <v>84.083424807903413</v>
      </c>
      <c r="K45" s="165">
        <f t="shared" si="17"/>
        <v>81.760339342523864</v>
      </c>
      <c r="L45" s="166">
        <f t="shared" si="17"/>
        <v>82.871794871794862</v>
      </c>
    </row>
    <row r="46" spans="1:12" ht="16.5" thickBot="1" x14ac:dyDescent="0.3">
      <c r="A46" s="338" t="s">
        <v>248</v>
      </c>
      <c r="B46" s="463" t="s">
        <v>249</v>
      </c>
      <c r="C46" s="1422"/>
      <c r="D46" s="1422"/>
      <c r="E46" s="616">
        <v>2005</v>
      </c>
      <c r="F46" s="616">
        <v>2010</v>
      </c>
      <c r="G46" s="616">
        <v>2015</v>
      </c>
      <c r="H46" s="616">
        <v>2020</v>
      </c>
      <c r="I46" s="616">
        <v>2021</v>
      </c>
      <c r="J46" s="616">
        <v>2022</v>
      </c>
      <c r="K46" s="616">
        <v>2023</v>
      </c>
      <c r="L46" s="616">
        <v>2024</v>
      </c>
    </row>
    <row r="47" spans="1:12" ht="15" customHeight="1" x14ac:dyDescent="0.25">
      <c r="A47" s="1906" t="s">
        <v>38</v>
      </c>
      <c r="B47" s="1219" t="s">
        <v>352</v>
      </c>
      <c r="C47" s="1898" t="s">
        <v>251</v>
      </c>
      <c r="D47" s="1650"/>
      <c r="E47" s="225">
        <v>2491</v>
      </c>
      <c r="F47" s="225">
        <v>5863</v>
      </c>
      <c r="G47" s="225">
        <v>5574</v>
      </c>
      <c r="H47" s="225">
        <v>5182</v>
      </c>
      <c r="I47" s="225">
        <v>5385</v>
      </c>
      <c r="J47" s="225">
        <v>4079</v>
      </c>
      <c r="K47" s="225">
        <v>4322</v>
      </c>
      <c r="L47" s="902">
        <v>4277</v>
      </c>
    </row>
    <row r="48" spans="1:12" x14ac:dyDescent="0.25">
      <c r="A48" s="1907"/>
      <c r="B48" s="1220"/>
      <c r="C48" s="1148" t="s">
        <v>257</v>
      </c>
      <c r="D48" s="1124"/>
      <c r="E48" s="96">
        <v>914</v>
      </c>
      <c r="F48" s="96">
        <v>2917</v>
      </c>
      <c r="G48" s="96">
        <v>2560</v>
      </c>
      <c r="H48" s="96">
        <v>2241</v>
      </c>
      <c r="I48" s="96">
        <v>2252</v>
      </c>
      <c r="J48" s="96">
        <v>1663</v>
      </c>
      <c r="K48" s="96">
        <v>1722</v>
      </c>
      <c r="L48" s="83">
        <v>1699</v>
      </c>
    </row>
    <row r="49" spans="1:12" x14ac:dyDescent="0.25">
      <c r="A49" s="1907"/>
      <c r="B49" s="1220"/>
      <c r="C49" s="1148" t="s">
        <v>263</v>
      </c>
      <c r="D49" s="1124"/>
      <c r="E49" s="96">
        <v>1577</v>
      </c>
      <c r="F49" s="96">
        <v>2946</v>
      </c>
      <c r="G49" s="96">
        <v>3014</v>
      </c>
      <c r="H49" s="96">
        <v>2941</v>
      </c>
      <c r="I49" s="96">
        <v>3133</v>
      </c>
      <c r="J49" s="96">
        <v>2416</v>
      </c>
      <c r="K49" s="96">
        <v>2600</v>
      </c>
      <c r="L49" s="83">
        <v>2578</v>
      </c>
    </row>
    <row r="50" spans="1:12" x14ac:dyDescent="0.25">
      <c r="A50" s="1907"/>
      <c r="B50" s="1220"/>
      <c r="C50" s="1190" t="s">
        <v>353</v>
      </c>
      <c r="D50" s="1112"/>
      <c r="E50" s="157">
        <f t="shared" ref="E50:L50" si="18">+E49-E48</f>
        <v>663</v>
      </c>
      <c r="F50" s="157">
        <f t="shared" si="18"/>
        <v>29</v>
      </c>
      <c r="G50" s="157">
        <f t="shared" si="18"/>
        <v>454</v>
      </c>
      <c r="H50" s="157">
        <f t="shared" si="18"/>
        <v>700</v>
      </c>
      <c r="I50" s="157">
        <f t="shared" si="18"/>
        <v>881</v>
      </c>
      <c r="J50" s="157">
        <f t="shared" si="18"/>
        <v>753</v>
      </c>
      <c r="K50" s="157">
        <f t="shared" si="18"/>
        <v>878</v>
      </c>
      <c r="L50" s="160">
        <f t="shared" si="18"/>
        <v>879</v>
      </c>
    </row>
    <row r="51" spans="1:12" ht="16.5" thickBot="1" x14ac:dyDescent="0.3">
      <c r="A51" s="1907"/>
      <c r="B51" s="1600"/>
      <c r="C51" s="1169" t="s">
        <v>270</v>
      </c>
      <c r="D51" s="1126"/>
      <c r="E51" s="161">
        <f>E49/E47*100</f>
        <v>63.307908470493778</v>
      </c>
      <c r="F51" s="161">
        <f t="shared" ref="F51:L51" si="19">F49/F47*100</f>
        <v>50.247313661947814</v>
      </c>
      <c r="G51" s="161">
        <f t="shared" si="19"/>
        <v>54.072479368496595</v>
      </c>
      <c r="H51" s="161">
        <f t="shared" si="19"/>
        <v>56.754148977228866</v>
      </c>
      <c r="I51" s="161">
        <f t="shared" si="19"/>
        <v>58.180129990714946</v>
      </c>
      <c r="J51" s="161">
        <f t="shared" si="19"/>
        <v>59.230203481245404</v>
      </c>
      <c r="K51" s="161">
        <f t="shared" si="19"/>
        <v>60.157334567329947</v>
      </c>
      <c r="L51" s="162">
        <f t="shared" si="19"/>
        <v>60.275894318447513</v>
      </c>
    </row>
    <row r="52" spans="1:12" x14ac:dyDescent="0.25">
      <c r="A52" s="1907"/>
      <c r="B52" s="1219" t="s">
        <v>146</v>
      </c>
      <c r="C52" s="1898" t="s">
        <v>251</v>
      </c>
      <c r="D52" s="1650"/>
      <c r="E52" s="36"/>
      <c r="F52" s="36"/>
      <c r="G52" s="36"/>
      <c r="H52" s="36">
        <v>10.64</v>
      </c>
      <c r="I52" s="36">
        <v>8.6999999999999993</v>
      </c>
      <c r="J52" s="36">
        <v>7.19</v>
      </c>
      <c r="K52" s="36">
        <v>6.67</v>
      </c>
      <c r="L52" s="20">
        <v>6.53</v>
      </c>
    </row>
    <row r="53" spans="1:12" x14ac:dyDescent="0.25">
      <c r="A53" s="1907"/>
      <c r="B53" s="1220"/>
      <c r="C53" s="1148" t="s">
        <v>257</v>
      </c>
      <c r="D53" s="1124"/>
      <c r="E53" s="28"/>
      <c r="F53" s="28"/>
      <c r="G53" s="28"/>
      <c r="H53" s="28">
        <v>9.2200000000000006</v>
      </c>
      <c r="I53" s="28">
        <v>7.46</v>
      </c>
      <c r="J53" s="28">
        <v>5.92</v>
      </c>
      <c r="K53" s="28">
        <v>5.53</v>
      </c>
      <c r="L53" s="21">
        <v>5.35</v>
      </c>
    </row>
    <row r="54" spans="1:12" x14ac:dyDescent="0.25">
      <c r="A54" s="1907"/>
      <c r="B54" s="1220"/>
      <c r="C54" s="1222" t="s">
        <v>263</v>
      </c>
      <c r="D54" s="1223"/>
      <c r="E54" s="28"/>
      <c r="F54" s="28"/>
      <c r="G54" s="28"/>
      <c r="H54" s="28">
        <v>12.01</v>
      </c>
      <c r="I54" s="28">
        <v>9.89</v>
      </c>
      <c r="J54" s="28">
        <v>8.41</v>
      </c>
      <c r="K54" s="28">
        <v>7.77</v>
      </c>
      <c r="L54" s="21">
        <v>7.68</v>
      </c>
    </row>
    <row r="55" spans="1:12" ht="16.5" thickBot="1" x14ac:dyDescent="0.3">
      <c r="A55" s="1907"/>
      <c r="B55" s="1600"/>
      <c r="C55" s="1224" t="s">
        <v>354</v>
      </c>
      <c r="D55" s="1225"/>
      <c r="E55" s="203"/>
      <c r="F55" s="203"/>
      <c r="G55" s="203"/>
      <c r="H55" s="34">
        <f>+H54-H53</f>
        <v>2.7899999999999991</v>
      </c>
      <c r="I55" s="34">
        <f>+I54-I53</f>
        <v>2.4300000000000006</v>
      </c>
      <c r="J55" s="34">
        <f>+J54-J53</f>
        <v>2.4900000000000002</v>
      </c>
      <c r="K55" s="34">
        <f>+K54-K53</f>
        <v>2.2399999999999993</v>
      </c>
      <c r="L55" s="35">
        <f>+L54-L53</f>
        <v>2.33</v>
      </c>
    </row>
    <row r="56" spans="1:12" x14ac:dyDescent="0.25">
      <c r="A56" s="1907"/>
      <c r="B56" s="1219" t="s">
        <v>151</v>
      </c>
      <c r="C56" s="1316" t="s">
        <v>251</v>
      </c>
      <c r="D56" s="1317"/>
      <c r="E56" s="40"/>
      <c r="F56" s="40"/>
      <c r="G56" s="40"/>
      <c r="H56" s="195">
        <v>575</v>
      </c>
      <c r="I56" s="195">
        <v>585</v>
      </c>
      <c r="J56" s="195">
        <v>653</v>
      </c>
      <c r="K56" s="195">
        <v>689</v>
      </c>
      <c r="L56" s="20"/>
    </row>
    <row r="57" spans="1:12" x14ac:dyDescent="0.25">
      <c r="A57" s="1907"/>
      <c r="B57" s="1220"/>
      <c r="C57" s="1229" t="s">
        <v>257</v>
      </c>
      <c r="D57" s="1230"/>
      <c r="E57" s="28"/>
      <c r="F57" s="28"/>
      <c r="G57" s="28"/>
      <c r="H57" s="96">
        <v>200</v>
      </c>
      <c r="I57" s="96">
        <v>221</v>
      </c>
      <c r="J57" s="96">
        <v>225</v>
      </c>
      <c r="K57" s="96">
        <v>226</v>
      </c>
      <c r="L57" s="21"/>
    </row>
    <row r="58" spans="1:12" x14ac:dyDescent="0.25">
      <c r="A58" s="1907"/>
      <c r="B58" s="1220"/>
      <c r="C58" s="1148" t="s">
        <v>263</v>
      </c>
      <c r="D58" s="1124"/>
      <c r="E58" s="28"/>
      <c r="F58" s="28"/>
      <c r="G58" s="28"/>
      <c r="H58" s="96">
        <v>375</v>
      </c>
      <c r="I58" s="96">
        <v>364</v>
      </c>
      <c r="J58" s="96">
        <v>428</v>
      </c>
      <c r="K58" s="96">
        <v>463</v>
      </c>
      <c r="L58" s="21"/>
    </row>
    <row r="59" spans="1:12" x14ac:dyDescent="0.25">
      <c r="A59" s="1907"/>
      <c r="B59" s="1220"/>
      <c r="C59" s="1190" t="s">
        <v>353</v>
      </c>
      <c r="D59" s="1112"/>
      <c r="E59" s="28"/>
      <c r="F59" s="28"/>
      <c r="G59" s="28"/>
      <c r="H59" s="44">
        <f>+H58-H57</f>
        <v>175</v>
      </c>
      <c r="I59" s="44">
        <f>+I58-I57</f>
        <v>143</v>
      </c>
      <c r="J59" s="44">
        <f>+J58-J57</f>
        <v>203</v>
      </c>
      <c r="K59" s="44">
        <f>+K58-K57</f>
        <v>237</v>
      </c>
      <c r="L59" s="21"/>
    </row>
    <row r="60" spans="1:12" ht="16.5" thickBot="1" x14ac:dyDescent="0.3">
      <c r="A60" s="1907"/>
      <c r="B60" s="1221"/>
      <c r="C60" s="1169" t="s">
        <v>270</v>
      </c>
      <c r="D60" s="1126"/>
      <c r="E60" s="33"/>
      <c r="F60" s="33"/>
      <c r="G60" s="33"/>
      <c r="H60" s="161">
        <f>H58/H56*100</f>
        <v>65.217391304347828</v>
      </c>
      <c r="I60" s="161">
        <f>I58/I56*100</f>
        <v>62.222222222222221</v>
      </c>
      <c r="J60" s="161">
        <f>J58/J56*100</f>
        <v>65.543644716692199</v>
      </c>
      <c r="K60" s="161">
        <f>K58/K56*100</f>
        <v>67.198838896952111</v>
      </c>
      <c r="L60" s="22"/>
    </row>
    <row r="61" spans="1:12" ht="16.5" thickBot="1" x14ac:dyDescent="0.3">
      <c r="A61" s="1220"/>
      <c r="B61" s="823" t="s">
        <v>249</v>
      </c>
      <c r="C61" s="1675"/>
      <c r="D61" s="1675"/>
      <c r="E61" s="112"/>
      <c r="F61" s="112">
        <v>2011</v>
      </c>
      <c r="G61" s="112"/>
      <c r="H61" s="112"/>
      <c r="I61" s="112">
        <v>2021</v>
      </c>
      <c r="J61" s="112"/>
      <c r="K61" s="112"/>
      <c r="L61" s="616">
        <v>2024</v>
      </c>
    </row>
    <row r="62" spans="1:12" x14ac:dyDescent="0.25">
      <c r="A62" s="1907"/>
      <c r="B62" s="1219" t="s">
        <v>156</v>
      </c>
      <c r="C62" s="1187" t="s">
        <v>355</v>
      </c>
      <c r="D62" s="207" t="s">
        <v>251</v>
      </c>
      <c r="E62" s="612"/>
      <c r="F62" s="81">
        <v>30400</v>
      </c>
      <c r="G62" s="103"/>
      <c r="H62" s="103"/>
      <c r="I62" s="81">
        <v>33402</v>
      </c>
      <c r="J62" s="36"/>
      <c r="K62" s="36"/>
      <c r="L62" s="20"/>
    </row>
    <row r="63" spans="1:12" ht="15" customHeight="1" x14ac:dyDescent="0.25">
      <c r="A63" s="1907"/>
      <c r="B63" s="1220"/>
      <c r="C63" s="1173"/>
      <c r="D63" s="28" t="s">
        <v>257</v>
      </c>
      <c r="E63" s="94"/>
      <c r="F63" s="80">
        <v>16200</v>
      </c>
      <c r="G63" s="95"/>
      <c r="H63" s="95"/>
      <c r="I63" s="80">
        <v>17181</v>
      </c>
      <c r="J63" s="28"/>
      <c r="K63" s="28"/>
      <c r="L63" s="21"/>
    </row>
    <row r="64" spans="1:12" x14ac:dyDescent="0.25">
      <c r="A64" s="1907"/>
      <c r="B64" s="1220"/>
      <c r="C64" s="1173"/>
      <c r="D64" s="28" t="s">
        <v>263</v>
      </c>
      <c r="E64" s="94"/>
      <c r="F64" s="80">
        <v>14200</v>
      </c>
      <c r="G64" s="95"/>
      <c r="H64" s="95"/>
      <c r="I64" s="80">
        <v>16224</v>
      </c>
      <c r="J64" s="28"/>
      <c r="K64" s="28"/>
      <c r="L64" s="21"/>
    </row>
    <row r="65" spans="1:12" hidden="1" x14ac:dyDescent="0.25">
      <c r="A65" s="1907"/>
      <c r="B65" s="1220"/>
      <c r="C65" s="1117" t="s">
        <v>356</v>
      </c>
      <c r="D65" s="144" t="s">
        <v>251</v>
      </c>
      <c r="E65" s="94"/>
      <c r="F65" s="80">
        <v>220</v>
      </c>
      <c r="G65" s="95"/>
      <c r="H65" s="95"/>
      <c r="I65" s="96"/>
      <c r="J65" s="28"/>
      <c r="K65" s="28"/>
      <c r="L65" s="21"/>
    </row>
    <row r="66" spans="1:12" hidden="1" x14ac:dyDescent="0.25">
      <c r="A66" s="1907"/>
      <c r="B66" s="1220"/>
      <c r="C66" s="1117"/>
      <c r="D66" s="28" t="s">
        <v>257</v>
      </c>
      <c r="E66" s="94"/>
      <c r="F66" s="80">
        <v>170</v>
      </c>
      <c r="G66" s="95"/>
      <c r="H66" s="95"/>
      <c r="I66" s="96"/>
      <c r="J66" s="28"/>
      <c r="K66" s="28"/>
      <c r="L66" s="21"/>
    </row>
    <row r="67" spans="1:12" hidden="1" x14ac:dyDescent="0.25">
      <c r="A67" s="1907"/>
      <c r="B67" s="1220"/>
      <c r="C67" s="1117"/>
      <c r="D67" s="28" t="s">
        <v>263</v>
      </c>
      <c r="E67" s="94"/>
      <c r="F67" s="80">
        <v>50</v>
      </c>
      <c r="G67" s="95"/>
      <c r="H67" s="95"/>
      <c r="I67" s="96"/>
      <c r="J67" s="28"/>
      <c r="K67" s="28"/>
      <c r="L67" s="21"/>
    </row>
    <row r="68" spans="1:12" hidden="1" x14ac:dyDescent="0.25">
      <c r="A68" s="1907"/>
      <c r="B68" s="1220"/>
      <c r="C68" s="1117"/>
      <c r="D68" s="28" t="s">
        <v>357</v>
      </c>
      <c r="E68" s="94"/>
      <c r="F68" s="97">
        <f>F67/F65*100</f>
        <v>22.727272727272727</v>
      </c>
      <c r="G68" s="94"/>
      <c r="H68" s="94"/>
      <c r="I68" s="28"/>
      <c r="J68" s="28"/>
      <c r="K68" s="28"/>
      <c r="L68" s="21"/>
    </row>
    <row r="69" spans="1:12" ht="14.85" hidden="1" customHeight="1" x14ac:dyDescent="0.25">
      <c r="A69" s="1907"/>
      <c r="B69" s="1220"/>
      <c r="C69" s="1117" t="s">
        <v>358</v>
      </c>
      <c r="D69" s="144" t="s">
        <v>251</v>
      </c>
      <c r="E69" s="94"/>
      <c r="F69" s="80">
        <v>125</v>
      </c>
      <c r="G69" s="80"/>
      <c r="H69" s="80"/>
      <c r="I69" s="80">
        <v>54</v>
      </c>
      <c r="J69" s="28"/>
      <c r="K69" s="28"/>
      <c r="L69" s="21"/>
    </row>
    <row r="70" spans="1:12" hidden="1" x14ac:dyDescent="0.25">
      <c r="A70" s="1907"/>
      <c r="B70" s="1220"/>
      <c r="C70" s="1117"/>
      <c r="D70" s="28" t="s">
        <v>257</v>
      </c>
      <c r="E70" s="94"/>
      <c r="F70" s="80">
        <v>75</v>
      </c>
      <c r="G70" s="80"/>
      <c r="H70" s="80"/>
      <c r="I70" s="80">
        <v>36</v>
      </c>
      <c r="J70" s="28"/>
      <c r="K70" s="28"/>
      <c r="L70" s="21"/>
    </row>
    <row r="71" spans="1:12" hidden="1" x14ac:dyDescent="0.25">
      <c r="A71" s="1907"/>
      <c r="B71" s="1220"/>
      <c r="C71" s="1117"/>
      <c r="D71" s="28" t="s">
        <v>263</v>
      </c>
      <c r="E71" s="94"/>
      <c r="F71" s="80">
        <v>50</v>
      </c>
      <c r="G71" s="80"/>
      <c r="H71" s="80"/>
      <c r="I71" s="80">
        <v>15</v>
      </c>
      <c r="J71" s="28"/>
      <c r="K71" s="28"/>
      <c r="L71" s="21"/>
    </row>
    <row r="72" spans="1:12" hidden="1" x14ac:dyDescent="0.25">
      <c r="A72" s="1907"/>
      <c r="B72" s="1220"/>
      <c r="C72" s="1117"/>
      <c r="D72" s="28" t="s">
        <v>357</v>
      </c>
      <c r="E72" s="94"/>
      <c r="F72" s="98">
        <f>F71/F69*100</f>
        <v>40</v>
      </c>
      <c r="G72" s="94"/>
      <c r="H72" s="94"/>
      <c r="I72" s="97">
        <f>I71/I69*100</f>
        <v>27.777777777777779</v>
      </c>
      <c r="J72" s="28"/>
      <c r="K72" s="28"/>
      <c r="L72" s="21"/>
    </row>
    <row r="73" spans="1:12" ht="14.85" hidden="1" customHeight="1" x14ac:dyDescent="0.25">
      <c r="A73" s="1907"/>
      <c r="B73" s="1220"/>
      <c r="C73" s="1117" t="s">
        <v>359</v>
      </c>
      <c r="D73" s="144" t="s">
        <v>251</v>
      </c>
      <c r="E73" s="94"/>
      <c r="F73" s="80">
        <v>450</v>
      </c>
      <c r="G73" s="80"/>
      <c r="H73" s="80"/>
      <c r="I73" s="80">
        <v>435</v>
      </c>
      <c r="J73" s="28"/>
      <c r="K73" s="28"/>
      <c r="L73" s="21"/>
    </row>
    <row r="74" spans="1:12" hidden="1" x14ac:dyDescent="0.25">
      <c r="A74" s="1907"/>
      <c r="B74" s="1220"/>
      <c r="C74" s="1117"/>
      <c r="D74" s="28" t="s">
        <v>257</v>
      </c>
      <c r="E74" s="94"/>
      <c r="F74" s="80">
        <v>320</v>
      </c>
      <c r="G74" s="80"/>
      <c r="H74" s="80"/>
      <c r="I74" s="80">
        <v>255</v>
      </c>
      <c r="J74" s="28"/>
      <c r="K74" s="28"/>
      <c r="L74" s="21"/>
    </row>
    <row r="75" spans="1:12" hidden="1" x14ac:dyDescent="0.25">
      <c r="A75" s="1907"/>
      <c r="B75" s="1220"/>
      <c r="C75" s="1117"/>
      <c r="D75" s="28" t="s">
        <v>263</v>
      </c>
      <c r="E75" s="94"/>
      <c r="F75" s="80">
        <v>130</v>
      </c>
      <c r="G75" s="80"/>
      <c r="H75" s="80"/>
      <c r="I75" s="80">
        <v>177</v>
      </c>
      <c r="J75" s="28"/>
      <c r="K75" s="28"/>
      <c r="L75" s="21"/>
    </row>
    <row r="76" spans="1:12" hidden="1" x14ac:dyDescent="0.25">
      <c r="A76" s="1907"/>
      <c r="B76" s="1220"/>
      <c r="C76" s="1117"/>
      <c r="D76" s="28" t="s">
        <v>357</v>
      </c>
      <c r="E76" s="94"/>
      <c r="F76" s="97">
        <f>F75/F73*100</f>
        <v>28.888888888888886</v>
      </c>
      <c r="G76" s="94"/>
      <c r="H76" s="94"/>
      <c r="I76" s="98">
        <f>I75/I73*100</f>
        <v>40.689655172413794</v>
      </c>
      <c r="J76" s="28"/>
      <c r="K76" s="28"/>
      <c r="L76" s="21"/>
    </row>
    <row r="77" spans="1:12" ht="14.85" hidden="1" customHeight="1" x14ac:dyDescent="0.25">
      <c r="A77" s="1907"/>
      <c r="B77" s="1220"/>
      <c r="C77" s="1117" t="s">
        <v>360</v>
      </c>
      <c r="D77" s="144" t="s">
        <v>251</v>
      </c>
      <c r="E77" s="94"/>
      <c r="F77" s="80">
        <v>520</v>
      </c>
      <c r="G77" s="80"/>
      <c r="H77" s="80"/>
      <c r="I77" s="80">
        <v>183</v>
      </c>
      <c r="J77" s="28"/>
      <c r="K77" s="28"/>
      <c r="L77" s="21"/>
    </row>
    <row r="78" spans="1:12" hidden="1" x14ac:dyDescent="0.25">
      <c r="A78" s="1907"/>
      <c r="B78" s="1220"/>
      <c r="C78" s="1117"/>
      <c r="D78" s="28" t="s">
        <v>257</v>
      </c>
      <c r="E78" s="94"/>
      <c r="F78" s="80">
        <v>380</v>
      </c>
      <c r="G78" s="80"/>
      <c r="H78" s="80"/>
      <c r="I78" s="80">
        <v>144</v>
      </c>
      <c r="J78" s="28"/>
      <c r="K78" s="28"/>
      <c r="L78" s="21"/>
    </row>
    <row r="79" spans="1:12" hidden="1" x14ac:dyDescent="0.25">
      <c r="A79" s="1907"/>
      <c r="B79" s="1220"/>
      <c r="C79" s="1117"/>
      <c r="D79" s="28" t="s">
        <v>263</v>
      </c>
      <c r="E79" s="94"/>
      <c r="F79" s="80">
        <v>140</v>
      </c>
      <c r="G79" s="80"/>
      <c r="H79" s="80"/>
      <c r="I79" s="80">
        <v>36</v>
      </c>
      <c r="J79" s="28"/>
      <c r="K79" s="28"/>
      <c r="L79" s="21"/>
    </row>
    <row r="80" spans="1:12" hidden="1" x14ac:dyDescent="0.25">
      <c r="A80" s="1907"/>
      <c r="B80" s="1220"/>
      <c r="C80" s="1117"/>
      <c r="D80" s="28" t="s">
        <v>357</v>
      </c>
      <c r="E80" s="94"/>
      <c r="F80" s="97">
        <f>F79/F77*100</f>
        <v>26.923076923076923</v>
      </c>
      <c r="G80" s="94"/>
      <c r="H80" s="94"/>
      <c r="I80" s="97">
        <f>I79/I77*100</f>
        <v>19.672131147540984</v>
      </c>
      <c r="J80" s="28"/>
      <c r="K80" s="28"/>
      <c r="L80" s="21"/>
    </row>
    <row r="81" spans="1:12" ht="14.85" hidden="1" customHeight="1" x14ac:dyDescent="0.25">
      <c r="A81" s="1907"/>
      <c r="B81" s="1220"/>
      <c r="C81" s="1117" t="s">
        <v>361</v>
      </c>
      <c r="D81" s="144" t="s">
        <v>251</v>
      </c>
      <c r="E81" s="94"/>
      <c r="F81" s="80">
        <v>120</v>
      </c>
      <c r="G81" s="80"/>
      <c r="H81" s="80"/>
      <c r="I81" s="80">
        <v>126</v>
      </c>
      <c r="J81" s="28"/>
      <c r="K81" s="28"/>
      <c r="L81" s="21"/>
    </row>
    <row r="82" spans="1:12" hidden="1" x14ac:dyDescent="0.25">
      <c r="A82" s="1907"/>
      <c r="B82" s="1220"/>
      <c r="C82" s="1117"/>
      <c r="D82" s="28" t="s">
        <v>257</v>
      </c>
      <c r="E82" s="94"/>
      <c r="F82" s="80">
        <v>75</v>
      </c>
      <c r="G82" s="80"/>
      <c r="H82" s="80"/>
      <c r="I82" s="80">
        <v>93</v>
      </c>
      <c r="J82" s="28"/>
      <c r="K82" s="28"/>
      <c r="L82" s="21"/>
    </row>
    <row r="83" spans="1:12" hidden="1" x14ac:dyDescent="0.25">
      <c r="A83" s="1907"/>
      <c r="B83" s="1220"/>
      <c r="C83" s="1117"/>
      <c r="D83" s="28" t="s">
        <v>263</v>
      </c>
      <c r="E83" s="94"/>
      <c r="F83" s="80">
        <v>50</v>
      </c>
      <c r="G83" s="80"/>
      <c r="H83" s="80"/>
      <c r="I83" s="80">
        <v>36</v>
      </c>
      <c r="J83" s="28"/>
      <c r="K83" s="28"/>
      <c r="L83" s="21"/>
    </row>
    <row r="84" spans="1:12" hidden="1" x14ac:dyDescent="0.25">
      <c r="A84" s="1907"/>
      <c r="B84" s="1220"/>
      <c r="C84" s="1117"/>
      <c r="D84" s="28" t="s">
        <v>357</v>
      </c>
      <c r="E84" s="94"/>
      <c r="F84" s="98">
        <f>(F83/F81)*100</f>
        <v>41.666666666666671</v>
      </c>
      <c r="G84" s="94"/>
      <c r="H84" s="94"/>
      <c r="I84" s="97">
        <f>I83/I81*100</f>
        <v>28.571428571428569</v>
      </c>
      <c r="J84" s="28"/>
      <c r="K84" s="28"/>
      <c r="L84" s="21"/>
    </row>
    <row r="85" spans="1:12" ht="14.85" hidden="1" customHeight="1" x14ac:dyDescent="0.25">
      <c r="A85" s="1907"/>
      <c r="B85" s="1220"/>
      <c r="C85" s="1117" t="s">
        <v>362</v>
      </c>
      <c r="D85" s="144" t="s">
        <v>251</v>
      </c>
      <c r="E85" s="94"/>
      <c r="F85" s="80">
        <v>85</v>
      </c>
      <c r="G85" s="80"/>
      <c r="H85" s="80"/>
      <c r="I85" s="80">
        <v>141</v>
      </c>
      <c r="J85" s="28"/>
      <c r="K85" s="28"/>
      <c r="L85" s="21"/>
    </row>
    <row r="86" spans="1:12" ht="15" hidden="1" customHeight="1" x14ac:dyDescent="0.25">
      <c r="A86" s="1907"/>
      <c r="B86" s="1220"/>
      <c r="C86" s="1117"/>
      <c r="D86" s="28" t="s">
        <v>257</v>
      </c>
      <c r="E86" s="94"/>
      <c r="F86" s="80">
        <v>85</v>
      </c>
      <c r="G86" s="80"/>
      <c r="H86" s="80"/>
      <c r="I86" s="80">
        <v>84</v>
      </c>
      <c r="J86" s="28"/>
      <c r="K86" s="28"/>
      <c r="L86" s="21"/>
    </row>
    <row r="87" spans="1:12" hidden="1" x14ac:dyDescent="0.25">
      <c r="A87" s="1907"/>
      <c r="B87" s="1220"/>
      <c r="C87" s="1117"/>
      <c r="D87" s="28" t="s">
        <v>263</v>
      </c>
      <c r="E87" s="94"/>
      <c r="F87" s="80">
        <v>0</v>
      </c>
      <c r="G87" s="80"/>
      <c r="H87" s="80"/>
      <c r="I87" s="80">
        <v>57</v>
      </c>
      <c r="J87" s="28"/>
      <c r="K87" s="28"/>
      <c r="L87" s="21"/>
    </row>
    <row r="88" spans="1:12" hidden="1" x14ac:dyDescent="0.25">
      <c r="A88" s="1907"/>
      <c r="B88" s="1220"/>
      <c r="C88" s="1117"/>
      <c r="D88" s="28" t="s">
        <v>357</v>
      </c>
      <c r="E88" s="94"/>
      <c r="F88" s="97">
        <f>(F87/F85)*100</f>
        <v>0</v>
      </c>
      <c r="G88" s="94"/>
      <c r="H88" s="94"/>
      <c r="I88" s="98">
        <f>I87/I85*100</f>
        <v>40.425531914893611</v>
      </c>
      <c r="J88" s="28"/>
      <c r="K88" s="28"/>
      <c r="L88" s="21"/>
    </row>
    <row r="89" spans="1:12" hidden="1" x14ac:dyDescent="0.25">
      <c r="A89" s="1907"/>
      <c r="B89" s="1220"/>
      <c r="C89" s="1117" t="s">
        <v>363</v>
      </c>
      <c r="D89" s="144" t="s">
        <v>251</v>
      </c>
      <c r="E89" s="94"/>
      <c r="F89" s="80">
        <v>900</v>
      </c>
      <c r="G89" s="80"/>
      <c r="H89" s="80"/>
      <c r="I89" s="80">
        <v>1119</v>
      </c>
      <c r="J89" s="28"/>
      <c r="K89" s="28"/>
      <c r="L89" s="21"/>
    </row>
    <row r="90" spans="1:12" hidden="1" x14ac:dyDescent="0.25">
      <c r="A90" s="1907"/>
      <c r="B90" s="1220"/>
      <c r="C90" s="1117"/>
      <c r="D90" s="28" t="s">
        <v>257</v>
      </c>
      <c r="E90" s="94"/>
      <c r="F90" s="80">
        <v>190</v>
      </c>
      <c r="G90" s="80"/>
      <c r="H90" s="80"/>
      <c r="I90" s="80">
        <v>249</v>
      </c>
      <c r="J90" s="28"/>
      <c r="K90" s="28"/>
      <c r="L90" s="21"/>
    </row>
    <row r="91" spans="1:12" hidden="1" x14ac:dyDescent="0.25">
      <c r="A91" s="1907"/>
      <c r="B91" s="1220"/>
      <c r="C91" s="1117"/>
      <c r="D91" s="28" t="s">
        <v>263</v>
      </c>
      <c r="E91" s="94"/>
      <c r="F91" s="80">
        <v>710</v>
      </c>
      <c r="G91" s="80"/>
      <c r="H91" s="80"/>
      <c r="I91" s="80">
        <v>867</v>
      </c>
      <c r="J91" s="28"/>
      <c r="K91" s="28"/>
      <c r="L91" s="21"/>
    </row>
    <row r="92" spans="1:12" hidden="1" x14ac:dyDescent="0.25">
      <c r="A92" s="1907"/>
      <c r="B92" s="1220"/>
      <c r="C92" s="1117"/>
      <c r="D92" s="28" t="s">
        <v>357</v>
      </c>
      <c r="E92" s="94"/>
      <c r="F92" s="99">
        <f>(F91/F89)*100</f>
        <v>78.888888888888886</v>
      </c>
      <c r="G92" s="94"/>
      <c r="H92" s="94"/>
      <c r="I92" s="99">
        <f>I91/I89*100</f>
        <v>77.479892761394098</v>
      </c>
      <c r="J92" s="28"/>
      <c r="K92" s="28"/>
      <c r="L92" s="21"/>
    </row>
    <row r="93" spans="1:12" ht="14.85" hidden="1" customHeight="1" x14ac:dyDescent="0.25">
      <c r="A93" s="1907"/>
      <c r="B93" s="1220"/>
      <c r="C93" s="1117" t="s">
        <v>364</v>
      </c>
      <c r="D93" s="144" t="s">
        <v>251</v>
      </c>
      <c r="E93" s="94"/>
      <c r="F93" s="80">
        <v>1055</v>
      </c>
      <c r="G93" s="80"/>
      <c r="H93" s="80"/>
      <c r="I93" s="80">
        <v>1461</v>
      </c>
      <c r="J93" s="28"/>
      <c r="K93" s="28"/>
      <c r="L93" s="21"/>
    </row>
    <row r="94" spans="1:12" ht="14.85" hidden="1" customHeight="1" x14ac:dyDescent="0.25">
      <c r="A94" s="1907"/>
      <c r="B94" s="1220"/>
      <c r="C94" s="1117"/>
      <c r="D94" s="28" t="s">
        <v>257</v>
      </c>
      <c r="E94" s="94"/>
      <c r="F94" s="80">
        <v>225</v>
      </c>
      <c r="G94" s="80"/>
      <c r="H94" s="80"/>
      <c r="I94" s="80">
        <v>396</v>
      </c>
      <c r="J94" s="28"/>
      <c r="K94" s="28"/>
      <c r="L94" s="21"/>
    </row>
    <row r="95" spans="1:12" hidden="1" x14ac:dyDescent="0.25">
      <c r="A95" s="1907"/>
      <c r="B95" s="1220"/>
      <c r="C95" s="1117"/>
      <c r="D95" s="28" t="s">
        <v>263</v>
      </c>
      <c r="E95" s="94"/>
      <c r="F95" s="80">
        <v>830</v>
      </c>
      <c r="G95" s="80"/>
      <c r="H95" s="80"/>
      <c r="I95" s="80">
        <v>1065</v>
      </c>
      <c r="J95" s="28"/>
      <c r="K95" s="28"/>
      <c r="L95" s="21"/>
    </row>
    <row r="96" spans="1:12" hidden="1" x14ac:dyDescent="0.25">
      <c r="A96" s="1907"/>
      <c r="B96" s="1220"/>
      <c r="C96" s="1117"/>
      <c r="D96" s="28" t="s">
        <v>357</v>
      </c>
      <c r="E96" s="94"/>
      <c r="F96" s="99">
        <f>(F95/F93)*100</f>
        <v>78.672985781990519</v>
      </c>
      <c r="G96" s="94"/>
      <c r="H96" s="94"/>
      <c r="I96" s="99">
        <f>I95/I93*100</f>
        <v>72.895277207392198</v>
      </c>
      <c r="J96" s="28"/>
      <c r="K96" s="28"/>
      <c r="L96" s="21"/>
    </row>
    <row r="97" spans="1:12" ht="14.85" hidden="1" customHeight="1" x14ac:dyDescent="0.25">
      <c r="A97" s="1907"/>
      <c r="B97" s="1220"/>
      <c r="C97" s="1117" t="s">
        <v>365</v>
      </c>
      <c r="D97" s="144" t="s">
        <v>251</v>
      </c>
      <c r="E97" s="94"/>
      <c r="F97" s="80">
        <v>105</v>
      </c>
      <c r="G97" s="80"/>
      <c r="H97" s="80"/>
      <c r="I97" s="80">
        <v>318</v>
      </c>
      <c r="J97" s="28"/>
      <c r="K97" s="28"/>
      <c r="L97" s="21"/>
    </row>
    <row r="98" spans="1:12" hidden="1" x14ac:dyDescent="0.25">
      <c r="A98" s="1907"/>
      <c r="B98" s="1220"/>
      <c r="C98" s="1117"/>
      <c r="D98" s="28" t="s">
        <v>257</v>
      </c>
      <c r="E98" s="94"/>
      <c r="F98" s="80">
        <v>40</v>
      </c>
      <c r="G98" s="80"/>
      <c r="H98" s="80"/>
      <c r="I98" s="80">
        <v>123</v>
      </c>
      <c r="J98" s="28"/>
      <c r="K98" s="28"/>
      <c r="L98" s="21"/>
    </row>
    <row r="99" spans="1:12" hidden="1" x14ac:dyDescent="0.25">
      <c r="A99" s="1907"/>
      <c r="B99" s="1220"/>
      <c r="C99" s="1117"/>
      <c r="D99" s="28" t="s">
        <v>263</v>
      </c>
      <c r="E99" s="94"/>
      <c r="F99" s="80">
        <v>65</v>
      </c>
      <c r="G99" s="80"/>
      <c r="H99" s="80"/>
      <c r="I99" s="80">
        <v>195</v>
      </c>
      <c r="J99" s="28"/>
      <c r="K99" s="28"/>
      <c r="L99" s="21"/>
    </row>
    <row r="100" spans="1:12" hidden="1" x14ac:dyDescent="0.25">
      <c r="A100" s="1907"/>
      <c r="B100" s="1220"/>
      <c r="C100" s="1117"/>
      <c r="D100" s="28" t="s">
        <v>357</v>
      </c>
      <c r="E100" s="94"/>
      <c r="F100" s="99">
        <f>F99/F97*100</f>
        <v>61.904761904761905</v>
      </c>
      <c r="G100" s="94"/>
      <c r="H100" s="94"/>
      <c r="I100" s="99">
        <f>I99/I97*100</f>
        <v>61.320754716981128</v>
      </c>
      <c r="J100" s="28"/>
      <c r="K100" s="28"/>
      <c r="L100" s="21"/>
    </row>
    <row r="101" spans="1:12" ht="14.85" hidden="1" customHeight="1" x14ac:dyDescent="0.25">
      <c r="A101" s="1907"/>
      <c r="B101" s="1220"/>
      <c r="C101" s="1117" t="s">
        <v>366</v>
      </c>
      <c r="D101" s="144" t="s">
        <v>251</v>
      </c>
      <c r="E101" s="94"/>
      <c r="F101" s="80">
        <v>1250</v>
      </c>
      <c r="G101" s="80"/>
      <c r="H101" s="80"/>
      <c r="I101" s="80">
        <v>1014</v>
      </c>
      <c r="J101" s="28"/>
      <c r="K101" s="28"/>
      <c r="L101" s="21"/>
    </row>
    <row r="102" spans="1:12" hidden="1" x14ac:dyDescent="0.25">
      <c r="A102" s="1907"/>
      <c r="B102" s="1220"/>
      <c r="C102" s="1117"/>
      <c r="D102" s="28" t="s">
        <v>257</v>
      </c>
      <c r="E102" s="94"/>
      <c r="F102" s="80">
        <v>895</v>
      </c>
      <c r="G102" s="80"/>
      <c r="H102" s="80"/>
      <c r="I102" s="80">
        <v>690</v>
      </c>
      <c r="J102" s="28"/>
      <c r="K102" s="28"/>
      <c r="L102" s="21"/>
    </row>
    <row r="103" spans="1:12" hidden="1" x14ac:dyDescent="0.25">
      <c r="A103" s="1907"/>
      <c r="B103" s="1220"/>
      <c r="C103" s="1117"/>
      <c r="D103" s="28" t="s">
        <v>263</v>
      </c>
      <c r="E103" s="94"/>
      <c r="F103" s="80">
        <v>360</v>
      </c>
      <c r="G103" s="80"/>
      <c r="H103" s="80"/>
      <c r="I103" s="80">
        <v>321</v>
      </c>
      <c r="J103" s="28"/>
      <c r="K103" s="28"/>
      <c r="L103" s="21"/>
    </row>
    <row r="104" spans="1:12" hidden="1" x14ac:dyDescent="0.25">
      <c r="A104" s="1907"/>
      <c r="B104" s="1220"/>
      <c r="C104" s="1117"/>
      <c r="D104" s="28" t="s">
        <v>357</v>
      </c>
      <c r="E104" s="94"/>
      <c r="F104" s="97">
        <f>(F103/F101)*100</f>
        <v>28.799999999999997</v>
      </c>
      <c r="G104" s="94"/>
      <c r="H104" s="94"/>
      <c r="I104" s="97">
        <f>I103/I101*100</f>
        <v>31.65680473372781</v>
      </c>
      <c r="J104" s="28"/>
      <c r="K104" s="28"/>
      <c r="L104" s="21"/>
    </row>
    <row r="105" spans="1:12" hidden="1" x14ac:dyDescent="0.25">
      <c r="A105" s="1907"/>
      <c r="B105" s="1220"/>
      <c r="C105" s="1117" t="s">
        <v>367</v>
      </c>
      <c r="D105" s="144" t="s">
        <v>251</v>
      </c>
      <c r="E105" s="94"/>
      <c r="F105" s="80">
        <v>355</v>
      </c>
      <c r="G105" s="80"/>
      <c r="H105" s="80"/>
      <c r="I105" s="80">
        <v>246</v>
      </c>
      <c r="J105" s="96"/>
      <c r="K105" s="28"/>
      <c r="L105" s="21"/>
    </row>
    <row r="106" spans="1:12" hidden="1" x14ac:dyDescent="0.25">
      <c r="A106" s="1907"/>
      <c r="B106" s="1220"/>
      <c r="C106" s="1117"/>
      <c r="D106" s="28" t="s">
        <v>257</v>
      </c>
      <c r="E106" s="94"/>
      <c r="F106" s="80">
        <v>155</v>
      </c>
      <c r="G106" s="80"/>
      <c r="H106" s="80"/>
      <c r="I106" s="80">
        <v>114</v>
      </c>
      <c r="J106" s="96"/>
      <c r="K106" s="28"/>
      <c r="L106" s="21"/>
    </row>
    <row r="107" spans="1:12" hidden="1" x14ac:dyDescent="0.25">
      <c r="A107" s="1907"/>
      <c r="B107" s="1220"/>
      <c r="C107" s="1117"/>
      <c r="D107" s="28" t="s">
        <v>263</v>
      </c>
      <c r="E107" s="94"/>
      <c r="F107" s="80">
        <v>200</v>
      </c>
      <c r="G107" s="80"/>
      <c r="H107" s="80"/>
      <c r="I107" s="80">
        <v>132</v>
      </c>
      <c r="J107" s="96"/>
      <c r="K107" s="28"/>
      <c r="L107" s="21"/>
    </row>
    <row r="108" spans="1:12" hidden="1" x14ac:dyDescent="0.25">
      <c r="A108" s="1907"/>
      <c r="B108" s="1220"/>
      <c r="C108" s="1117"/>
      <c r="D108" s="28" t="s">
        <v>357</v>
      </c>
      <c r="E108" s="94"/>
      <c r="F108" s="98">
        <f>(F107/F105)*100</f>
        <v>56.338028169014088</v>
      </c>
      <c r="G108" s="94"/>
      <c r="H108" s="94"/>
      <c r="I108" s="98">
        <f>I107/I105*100</f>
        <v>53.658536585365859</v>
      </c>
      <c r="J108" s="96"/>
      <c r="K108" s="28"/>
      <c r="L108" s="21"/>
    </row>
    <row r="109" spans="1:12" ht="14.85" hidden="1" customHeight="1" x14ac:dyDescent="0.25">
      <c r="A109" s="1907"/>
      <c r="B109" s="1220"/>
      <c r="C109" s="1117" t="s">
        <v>368</v>
      </c>
      <c r="D109" s="144" t="s">
        <v>251</v>
      </c>
      <c r="E109" s="94"/>
      <c r="F109" s="80">
        <v>560</v>
      </c>
      <c r="G109" s="80"/>
      <c r="H109" s="80"/>
      <c r="I109" s="80">
        <v>1116</v>
      </c>
      <c r="J109" s="96"/>
      <c r="K109" s="28"/>
      <c r="L109" s="21"/>
    </row>
    <row r="110" spans="1:12" hidden="1" x14ac:dyDescent="0.25">
      <c r="A110" s="1907"/>
      <c r="B110" s="1220"/>
      <c r="C110" s="1117"/>
      <c r="D110" s="28" t="s">
        <v>257</v>
      </c>
      <c r="E110" s="94"/>
      <c r="F110" s="80">
        <v>350</v>
      </c>
      <c r="G110" s="80"/>
      <c r="H110" s="80"/>
      <c r="I110" s="80">
        <v>510</v>
      </c>
      <c r="J110" s="96"/>
      <c r="K110" s="28"/>
      <c r="L110" s="21"/>
    </row>
    <row r="111" spans="1:12" hidden="1" x14ac:dyDescent="0.25">
      <c r="A111" s="1907"/>
      <c r="B111" s="1220"/>
      <c r="C111" s="1117"/>
      <c r="D111" s="28" t="s">
        <v>263</v>
      </c>
      <c r="E111" s="94"/>
      <c r="F111" s="80">
        <v>210</v>
      </c>
      <c r="G111" s="80"/>
      <c r="H111" s="80"/>
      <c r="I111" s="80">
        <v>606</v>
      </c>
      <c r="J111" s="96"/>
      <c r="K111" s="28"/>
      <c r="L111" s="21"/>
    </row>
    <row r="112" spans="1:12" hidden="1" x14ac:dyDescent="0.25">
      <c r="A112" s="1907"/>
      <c r="B112" s="1220"/>
      <c r="C112" s="1117"/>
      <c r="D112" s="28" t="s">
        <v>357</v>
      </c>
      <c r="E112" s="94"/>
      <c r="F112" s="97">
        <f>(F111/F109)*100</f>
        <v>37.5</v>
      </c>
      <c r="G112" s="94"/>
      <c r="H112" s="94"/>
      <c r="I112" s="98">
        <f>I111/I109*100</f>
        <v>54.3010752688172</v>
      </c>
      <c r="J112" s="96"/>
      <c r="K112" s="28"/>
      <c r="L112" s="21"/>
    </row>
    <row r="113" spans="1:12" ht="14.85" hidden="1" customHeight="1" x14ac:dyDescent="0.25">
      <c r="A113" s="1907"/>
      <c r="B113" s="1220"/>
      <c r="C113" s="1117" t="s">
        <v>369</v>
      </c>
      <c r="D113" s="144" t="s">
        <v>251</v>
      </c>
      <c r="E113" s="94"/>
      <c r="F113" s="80">
        <v>915</v>
      </c>
      <c r="G113" s="80"/>
      <c r="H113" s="80"/>
      <c r="I113" s="80">
        <v>921</v>
      </c>
      <c r="J113" s="96"/>
      <c r="K113" s="28"/>
      <c r="L113" s="21"/>
    </row>
    <row r="114" spans="1:12" hidden="1" x14ac:dyDescent="0.25">
      <c r="A114" s="1907"/>
      <c r="B114" s="1220"/>
      <c r="C114" s="1117"/>
      <c r="D114" s="28" t="s">
        <v>257</v>
      </c>
      <c r="E114" s="94"/>
      <c r="F114" s="80">
        <v>660</v>
      </c>
      <c r="G114" s="80"/>
      <c r="H114" s="80"/>
      <c r="I114" s="80">
        <v>672</v>
      </c>
      <c r="J114" s="96"/>
      <c r="K114" s="28"/>
      <c r="L114" s="21"/>
    </row>
    <row r="115" spans="1:12" hidden="1" x14ac:dyDescent="0.25">
      <c r="A115" s="1907"/>
      <c r="B115" s="1220"/>
      <c r="C115" s="1117"/>
      <c r="D115" s="28" t="s">
        <v>263</v>
      </c>
      <c r="E115" s="94"/>
      <c r="F115" s="80">
        <v>250</v>
      </c>
      <c r="G115" s="80"/>
      <c r="H115" s="80"/>
      <c r="I115" s="80">
        <v>252</v>
      </c>
      <c r="J115" s="96"/>
      <c r="K115" s="28"/>
      <c r="L115" s="21"/>
    </row>
    <row r="116" spans="1:12" hidden="1" x14ac:dyDescent="0.25">
      <c r="A116" s="1907"/>
      <c r="B116" s="1220"/>
      <c r="C116" s="1117"/>
      <c r="D116" s="28" t="s">
        <v>357</v>
      </c>
      <c r="E116" s="94"/>
      <c r="F116" s="97">
        <f>(F115/F113)*100</f>
        <v>27.322404371584703</v>
      </c>
      <c r="G116" s="94"/>
      <c r="H116" s="94"/>
      <c r="I116" s="97">
        <f>I115/I113*100</f>
        <v>27.361563517915311</v>
      </c>
      <c r="J116" s="96"/>
      <c r="K116" s="28"/>
      <c r="L116" s="21"/>
    </row>
    <row r="117" spans="1:12" ht="14.85" hidden="1" customHeight="1" x14ac:dyDescent="0.25">
      <c r="A117" s="1907"/>
      <c r="B117" s="1220"/>
      <c r="C117" s="1117" t="s">
        <v>370</v>
      </c>
      <c r="D117" s="144" t="s">
        <v>251</v>
      </c>
      <c r="E117" s="94"/>
      <c r="F117" s="80">
        <v>320</v>
      </c>
      <c r="G117" s="80"/>
      <c r="H117" s="80"/>
      <c r="I117" s="80">
        <v>309</v>
      </c>
      <c r="J117" s="96"/>
      <c r="K117" s="28"/>
      <c r="L117" s="21"/>
    </row>
    <row r="118" spans="1:12" hidden="1" x14ac:dyDescent="0.25">
      <c r="A118" s="1907"/>
      <c r="B118" s="1220"/>
      <c r="C118" s="1117"/>
      <c r="D118" s="28" t="s">
        <v>257</v>
      </c>
      <c r="E118" s="94"/>
      <c r="F118" s="80">
        <v>80</v>
      </c>
      <c r="G118" s="80"/>
      <c r="H118" s="80"/>
      <c r="I118" s="80">
        <v>75</v>
      </c>
      <c r="J118" s="96"/>
      <c r="K118" s="28"/>
      <c r="L118" s="21"/>
    </row>
    <row r="119" spans="1:12" hidden="1" x14ac:dyDescent="0.25">
      <c r="A119" s="1907"/>
      <c r="B119" s="1220"/>
      <c r="C119" s="1117"/>
      <c r="D119" s="28" t="s">
        <v>263</v>
      </c>
      <c r="E119" s="94"/>
      <c r="F119" s="80">
        <v>240</v>
      </c>
      <c r="G119" s="80"/>
      <c r="H119" s="80"/>
      <c r="I119" s="80">
        <v>237</v>
      </c>
      <c r="J119" s="96"/>
      <c r="K119" s="28"/>
      <c r="L119" s="21"/>
    </row>
    <row r="120" spans="1:12" hidden="1" x14ac:dyDescent="0.25">
      <c r="A120" s="1907"/>
      <c r="B120" s="1220"/>
      <c r="C120" s="1117"/>
      <c r="D120" s="28" t="s">
        <v>357</v>
      </c>
      <c r="E120" s="94"/>
      <c r="F120" s="99">
        <f>(F119/F117)*100</f>
        <v>75</v>
      </c>
      <c r="G120" s="94"/>
      <c r="H120" s="94"/>
      <c r="I120" s="99">
        <f>I119/I117*100</f>
        <v>76.699029126213588</v>
      </c>
      <c r="J120" s="96"/>
      <c r="K120" s="28"/>
      <c r="L120" s="21"/>
    </row>
    <row r="121" spans="1:12" ht="14.85" hidden="1" customHeight="1" x14ac:dyDescent="0.25">
      <c r="A121" s="1907"/>
      <c r="B121" s="1220"/>
      <c r="C121" s="1117" t="s">
        <v>371</v>
      </c>
      <c r="D121" s="144" t="s">
        <v>251</v>
      </c>
      <c r="E121" s="94"/>
      <c r="F121" s="80"/>
      <c r="G121" s="80"/>
      <c r="H121" s="80"/>
      <c r="I121" s="80">
        <v>297</v>
      </c>
      <c r="J121" s="96"/>
      <c r="K121" s="28"/>
      <c r="L121" s="21"/>
    </row>
    <row r="122" spans="1:12" hidden="1" x14ac:dyDescent="0.25">
      <c r="A122" s="1907"/>
      <c r="B122" s="1220"/>
      <c r="C122" s="1117"/>
      <c r="D122" s="28" t="s">
        <v>257</v>
      </c>
      <c r="E122" s="94"/>
      <c r="F122" s="80"/>
      <c r="G122" s="80"/>
      <c r="H122" s="80"/>
      <c r="I122" s="80">
        <v>159</v>
      </c>
      <c r="J122" s="96"/>
      <c r="K122" s="28"/>
      <c r="L122" s="21"/>
    </row>
    <row r="123" spans="1:12" hidden="1" x14ac:dyDescent="0.25">
      <c r="A123" s="1907"/>
      <c r="B123" s="1220"/>
      <c r="C123" s="1117"/>
      <c r="D123" s="28" t="s">
        <v>263</v>
      </c>
      <c r="E123" s="94"/>
      <c r="F123" s="80"/>
      <c r="G123" s="80"/>
      <c r="H123" s="80"/>
      <c r="I123" s="80">
        <v>138</v>
      </c>
      <c r="J123" s="96"/>
      <c r="K123" s="28"/>
      <c r="L123" s="21"/>
    </row>
    <row r="124" spans="1:12" hidden="1" x14ac:dyDescent="0.25">
      <c r="A124" s="1907"/>
      <c r="B124" s="1220"/>
      <c r="C124" s="1117"/>
      <c r="D124" s="28" t="s">
        <v>357</v>
      </c>
      <c r="E124" s="94"/>
      <c r="F124" s="206"/>
      <c r="G124" s="94"/>
      <c r="H124" s="94"/>
      <c r="I124" s="98">
        <f>I123/I121*100</f>
        <v>46.464646464646464</v>
      </c>
      <c r="J124" s="96"/>
      <c r="K124" s="28"/>
      <c r="L124" s="21"/>
    </row>
    <row r="125" spans="1:12" ht="14.85" hidden="1" customHeight="1" x14ac:dyDescent="0.25">
      <c r="A125" s="1907"/>
      <c r="B125" s="1220"/>
      <c r="C125" s="1117" t="s">
        <v>372</v>
      </c>
      <c r="D125" s="144" t="s">
        <v>251</v>
      </c>
      <c r="E125" s="94"/>
      <c r="F125" s="80">
        <v>890</v>
      </c>
      <c r="G125" s="80"/>
      <c r="H125" s="80"/>
      <c r="I125" s="80">
        <v>663</v>
      </c>
      <c r="J125" s="96"/>
      <c r="K125" s="28"/>
      <c r="L125" s="21"/>
    </row>
    <row r="126" spans="1:12" ht="14.85" hidden="1" customHeight="1" x14ac:dyDescent="0.25">
      <c r="A126" s="1907"/>
      <c r="B126" s="1220"/>
      <c r="C126" s="1117"/>
      <c r="D126" s="28" t="s">
        <v>257</v>
      </c>
      <c r="E126" s="94"/>
      <c r="F126" s="80">
        <v>745</v>
      </c>
      <c r="G126" s="80"/>
      <c r="H126" s="80"/>
      <c r="I126" s="80">
        <v>489</v>
      </c>
      <c r="J126" s="96"/>
      <c r="K126" s="28"/>
      <c r="L126" s="21"/>
    </row>
    <row r="127" spans="1:12" hidden="1" x14ac:dyDescent="0.25">
      <c r="A127" s="1907"/>
      <c r="B127" s="1220"/>
      <c r="C127" s="1117"/>
      <c r="D127" s="28" t="s">
        <v>263</v>
      </c>
      <c r="E127" s="94"/>
      <c r="F127" s="80">
        <v>145</v>
      </c>
      <c r="G127" s="80"/>
      <c r="H127" s="80"/>
      <c r="I127" s="80">
        <v>174</v>
      </c>
      <c r="J127" s="96"/>
      <c r="K127" s="28"/>
      <c r="L127" s="21"/>
    </row>
    <row r="128" spans="1:12" hidden="1" x14ac:dyDescent="0.25">
      <c r="A128" s="1907"/>
      <c r="B128" s="1220"/>
      <c r="C128" s="1117"/>
      <c r="D128" s="28" t="s">
        <v>357</v>
      </c>
      <c r="E128" s="94"/>
      <c r="F128" s="97">
        <f>(F127/F125)*100</f>
        <v>16.292134831460675</v>
      </c>
      <c r="G128" s="94"/>
      <c r="H128" s="94"/>
      <c r="I128" s="97">
        <f>I127/I125*100</f>
        <v>26.244343891402718</v>
      </c>
      <c r="J128" s="96"/>
      <c r="K128" s="28"/>
      <c r="L128" s="21"/>
    </row>
    <row r="129" spans="1:12" ht="14.85" hidden="1" customHeight="1" x14ac:dyDescent="0.25">
      <c r="A129" s="1907"/>
      <c r="B129" s="1220"/>
      <c r="C129" s="1117" t="s">
        <v>373</v>
      </c>
      <c r="D129" s="144" t="s">
        <v>251</v>
      </c>
      <c r="E129" s="94"/>
      <c r="F129" s="80">
        <v>300</v>
      </c>
      <c r="G129" s="80"/>
      <c r="H129" s="80"/>
      <c r="I129" s="80">
        <v>120</v>
      </c>
      <c r="J129" s="96"/>
      <c r="K129" s="28"/>
      <c r="L129" s="21"/>
    </row>
    <row r="130" spans="1:12" hidden="1" x14ac:dyDescent="0.25">
      <c r="A130" s="1907"/>
      <c r="B130" s="1220"/>
      <c r="C130" s="1117"/>
      <c r="D130" s="28" t="s">
        <v>257</v>
      </c>
      <c r="E130" s="94"/>
      <c r="F130" s="80">
        <v>235</v>
      </c>
      <c r="G130" s="80"/>
      <c r="H130" s="80"/>
      <c r="I130" s="80">
        <v>99</v>
      </c>
      <c r="J130" s="96"/>
      <c r="K130" s="28"/>
      <c r="L130" s="21"/>
    </row>
    <row r="131" spans="1:12" hidden="1" x14ac:dyDescent="0.25">
      <c r="A131" s="1907"/>
      <c r="B131" s="1220"/>
      <c r="C131" s="1117"/>
      <c r="D131" s="28" t="s">
        <v>263</v>
      </c>
      <c r="E131" s="94"/>
      <c r="F131" s="80">
        <v>65</v>
      </c>
      <c r="G131" s="80"/>
      <c r="H131" s="80"/>
      <c r="I131" s="80">
        <v>21</v>
      </c>
      <c r="J131" s="96"/>
      <c r="K131" s="28"/>
      <c r="L131" s="21"/>
    </row>
    <row r="132" spans="1:12" hidden="1" x14ac:dyDescent="0.25">
      <c r="A132" s="1907"/>
      <c r="B132" s="1220"/>
      <c r="C132" s="1117"/>
      <c r="D132" s="28" t="s">
        <v>357</v>
      </c>
      <c r="E132" s="94"/>
      <c r="F132" s="97">
        <f>(F131/F129)*100</f>
        <v>21.666666666666668</v>
      </c>
      <c r="G132" s="94"/>
      <c r="H132" s="94"/>
      <c r="I132" s="97">
        <f>I131/I129*100</f>
        <v>17.5</v>
      </c>
      <c r="J132" s="96"/>
      <c r="K132" s="28"/>
      <c r="L132" s="21"/>
    </row>
    <row r="133" spans="1:12" ht="14.85" hidden="1" customHeight="1" x14ac:dyDescent="0.25">
      <c r="A133" s="1907"/>
      <c r="B133" s="1220"/>
      <c r="C133" s="1117" t="s">
        <v>374</v>
      </c>
      <c r="D133" s="144" t="s">
        <v>251</v>
      </c>
      <c r="E133" s="94"/>
      <c r="F133" s="80">
        <v>185</v>
      </c>
      <c r="G133" s="80"/>
      <c r="H133" s="80"/>
      <c r="I133" s="80">
        <v>282</v>
      </c>
      <c r="J133" s="96"/>
      <c r="K133" s="28"/>
      <c r="L133" s="21"/>
    </row>
    <row r="134" spans="1:12" hidden="1" x14ac:dyDescent="0.25">
      <c r="A134" s="1907"/>
      <c r="B134" s="1220"/>
      <c r="C134" s="1117"/>
      <c r="D134" s="28" t="s">
        <v>257</v>
      </c>
      <c r="E134" s="94"/>
      <c r="F134" s="80">
        <v>55</v>
      </c>
      <c r="G134" s="80"/>
      <c r="H134" s="80"/>
      <c r="I134" s="80">
        <v>108</v>
      </c>
      <c r="J134" s="96"/>
      <c r="K134" s="28"/>
      <c r="L134" s="21"/>
    </row>
    <row r="135" spans="1:12" hidden="1" x14ac:dyDescent="0.25">
      <c r="A135" s="1907"/>
      <c r="B135" s="1220"/>
      <c r="C135" s="1117"/>
      <c r="D135" s="28" t="s">
        <v>263</v>
      </c>
      <c r="E135" s="94"/>
      <c r="F135" s="80">
        <v>125</v>
      </c>
      <c r="G135" s="80"/>
      <c r="H135" s="80"/>
      <c r="I135" s="80">
        <v>174</v>
      </c>
      <c r="J135" s="96"/>
      <c r="K135" s="28"/>
      <c r="L135" s="21"/>
    </row>
    <row r="136" spans="1:12" hidden="1" x14ac:dyDescent="0.25">
      <c r="A136" s="1907"/>
      <c r="B136" s="1220"/>
      <c r="C136" s="1117"/>
      <c r="D136" s="28" t="s">
        <v>357</v>
      </c>
      <c r="E136" s="94"/>
      <c r="F136" s="99">
        <f>(F135/F133)*100</f>
        <v>67.567567567567565</v>
      </c>
      <c r="G136" s="94"/>
      <c r="H136" s="94"/>
      <c r="I136" s="99">
        <f>I135/I133*100</f>
        <v>61.702127659574465</v>
      </c>
      <c r="J136" s="96"/>
      <c r="K136" s="28"/>
      <c r="L136" s="21"/>
    </row>
    <row r="137" spans="1:12" ht="14.85" hidden="1" customHeight="1" x14ac:dyDescent="0.25">
      <c r="A137" s="1907"/>
      <c r="B137" s="1220"/>
      <c r="C137" s="1117" t="s">
        <v>375</v>
      </c>
      <c r="D137" s="144" t="s">
        <v>251</v>
      </c>
      <c r="E137" s="94"/>
      <c r="F137" s="80">
        <v>40</v>
      </c>
      <c r="G137" s="80"/>
      <c r="H137" s="80"/>
      <c r="I137" s="80">
        <v>75</v>
      </c>
      <c r="J137" s="96"/>
      <c r="K137" s="28"/>
      <c r="L137" s="21"/>
    </row>
    <row r="138" spans="1:12" ht="14.85" hidden="1" customHeight="1" x14ac:dyDescent="0.25">
      <c r="A138" s="1907"/>
      <c r="B138" s="1220"/>
      <c r="C138" s="1117"/>
      <c r="D138" s="28" t="s">
        <v>257</v>
      </c>
      <c r="E138" s="94"/>
      <c r="F138" s="80">
        <v>40</v>
      </c>
      <c r="G138" s="80"/>
      <c r="H138" s="80"/>
      <c r="I138" s="80">
        <v>33</v>
      </c>
      <c r="J138" s="96"/>
      <c r="K138" s="28"/>
      <c r="L138" s="21"/>
    </row>
    <row r="139" spans="1:12" hidden="1" x14ac:dyDescent="0.25">
      <c r="A139" s="1907"/>
      <c r="B139" s="1220"/>
      <c r="C139" s="1117"/>
      <c r="D139" s="28" t="s">
        <v>263</v>
      </c>
      <c r="E139" s="94"/>
      <c r="F139" s="80">
        <v>0</v>
      </c>
      <c r="G139" s="80"/>
      <c r="H139" s="80"/>
      <c r="I139" s="80">
        <v>42</v>
      </c>
      <c r="J139" s="96"/>
      <c r="K139" s="28"/>
      <c r="L139" s="21"/>
    </row>
    <row r="140" spans="1:12" hidden="1" x14ac:dyDescent="0.25">
      <c r="A140" s="1907"/>
      <c r="B140" s="1220"/>
      <c r="C140" s="1117"/>
      <c r="D140" s="28" t="s">
        <v>357</v>
      </c>
      <c r="E140" s="94"/>
      <c r="F140" s="97">
        <f>(F139/F137)*100</f>
        <v>0</v>
      </c>
      <c r="G140" s="94"/>
      <c r="H140" s="94"/>
      <c r="I140" s="98">
        <f>I139/I137*100</f>
        <v>56.000000000000007</v>
      </c>
      <c r="J140" s="96"/>
      <c r="K140" s="28"/>
      <c r="L140" s="21"/>
    </row>
    <row r="141" spans="1:12" ht="14.85" hidden="1" customHeight="1" x14ac:dyDescent="0.25">
      <c r="A141" s="1907"/>
      <c r="B141" s="1220"/>
      <c r="C141" s="1117" t="s">
        <v>376</v>
      </c>
      <c r="D141" s="144" t="s">
        <v>251</v>
      </c>
      <c r="E141" s="94"/>
      <c r="F141" s="80">
        <v>730</v>
      </c>
      <c r="G141" s="80"/>
      <c r="H141" s="80"/>
      <c r="I141" s="80">
        <v>1050</v>
      </c>
      <c r="J141" s="96"/>
      <c r="K141" s="28"/>
      <c r="L141" s="21"/>
    </row>
    <row r="142" spans="1:12" ht="14.85" hidden="1" customHeight="1" x14ac:dyDescent="0.25">
      <c r="A142" s="1907"/>
      <c r="B142" s="1220"/>
      <c r="C142" s="1117"/>
      <c r="D142" s="28" t="s">
        <v>257</v>
      </c>
      <c r="E142" s="94"/>
      <c r="F142" s="80">
        <v>480</v>
      </c>
      <c r="G142" s="80"/>
      <c r="H142" s="80"/>
      <c r="I142" s="80">
        <v>636</v>
      </c>
      <c r="J142" s="96"/>
      <c r="K142" s="28"/>
      <c r="L142" s="21"/>
    </row>
    <row r="143" spans="1:12" hidden="1" x14ac:dyDescent="0.25">
      <c r="A143" s="1907"/>
      <c r="B143" s="1220"/>
      <c r="C143" s="1117"/>
      <c r="D143" s="28" t="s">
        <v>263</v>
      </c>
      <c r="E143" s="94"/>
      <c r="F143" s="80">
        <v>250</v>
      </c>
      <c r="G143" s="80"/>
      <c r="H143" s="80"/>
      <c r="I143" s="80">
        <v>414</v>
      </c>
      <c r="J143" s="96"/>
      <c r="K143" s="28"/>
      <c r="L143" s="21"/>
    </row>
    <row r="144" spans="1:12" hidden="1" x14ac:dyDescent="0.25">
      <c r="A144" s="1907"/>
      <c r="B144" s="1220"/>
      <c r="C144" s="1117"/>
      <c r="D144" s="28" t="s">
        <v>357</v>
      </c>
      <c r="E144" s="94"/>
      <c r="F144" s="97">
        <f>(F143/F141)*100</f>
        <v>34.246575342465754</v>
      </c>
      <c r="G144" s="94"/>
      <c r="H144" s="94"/>
      <c r="I144" s="97">
        <f>I143/I141*100</f>
        <v>39.428571428571431</v>
      </c>
      <c r="J144" s="96"/>
      <c r="K144" s="28"/>
      <c r="L144" s="21"/>
    </row>
    <row r="145" spans="1:12" ht="14.85" hidden="1" customHeight="1" x14ac:dyDescent="0.25">
      <c r="A145" s="1907"/>
      <c r="B145" s="1220"/>
      <c r="C145" s="1117" t="s">
        <v>377</v>
      </c>
      <c r="D145" s="144" t="s">
        <v>251</v>
      </c>
      <c r="E145" s="94"/>
      <c r="F145" s="80">
        <v>730</v>
      </c>
      <c r="G145" s="80"/>
      <c r="H145" s="80"/>
      <c r="I145" s="80">
        <v>981</v>
      </c>
      <c r="J145" s="96"/>
      <c r="K145" s="28"/>
      <c r="L145" s="21"/>
    </row>
    <row r="146" spans="1:12" hidden="1" x14ac:dyDescent="0.25">
      <c r="A146" s="1907"/>
      <c r="B146" s="1220"/>
      <c r="C146" s="1117"/>
      <c r="D146" s="28" t="s">
        <v>257</v>
      </c>
      <c r="E146" s="94"/>
      <c r="F146" s="80">
        <v>480</v>
      </c>
      <c r="G146" s="80"/>
      <c r="H146" s="80"/>
      <c r="I146" s="80">
        <v>294</v>
      </c>
      <c r="J146" s="96"/>
      <c r="K146" s="28"/>
      <c r="L146" s="21"/>
    </row>
    <row r="147" spans="1:12" hidden="1" x14ac:dyDescent="0.25">
      <c r="A147" s="1907"/>
      <c r="B147" s="1220"/>
      <c r="C147" s="1117"/>
      <c r="D147" s="28" t="s">
        <v>263</v>
      </c>
      <c r="E147" s="94"/>
      <c r="F147" s="80">
        <v>250</v>
      </c>
      <c r="G147" s="80"/>
      <c r="H147" s="80"/>
      <c r="I147" s="80">
        <v>684</v>
      </c>
      <c r="J147" s="96"/>
      <c r="K147" s="28"/>
      <c r="L147" s="21"/>
    </row>
    <row r="148" spans="1:12" hidden="1" x14ac:dyDescent="0.25">
      <c r="A148" s="1907"/>
      <c r="B148" s="1220"/>
      <c r="C148" s="1117"/>
      <c r="D148" s="28" t="s">
        <v>357</v>
      </c>
      <c r="E148" s="94"/>
      <c r="F148" s="97">
        <f>(F147/F145)*100</f>
        <v>34.246575342465754</v>
      </c>
      <c r="G148" s="94"/>
      <c r="H148" s="94"/>
      <c r="I148" s="99">
        <f>I147/I145*100</f>
        <v>69.724770642201833</v>
      </c>
      <c r="J148" s="96"/>
      <c r="K148" s="28"/>
      <c r="L148" s="21"/>
    </row>
    <row r="149" spans="1:12" ht="14.85" hidden="1" customHeight="1" x14ac:dyDescent="0.25">
      <c r="A149" s="1907"/>
      <c r="B149" s="1220"/>
      <c r="C149" s="1117" t="s">
        <v>378</v>
      </c>
      <c r="D149" s="144" t="s">
        <v>251</v>
      </c>
      <c r="E149" s="94"/>
      <c r="F149" s="80">
        <v>255</v>
      </c>
      <c r="G149" s="80"/>
      <c r="H149" s="80"/>
      <c r="I149" s="80">
        <v>546</v>
      </c>
      <c r="J149" s="96"/>
      <c r="K149" s="28"/>
      <c r="L149" s="21"/>
    </row>
    <row r="150" spans="1:12" hidden="1" x14ac:dyDescent="0.25">
      <c r="A150" s="1907"/>
      <c r="B150" s="1220"/>
      <c r="C150" s="1117"/>
      <c r="D150" s="28" t="s">
        <v>257</v>
      </c>
      <c r="E150" s="94"/>
      <c r="F150" s="80">
        <v>135</v>
      </c>
      <c r="G150" s="80"/>
      <c r="H150" s="80"/>
      <c r="I150" s="80">
        <v>258</v>
      </c>
      <c r="J150" s="96"/>
      <c r="K150" s="28"/>
      <c r="L150" s="21"/>
    </row>
    <row r="151" spans="1:12" hidden="1" x14ac:dyDescent="0.25">
      <c r="A151" s="1907"/>
      <c r="B151" s="1220"/>
      <c r="C151" s="1117"/>
      <c r="D151" s="28" t="s">
        <v>263</v>
      </c>
      <c r="E151" s="94"/>
      <c r="F151" s="80">
        <v>120</v>
      </c>
      <c r="G151" s="80"/>
      <c r="H151" s="80"/>
      <c r="I151" s="80">
        <v>288</v>
      </c>
      <c r="J151" s="96"/>
      <c r="K151" s="28"/>
      <c r="L151" s="21"/>
    </row>
    <row r="152" spans="1:12" hidden="1" x14ac:dyDescent="0.25">
      <c r="A152" s="1907"/>
      <c r="B152" s="1220"/>
      <c r="C152" s="1117"/>
      <c r="D152" s="28" t="s">
        <v>357</v>
      </c>
      <c r="E152" s="94"/>
      <c r="F152" s="98">
        <f>(F151/F149)*100</f>
        <v>47.058823529411761</v>
      </c>
      <c r="G152" s="94"/>
      <c r="H152" s="94"/>
      <c r="I152" s="98">
        <f>I151/I149*100</f>
        <v>52.747252747252752</v>
      </c>
      <c r="J152" s="96"/>
      <c r="K152" s="28"/>
      <c r="L152" s="21"/>
    </row>
    <row r="153" spans="1:12" ht="14.85" hidden="1" customHeight="1" x14ac:dyDescent="0.25">
      <c r="A153" s="1907"/>
      <c r="B153" s="1220"/>
      <c r="C153" s="1117" t="s">
        <v>379</v>
      </c>
      <c r="D153" s="144" t="s">
        <v>251</v>
      </c>
      <c r="E153" s="94"/>
      <c r="F153" s="80">
        <v>1035</v>
      </c>
      <c r="G153" s="80"/>
      <c r="H153" s="80"/>
      <c r="I153" s="80">
        <v>813</v>
      </c>
      <c r="J153" s="96"/>
      <c r="K153" s="28"/>
      <c r="L153" s="21"/>
    </row>
    <row r="154" spans="1:12" hidden="1" x14ac:dyDescent="0.25">
      <c r="A154" s="1907"/>
      <c r="B154" s="1220"/>
      <c r="C154" s="1117"/>
      <c r="D154" s="28" t="s">
        <v>257</v>
      </c>
      <c r="E154" s="94"/>
      <c r="F154" s="80">
        <v>875</v>
      </c>
      <c r="G154" s="80"/>
      <c r="H154" s="80"/>
      <c r="I154" s="80">
        <v>609</v>
      </c>
      <c r="J154" s="96"/>
      <c r="K154" s="28"/>
      <c r="L154" s="21"/>
    </row>
    <row r="155" spans="1:12" hidden="1" x14ac:dyDescent="0.25">
      <c r="A155" s="1907"/>
      <c r="B155" s="1220"/>
      <c r="C155" s="1117"/>
      <c r="D155" s="28" t="s">
        <v>263</v>
      </c>
      <c r="E155" s="94"/>
      <c r="F155" s="80">
        <v>165</v>
      </c>
      <c r="G155" s="80"/>
      <c r="H155" s="80"/>
      <c r="I155" s="80">
        <v>207</v>
      </c>
      <c r="J155" s="96"/>
      <c r="K155" s="28"/>
      <c r="L155" s="21"/>
    </row>
    <row r="156" spans="1:12" hidden="1" x14ac:dyDescent="0.25">
      <c r="A156" s="1907"/>
      <c r="B156" s="1220"/>
      <c r="C156" s="1117"/>
      <c r="D156" s="28" t="s">
        <v>357</v>
      </c>
      <c r="E156" s="94"/>
      <c r="F156" s="97">
        <f>(F155/F153)*100</f>
        <v>15.942028985507244</v>
      </c>
      <c r="G156" s="94"/>
      <c r="H156" s="94"/>
      <c r="I156" s="97">
        <f>I155/I153*100</f>
        <v>25.461254612546124</v>
      </c>
      <c r="J156" s="96"/>
      <c r="K156" s="28"/>
      <c r="L156" s="21"/>
    </row>
    <row r="157" spans="1:12" ht="14.85" hidden="1" customHeight="1" x14ac:dyDescent="0.25">
      <c r="A157" s="1907"/>
      <c r="B157" s="1220"/>
      <c r="C157" s="1117" t="s">
        <v>380</v>
      </c>
      <c r="D157" s="144" t="s">
        <v>251</v>
      </c>
      <c r="E157" s="94"/>
      <c r="F157" s="80">
        <v>1675</v>
      </c>
      <c r="G157" s="80"/>
      <c r="H157" s="80"/>
      <c r="I157" s="80">
        <v>942</v>
      </c>
      <c r="J157" s="96"/>
      <c r="K157" s="28"/>
      <c r="L157" s="21"/>
    </row>
    <row r="158" spans="1:12" hidden="1" x14ac:dyDescent="0.25">
      <c r="A158" s="1907"/>
      <c r="B158" s="1220"/>
      <c r="C158" s="1117"/>
      <c r="D158" s="28" t="s">
        <v>257</v>
      </c>
      <c r="E158" s="94"/>
      <c r="F158" s="80">
        <v>690</v>
      </c>
      <c r="G158" s="80"/>
      <c r="H158" s="80"/>
      <c r="I158" s="80">
        <v>465</v>
      </c>
      <c r="J158" s="96"/>
      <c r="K158" s="28"/>
      <c r="L158" s="21"/>
    </row>
    <row r="159" spans="1:12" hidden="1" x14ac:dyDescent="0.25">
      <c r="A159" s="1907"/>
      <c r="B159" s="1220"/>
      <c r="C159" s="1117"/>
      <c r="D159" s="28" t="s">
        <v>263</v>
      </c>
      <c r="E159" s="94"/>
      <c r="F159" s="80">
        <v>990</v>
      </c>
      <c r="G159" s="80"/>
      <c r="H159" s="80"/>
      <c r="I159" s="80">
        <v>474</v>
      </c>
      <c r="J159" s="96"/>
      <c r="K159" s="28"/>
      <c r="L159" s="21"/>
    </row>
    <row r="160" spans="1:12" hidden="1" x14ac:dyDescent="0.25">
      <c r="A160" s="1907"/>
      <c r="B160" s="1220"/>
      <c r="C160" s="1117"/>
      <c r="D160" s="28" t="s">
        <v>357</v>
      </c>
      <c r="E160" s="94"/>
      <c r="F160" s="98">
        <f>(F159/F157)*100</f>
        <v>59.104477611940297</v>
      </c>
      <c r="G160" s="94"/>
      <c r="H160" s="94"/>
      <c r="I160" s="98">
        <f>I159/I157*100</f>
        <v>50.318471337579616</v>
      </c>
      <c r="J160" s="96"/>
      <c r="K160" s="28"/>
      <c r="L160" s="21"/>
    </row>
    <row r="161" spans="1:12" ht="14.85" hidden="1" customHeight="1" x14ac:dyDescent="0.25">
      <c r="A161" s="1907"/>
      <c r="B161" s="1220"/>
      <c r="C161" s="1117" t="s">
        <v>381</v>
      </c>
      <c r="D161" s="144" t="s">
        <v>251</v>
      </c>
      <c r="E161" s="94"/>
      <c r="F161" s="80">
        <v>85</v>
      </c>
      <c r="G161" s="80"/>
      <c r="H161" s="80"/>
      <c r="I161" s="80">
        <v>270</v>
      </c>
      <c r="J161" s="28"/>
      <c r="K161" s="28"/>
      <c r="L161" s="21"/>
    </row>
    <row r="162" spans="1:12" ht="14.85" hidden="1" customHeight="1" x14ac:dyDescent="0.25">
      <c r="A162" s="1907"/>
      <c r="B162" s="1220"/>
      <c r="C162" s="1117"/>
      <c r="D162" s="28" t="s">
        <v>257</v>
      </c>
      <c r="E162" s="94"/>
      <c r="F162" s="80">
        <v>40</v>
      </c>
      <c r="G162" s="80"/>
      <c r="H162" s="80"/>
      <c r="I162" s="80">
        <v>135</v>
      </c>
      <c r="J162" s="28"/>
      <c r="K162" s="28"/>
      <c r="L162" s="21"/>
    </row>
    <row r="163" spans="1:12" hidden="1" x14ac:dyDescent="0.25">
      <c r="A163" s="1907"/>
      <c r="B163" s="1220"/>
      <c r="C163" s="1117"/>
      <c r="D163" s="28" t="s">
        <v>263</v>
      </c>
      <c r="E163" s="94"/>
      <c r="F163" s="80">
        <v>45</v>
      </c>
      <c r="G163" s="80"/>
      <c r="H163" s="80"/>
      <c r="I163" s="80">
        <v>135</v>
      </c>
      <c r="J163" s="28"/>
      <c r="K163" s="28"/>
      <c r="L163" s="21"/>
    </row>
    <row r="164" spans="1:12" hidden="1" x14ac:dyDescent="0.25">
      <c r="A164" s="1907"/>
      <c r="B164" s="1220"/>
      <c r="C164" s="1117"/>
      <c r="D164" s="28" t="s">
        <v>357</v>
      </c>
      <c r="E164" s="94"/>
      <c r="F164" s="98">
        <f>(F163/F161)*100</f>
        <v>52.941176470588239</v>
      </c>
      <c r="G164" s="94"/>
      <c r="H164" s="94"/>
      <c r="I164" s="98">
        <f>I163/I161*100</f>
        <v>50</v>
      </c>
      <c r="J164" s="28"/>
      <c r="K164" s="28"/>
      <c r="L164" s="21"/>
    </row>
    <row r="165" spans="1:12" ht="14.85" hidden="1" customHeight="1" x14ac:dyDescent="0.25">
      <c r="A165" s="1907"/>
      <c r="B165" s="1220"/>
      <c r="C165" s="1218" t="s">
        <v>382</v>
      </c>
      <c r="D165" s="145" t="s">
        <v>251</v>
      </c>
      <c r="E165" s="95"/>
      <c r="F165" s="80">
        <v>1725</v>
      </c>
      <c r="G165" s="80"/>
      <c r="H165" s="80"/>
      <c r="I165" s="80">
        <v>1761</v>
      </c>
      <c r="J165" s="96"/>
      <c r="K165" s="96"/>
      <c r="L165" s="200"/>
    </row>
    <row r="166" spans="1:12" hidden="1" x14ac:dyDescent="0.25">
      <c r="A166" s="1907"/>
      <c r="B166" s="1220"/>
      <c r="C166" s="1218"/>
      <c r="D166" s="96" t="s">
        <v>257</v>
      </c>
      <c r="E166" s="95"/>
      <c r="F166" s="80">
        <v>590</v>
      </c>
      <c r="G166" s="80"/>
      <c r="H166" s="80"/>
      <c r="I166" s="80">
        <v>552</v>
      </c>
      <c r="J166" s="96"/>
      <c r="K166" s="96"/>
      <c r="L166" s="200"/>
    </row>
    <row r="167" spans="1:12" hidden="1" x14ac:dyDescent="0.25">
      <c r="A167" s="1907"/>
      <c r="B167" s="1220"/>
      <c r="C167" s="1218"/>
      <c r="D167" s="96" t="s">
        <v>263</v>
      </c>
      <c r="E167" s="95"/>
      <c r="F167" s="80">
        <v>1135</v>
      </c>
      <c r="G167" s="80"/>
      <c r="H167" s="80"/>
      <c r="I167" s="80">
        <v>1209</v>
      </c>
      <c r="J167" s="96"/>
      <c r="K167" s="96"/>
      <c r="L167" s="200"/>
    </row>
    <row r="168" spans="1:12" hidden="1" x14ac:dyDescent="0.25">
      <c r="A168" s="1907"/>
      <c r="B168" s="1220"/>
      <c r="C168" s="1218"/>
      <c r="D168" s="96" t="s">
        <v>357</v>
      </c>
      <c r="E168" s="95"/>
      <c r="F168" s="99">
        <f>(F167/F165)*100</f>
        <v>65.79710144927536</v>
      </c>
      <c r="G168" s="94"/>
      <c r="H168" s="94"/>
      <c r="I168" s="99">
        <f>I167/I165*100</f>
        <v>68.654173764906304</v>
      </c>
      <c r="J168" s="96"/>
      <c r="K168" s="96"/>
      <c r="L168" s="200"/>
    </row>
    <row r="169" spans="1:12" ht="14.85" hidden="1" customHeight="1" x14ac:dyDescent="0.25">
      <c r="A169" s="1907"/>
      <c r="B169" s="1220"/>
      <c r="C169" s="1218" t="s">
        <v>383</v>
      </c>
      <c r="D169" s="145" t="s">
        <v>251</v>
      </c>
      <c r="E169" s="95"/>
      <c r="F169" s="80">
        <v>960</v>
      </c>
      <c r="G169" s="80"/>
      <c r="H169" s="80"/>
      <c r="I169" s="80">
        <v>996</v>
      </c>
      <c r="J169" s="96"/>
      <c r="K169" s="96"/>
      <c r="L169" s="200"/>
    </row>
    <row r="170" spans="1:12" hidden="1" x14ac:dyDescent="0.25">
      <c r="A170" s="1907"/>
      <c r="B170" s="1220"/>
      <c r="C170" s="1218"/>
      <c r="D170" s="96" t="s">
        <v>257</v>
      </c>
      <c r="E170" s="95"/>
      <c r="F170" s="80">
        <v>300</v>
      </c>
      <c r="G170" s="80"/>
      <c r="H170" s="80"/>
      <c r="I170" s="80">
        <v>261</v>
      </c>
      <c r="J170" s="96"/>
      <c r="K170" s="96"/>
      <c r="L170" s="200"/>
    </row>
    <row r="171" spans="1:12" hidden="1" x14ac:dyDescent="0.25">
      <c r="A171" s="1907"/>
      <c r="B171" s="1220"/>
      <c r="C171" s="1218"/>
      <c r="D171" s="96" t="s">
        <v>263</v>
      </c>
      <c r="E171" s="95"/>
      <c r="F171" s="80">
        <v>660</v>
      </c>
      <c r="G171" s="80"/>
      <c r="H171" s="80"/>
      <c r="I171" s="80">
        <v>735</v>
      </c>
      <c r="J171" s="96"/>
      <c r="K171" s="96"/>
      <c r="L171" s="200"/>
    </row>
    <row r="172" spans="1:12" hidden="1" x14ac:dyDescent="0.25">
      <c r="A172" s="1907"/>
      <c r="B172" s="1220"/>
      <c r="C172" s="1218"/>
      <c r="D172" s="96" t="s">
        <v>357</v>
      </c>
      <c r="E172" s="95"/>
      <c r="F172" s="99">
        <f>(F171/F169)*100</f>
        <v>68.75</v>
      </c>
      <c r="G172" s="94"/>
      <c r="H172" s="94"/>
      <c r="I172" s="99">
        <f>I171/I169*100</f>
        <v>73.795180722891558</v>
      </c>
      <c r="J172" s="96"/>
      <c r="K172" s="96"/>
      <c r="L172" s="200"/>
    </row>
    <row r="173" spans="1:12" ht="14.85" hidden="1" customHeight="1" x14ac:dyDescent="0.25">
      <c r="A173" s="1907"/>
      <c r="B173" s="1220"/>
      <c r="C173" s="1218" t="s">
        <v>384</v>
      </c>
      <c r="D173" s="145" t="s">
        <v>251</v>
      </c>
      <c r="E173" s="95"/>
      <c r="F173" s="80">
        <v>1410</v>
      </c>
      <c r="G173" s="80"/>
      <c r="H173" s="80"/>
      <c r="I173" s="80">
        <v>942</v>
      </c>
      <c r="J173" s="96"/>
      <c r="K173" s="96"/>
      <c r="L173" s="200"/>
    </row>
    <row r="174" spans="1:12" hidden="1" x14ac:dyDescent="0.25">
      <c r="A174" s="1907"/>
      <c r="B174" s="1220"/>
      <c r="C174" s="1218"/>
      <c r="D174" s="96" t="s">
        <v>257</v>
      </c>
      <c r="E174" s="95"/>
      <c r="F174" s="80">
        <v>400</v>
      </c>
      <c r="G174" s="80"/>
      <c r="H174" s="80"/>
      <c r="I174" s="80">
        <v>267</v>
      </c>
      <c r="J174" s="96"/>
      <c r="K174" s="96"/>
      <c r="L174" s="200"/>
    </row>
    <row r="175" spans="1:12" hidden="1" x14ac:dyDescent="0.25">
      <c r="A175" s="1907"/>
      <c r="B175" s="1220"/>
      <c r="C175" s="1218"/>
      <c r="D175" s="96" t="s">
        <v>263</v>
      </c>
      <c r="E175" s="95"/>
      <c r="F175" s="80">
        <v>1010</v>
      </c>
      <c r="G175" s="80"/>
      <c r="H175" s="80"/>
      <c r="I175" s="80">
        <v>675</v>
      </c>
      <c r="J175" s="96"/>
      <c r="K175" s="96"/>
      <c r="L175" s="200"/>
    </row>
    <row r="176" spans="1:12" hidden="1" x14ac:dyDescent="0.25">
      <c r="A176" s="1907"/>
      <c r="B176" s="1220"/>
      <c r="C176" s="1218"/>
      <c r="D176" s="96" t="s">
        <v>357</v>
      </c>
      <c r="E176" s="95"/>
      <c r="F176" s="99">
        <f>(F175/F173)*100</f>
        <v>71.63120567375887</v>
      </c>
      <c r="G176" s="94"/>
      <c r="H176" s="94"/>
      <c r="I176" s="99">
        <f>I175/I173*100</f>
        <v>71.656050955414003</v>
      </c>
      <c r="J176" s="96"/>
      <c r="K176" s="96"/>
      <c r="L176" s="200"/>
    </row>
    <row r="177" spans="1:12" ht="14.85" hidden="1" customHeight="1" x14ac:dyDescent="0.25">
      <c r="A177" s="1907"/>
      <c r="B177" s="1220"/>
      <c r="C177" s="1218" t="s">
        <v>385</v>
      </c>
      <c r="D177" s="145" t="s">
        <v>251</v>
      </c>
      <c r="E177" s="95"/>
      <c r="F177" s="80">
        <v>415</v>
      </c>
      <c r="G177" s="80"/>
      <c r="H177" s="80"/>
      <c r="I177" s="80">
        <v>210</v>
      </c>
      <c r="J177" s="96"/>
      <c r="K177" s="96"/>
      <c r="L177" s="200"/>
    </row>
    <row r="178" spans="1:12" ht="14.85" hidden="1" customHeight="1" x14ac:dyDescent="0.25">
      <c r="A178" s="1907"/>
      <c r="B178" s="1220"/>
      <c r="C178" s="1218"/>
      <c r="D178" s="96" t="s">
        <v>257</v>
      </c>
      <c r="E178" s="95"/>
      <c r="F178" s="80">
        <v>235</v>
      </c>
      <c r="G178" s="80"/>
      <c r="H178" s="80"/>
      <c r="I178" s="80">
        <v>138</v>
      </c>
      <c r="J178" s="96"/>
      <c r="K178" s="96"/>
      <c r="L178" s="200"/>
    </row>
    <row r="179" spans="1:12" hidden="1" x14ac:dyDescent="0.25">
      <c r="A179" s="1907"/>
      <c r="B179" s="1220"/>
      <c r="C179" s="1218"/>
      <c r="D179" s="96" t="s">
        <v>263</v>
      </c>
      <c r="E179" s="95"/>
      <c r="F179" s="80">
        <v>180</v>
      </c>
      <c r="G179" s="80"/>
      <c r="H179" s="80"/>
      <c r="I179" s="80">
        <v>69</v>
      </c>
      <c r="J179" s="96"/>
      <c r="K179" s="96"/>
      <c r="L179" s="200"/>
    </row>
    <row r="180" spans="1:12" hidden="1" x14ac:dyDescent="0.25">
      <c r="A180" s="1907"/>
      <c r="B180" s="1220"/>
      <c r="C180" s="1218"/>
      <c r="D180" s="96" t="s">
        <v>357</v>
      </c>
      <c r="E180" s="95"/>
      <c r="F180" s="98">
        <f>(F179/F177)*100</f>
        <v>43.373493975903614</v>
      </c>
      <c r="G180" s="94"/>
      <c r="H180" s="94"/>
      <c r="I180" s="97">
        <f>I179/I177*100</f>
        <v>32.857142857142854</v>
      </c>
      <c r="J180" s="96"/>
      <c r="K180" s="96"/>
      <c r="L180" s="200"/>
    </row>
    <row r="181" spans="1:12" ht="14.85" hidden="1" customHeight="1" x14ac:dyDescent="0.25">
      <c r="A181" s="1907"/>
      <c r="B181" s="1220"/>
      <c r="C181" s="1218" t="s">
        <v>386</v>
      </c>
      <c r="D181" s="145" t="s">
        <v>251</v>
      </c>
      <c r="E181" s="95"/>
      <c r="F181" s="80">
        <v>595</v>
      </c>
      <c r="G181" s="80"/>
      <c r="H181" s="80"/>
      <c r="I181" s="80">
        <v>1023</v>
      </c>
      <c r="J181" s="96"/>
      <c r="K181" s="96"/>
      <c r="L181" s="200"/>
    </row>
    <row r="182" spans="1:12" hidden="1" x14ac:dyDescent="0.25">
      <c r="A182" s="1907"/>
      <c r="B182" s="1220"/>
      <c r="C182" s="1218"/>
      <c r="D182" s="96" t="s">
        <v>257</v>
      </c>
      <c r="E182" s="95"/>
      <c r="F182" s="80">
        <v>215</v>
      </c>
      <c r="G182" s="80"/>
      <c r="H182" s="80"/>
      <c r="I182" s="80">
        <v>513</v>
      </c>
      <c r="J182" s="96"/>
      <c r="K182" s="96"/>
      <c r="L182" s="200"/>
    </row>
    <row r="183" spans="1:12" hidden="1" x14ac:dyDescent="0.25">
      <c r="A183" s="1907"/>
      <c r="B183" s="1220"/>
      <c r="C183" s="1218"/>
      <c r="D183" s="96" t="s">
        <v>263</v>
      </c>
      <c r="E183" s="95"/>
      <c r="F183" s="80">
        <v>380</v>
      </c>
      <c r="G183" s="80"/>
      <c r="H183" s="80"/>
      <c r="I183" s="80">
        <v>513</v>
      </c>
      <c r="J183" s="96"/>
      <c r="K183" s="96"/>
      <c r="L183" s="200"/>
    </row>
    <row r="184" spans="1:12" hidden="1" x14ac:dyDescent="0.25">
      <c r="A184" s="1907"/>
      <c r="B184" s="1220"/>
      <c r="C184" s="1218"/>
      <c r="D184" s="96" t="s">
        <v>357</v>
      </c>
      <c r="E184" s="95"/>
      <c r="F184" s="99">
        <f>(F183/F181)*100</f>
        <v>63.865546218487388</v>
      </c>
      <c r="G184" s="94"/>
      <c r="H184" s="94"/>
      <c r="I184" s="98">
        <f>I183/I181*100</f>
        <v>50.146627565982406</v>
      </c>
      <c r="J184" s="96"/>
      <c r="K184" s="96"/>
      <c r="L184" s="200"/>
    </row>
    <row r="185" spans="1:12" ht="14.85" hidden="1" customHeight="1" x14ac:dyDescent="0.25">
      <c r="A185" s="1907"/>
      <c r="B185" s="1220"/>
      <c r="C185" s="1218" t="s">
        <v>387</v>
      </c>
      <c r="D185" s="145" t="s">
        <v>251</v>
      </c>
      <c r="E185" s="95"/>
      <c r="F185" s="80">
        <v>1785</v>
      </c>
      <c r="G185" s="80"/>
      <c r="H185" s="80"/>
      <c r="I185" s="80">
        <v>1680</v>
      </c>
      <c r="J185" s="96"/>
      <c r="K185" s="96"/>
      <c r="L185" s="200"/>
    </row>
    <row r="186" spans="1:12" hidden="1" x14ac:dyDescent="0.25">
      <c r="A186" s="1907"/>
      <c r="B186" s="1220"/>
      <c r="C186" s="1218"/>
      <c r="D186" s="96" t="s">
        <v>257</v>
      </c>
      <c r="E186" s="95"/>
      <c r="F186" s="80">
        <v>715</v>
      </c>
      <c r="G186" s="80"/>
      <c r="H186" s="80"/>
      <c r="I186" s="80">
        <v>744</v>
      </c>
      <c r="J186" s="96"/>
      <c r="K186" s="96"/>
      <c r="L186" s="200"/>
    </row>
    <row r="187" spans="1:12" hidden="1" x14ac:dyDescent="0.25">
      <c r="A187" s="1907"/>
      <c r="B187" s="1220"/>
      <c r="C187" s="1218"/>
      <c r="D187" s="96" t="s">
        <v>263</v>
      </c>
      <c r="E187" s="95"/>
      <c r="F187" s="80">
        <v>1070</v>
      </c>
      <c r="G187" s="80"/>
      <c r="H187" s="80"/>
      <c r="I187" s="80">
        <v>939</v>
      </c>
      <c r="J187" s="96"/>
      <c r="K187" s="96"/>
      <c r="L187" s="200"/>
    </row>
    <row r="188" spans="1:12" hidden="1" x14ac:dyDescent="0.25">
      <c r="A188" s="1907"/>
      <c r="B188" s="1220"/>
      <c r="C188" s="1218"/>
      <c r="D188" s="96" t="s">
        <v>357</v>
      </c>
      <c r="E188" s="95"/>
      <c r="F188" s="98">
        <f>(F187/F185)*100</f>
        <v>59.943977591036415</v>
      </c>
      <c r="G188" s="94"/>
      <c r="H188" s="94"/>
      <c r="I188" s="98">
        <f>I187/I185*100</f>
        <v>55.892857142857146</v>
      </c>
      <c r="J188" s="96"/>
      <c r="K188" s="96"/>
      <c r="L188" s="200"/>
    </row>
    <row r="189" spans="1:12" ht="14.85" hidden="1" customHeight="1" x14ac:dyDescent="0.25">
      <c r="A189" s="1907"/>
      <c r="B189" s="1220"/>
      <c r="C189" s="1218" t="s">
        <v>388</v>
      </c>
      <c r="D189" s="145" t="s">
        <v>251</v>
      </c>
      <c r="E189" s="95"/>
      <c r="F189" s="80">
        <v>10</v>
      </c>
      <c r="G189" s="80"/>
      <c r="H189" s="80"/>
      <c r="I189" s="80">
        <v>345</v>
      </c>
      <c r="J189" s="96"/>
      <c r="K189" s="96"/>
      <c r="L189" s="200"/>
    </row>
    <row r="190" spans="1:12" hidden="1" x14ac:dyDescent="0.25">
      <c r="A190" s="1907"/>
      <c r="B190" s="1220"/>
      <c r="C190" s="1218"/>
      <c r="D190" s="96" t="s">
        <v>257</v>
      </c>
      <c r="E190" s="95"/>
      <c r="F190" s="80">
        <v>0</v>
      </c>
      <c r="G190" s="80"/>
      <c r="H190" s="80"/>
      <c r="I190" s="80">
        <v>195</v>
      </c>
      <c r="J190" s="96"/>
      <c r="K190" s="96"/>
      <c r="L190" s="200"/>
    </row>
    <row r="191" spans="1:12" hidden="1" x14ac:dyDescent="0.25">
      <c r="A191" s="1907"/>
      <c r="B191" s="1220"/>
      <c r="C191" s="1218"/>
      <c r="D191" s="96" t="s">
        <v>263</v>
      </c>
      <c r="E191" s="95"/>
      <c r="F191" s="80">
        <v>10</v>
      </c>
      <c r="G191" s="80"/>
      <c r="H191" s="80"/>
      <c r="I191" s="80">
        <v>150</v>
      </c>
      <c r="J191" s="96"/>
      <c r="K191" s="96"/>
      <c r="L191" s="200"/>
    </row>
    <row r="192" spans="1:12" hidden="1" x14ac:dyDescent="0.25">
      <c r="A192" s="1907"/>
      <c r="B192" s="1220"/>
      <c r="C192" s="1218"/>
      <c r="D192" s="96" t="s">
        <v>357</v>
      </c>
      <c r="E192" s="95"/>
      <c r="F192" s="99">
        <f>(F191/F189)*100</f>
        <v>100</v>
      </c>
      <c r="G192" s="94"/>
      <c r="H192" s="94"/>
      <c r="I192" s="98">
        <f>I191/I189*100</f>
        <v>43.478260869565219</v>
      </c>
      <c r="J192" s="96"/>
      <c r="K192" s="96"/>
      <c r="L192" s="200"/>
    </row>
    <row r="193" spans="1:12" ht="14.85" hidden="1" customHeight="1" x14ac:dyDescent="0.25">
      <c r="A193" s="1907"/>
      <c r="B193" s="1220"/>
      <c r="C193" s="1117" t="s">
        <v>389</v>
      </c>
      <c r="D193" s="144" t="s">
        <v>251</v>
      </c>
      <c r="E193" s="94"/>
      <c r="F193" s="80">
        <v>145</v>
      </c>
      <c r="G193" s="80"/>
      <c r="H193" s="80"/>
      <c r="I193" s="80">
        <v>306</v>
      </c>
      <c r="J193" s="28"/>
      <c r="K193" s="28"/>
      <c r="L193" s="21"/>
    </row>
    <row r="194" spans="1:12" hidden="1" x14ac:dyDescent="0.25">
      <c r="A194" s="1907"/>
      <c r="B194" s="1220"/>
      <c r="C194" s="1117"/>
      <c r="D194" s="28" t="s">
        <v>257</v>
      </c>
      <c r="E194" s="94"/>
      <c r="F194" s="80">
        <v>95</v>
      </c>
      <c r="G194" s="80"/>
      <c r="H194" s="80"/>
      <c r="I194" s="80">
        <v>141</v>
      </c>
      <c r="J194" s="28"/>
      <c r="K194" s="28"/>
      <c r="L194" s="21"/>
    </row>
    <row r="195" spans="1:12" hidden="1" x14ac:dyDescent="0.25">
      <c r="A195" s="1907"/>
      <c r="B195" s="1220"/>
      <c r="C195" s="1117"/>
      <c r="D195" s="28" t="s">
        <v>263</v>
      </c>
      <c r="E195" s="94"/>
      <c r="F195" s="80">
        <v>50</v>
      </c>
      <c r="G195" s="80"/>
      <c r="H195" s="80"/>
      <c r="I195" s="80">
        <v>165</v>
      </c>
      <c r="J195" s="28"/>
      <c r="K195" s="28"/>
      <c r="L195" s="21"/>
    </row>
    <row r="196" spans="1:12" hidden="1" x14ac:dyDescent="0.25">
      <c r="A196" s="1907"/>
      <c r="B196" s="1220"/>
      <c r="C196" s="1117"/>
      <c r="D196" s="28" t="s">
        <v>357</v>
      </c>
      <c r="E196" s="94"/>
      <c r="F196" s="97">
        <f>(F195/F193)*100</f>
        <v>34.482758620689658</v>
      </c>
      <c r="G196" s="94"/>
      <c r="H196" s="94"/>
      <c r="I196" s="98">
        <f>I195/I193*100</f>
        <v>53.921568627450981</v>
      </c>
      <c r="J196" s="28"/>
      <c r="K196" s="28"/>
      <c r="L196" s="21"/>
    </row>
    <row r="197" spans="1:12" ht="14.85" hidden="1" customHeight="1" x14ac:dyDescent="0.25">
      <c r="A197" s="1907"/>
      <c r="B197" s="1220"/>
      <c r="C197" s="1117" t="s">
        <v>390</v>
      </c>
      <c r="D197" s="144" t="s">
        <v>251</v>
      </c>
      <c r="E197" s="94"/>
      <c r="F197" s="80">
        <v>125</v>
      </c>
      <c r="G197" s="80"/>
      <c r="H197" s="80"/>
      <c r="I197" s="80">
        <v>315</v>
      </c>
      <c r="J197" s="28"/>
      <c r="K197" s="28"/>
      <c r="L197" s="21"/>
    </row>
    <row r="198" spans="1:12" ht="14.85" hidden="1" customHeight="1" x14ac:dyDescent="0.25">
      <c r="A198" s="1907"/>
      <c r="B198" s="1220"/>
      <c r="C198" s="1117"/>
      <c r="D198" s="28" t="s">
        <v>257</v>
      </c>
      <c r="E198" s="94"/>
      <c r="F198" s="80">
        <v>30</v>
      </c>
      <c r="G198" s="80"/>
      <c r="H198" s="80"/>
      <c r="I198" s="80">
        <v>84</v>
      </c>
      <c r="J198" s="28"/>
      <c r="K198" s="28"/>
      <c r="L198" s="21"/>
    </row>
    <row r="199" spans="1:12" hidden="1" x14ac:dyDescent="0.25">
      <c r="A199" s="1907"/>
      <c r="B199" s="1220"/>
      <c r="C199" s="1117"/>
      <c r="D199" s="28" t="s">
        <v>263</v>
      </c>
      <c r="E199" s="94"/>
      <c r="F199" s="80">
        <v>95</v>
      </c>
      <c r="G199" s="80"/>
      <c r="H199" s="80"/>
      <c r="I199" s="80">
        <v>231</v>
      </c>
      <c r="J199" s="28"/>
      <c r="K199" s="28"/>
      <c r="L199" s="21"/>
    </row>
    <row r="200" spans="1:12" hidden="1" x14ac:dyDescent="0.25">
      <c r="A200" s="1907"/>
      <c r="B200" s="1220"/>
      <c r="C200" s="1117"/>
      <c r="D200" s="28" t="s">
        <v>357</v>
      </c>
      <c r="E200" s="94"/>
      <c r="F200" s="99">
        <f>(F199/F197)*100</f>
        <v>76</v>
      </c>
      <c r="G200" s="94"/>
      <c r="H200" s="94"/>
      <c r="I200" s="99">
        <f>I199/I197*100</f>
        <v>73.333333333333329</v>
      </c>
      <c r="J200" s="28"/>
      <c r="K200" s="28"/>
      <c r="L200" s="21"/>
    </row>
    <row r="201" spans="1:12" ht="14.85" hidden="1" customHeight="1" x14ac:dyDescent="0.25">
      <c r="A201" s="1907"/>
      <c r="B201" s="1220"/>
      <c r="C201" s="1117" t="s">
        <v>391</v>
      </c>
      <c r="D201" s="144" t="s">
        <v>251</v>
      </c>
      <c r="E201" s="94"/>
      <c r="F201" s="80">
        <v>620</v>
      </c>
      <c r="G201" s="80"/>
      <c r="H201" s="80"/>
      <c r="I201" s="80">
        <v>654</v>
      </c>
      <c r="J201" s="28"/>
      <c r="K201" s="28"/>
      <c r="L201" s="21"/>
    </row>
    <row r="202" spans="1:12" hidden="1" x14ac:dyDescent="0.25">
      <c r="A202" s="1907"/>
      <c r="B202" s="1220"/>
      <c r="C202" s="1117"/>
      <c r="D202" s="28" t="s">
        <v>257</v>
      </c>
      <c r="E202" s="94"/>
      <c r="F202" s="80">
        <v>185</v>
      </c>
      <c r="G202" s="80"/>
      <c r="H202" s="80"/>
      <c r="I202" s="80">
        <v>108</v>
      </c>
      <c r="J202" s="28"/>
      <c r="K202" s="28"/>
      <c r="L202" s="21"/>
    </row>
    <row r="203" spans="1:12" hidden="1" x14ac:dyDescent="0.25">
      <c r="A203" s="1907"/>
      <c r="B203" s="1220"/>
      <c r="C203" s="1117"/>
      <c r="D203" s="28" t="s">
        <v>263</v>
      </c>
      <c r="E203" s="94"/>
      <c r="F203" s="80">
        <v>435</v>
      </c>
      <c r="G203" s="80"/>
      <c r="H203" s="80"/>
      <c r="I203" s="80">
        <v>549</v>
      </c>
      <c r="J203" s="28"/>
      <c r="K203" s="28"/>
      <c r="L203" s="21"/>
    </row>
    <row r="204" spans="1:12" hidden="1" x14ac:dyDescent="0.25">
      <c r="A204" s="1907"/>
      <c r="B204" s="1220"/>
      <c r="C204" s="1117"/>
      <c r="D204" s="28" t="s">
        <v>357</v>
      </c>
      <c r="E204" s="94"/>
      <c r="F204" s="99">
        <f>(F203/F201)*100</f>
        <v>70.161290322580655</v>
      </c>
      <c r="G204" s="94"/>
      <c r="H204" s="94"/>
      <c r="I204" s="99">
        <f>I203/I201*100</f>
        <v>83.944954128440358</v>
      </c>
      <c r="J204" s="28"/>
      <c r="K204" s="28"/>
      <c r="L204" s="21"/>
    </row>
    <row r="205" spans="1:12" ht="14.85" hidden="1" customHeight="1" x14ac:dyDescent="0.25">
      <c r="A205" s="1907"/>
      <c r="B205" s="1220"/>
      <c r="C205" s="1117" t="s">
        <v>392</v>
      </c>
      <c r="D205" s="144" t="s">
        <v>251</v>
      </c>
      <c r="E205" s="94"/>
      <c r="F205" s="80">
        <v>255</v>
      </c>
      <c r="G205" s="80"/>
      <c r="H205" s="80"/>
      <c r="I205" s="80">
        <v>360</v>
      </c>
      <c r="J205" s="28"/>
      <c r="K205" s="28"/>
      <c r="L205" s="21"/>
    </row>
    <row r="206" spans="1:12" hidden="1" x14ac:dyDescent="0.25">
      <c r="A206" s="1907"/>
      <c r="B206" s="1220"/>
      <c r="C206" s="1117"/>
      <c r="D206" s="28" t="s">
        <v>257</v>
      </c>
      <c r="E206" s="94"/>
      <c r="F206" s="80">
        <v>35</v>
      </c>
      <c r="G206" s="80"/>
      <c r="H206" s="80"/>
      <c r="I206" s="80">
        <v>36</v>
      </c>
      <c r="J206" s="28"/>
      <c r="K206" s="28"/>
      <c r="L206" s="21"/>
    </row>
    <row r="207" spans="1:12" hidden="1" x14ac:dyDescent="0.25">
      <c r="A207" s="1907"/>
      <c r="B207" s="1220"/>
      <c r="C207" s="1117"/>
      <c r="D207" s="28" t="s">
        <v>263</v>
      </c>
      <c r="E207" s="94"/>
      <c r="F207" s="80">
        <v>220</v>
      </c>
      <c r="G207" s="80"/>
      <c r="H207" s="80"/>
      <c r="I207" s="80">
        <v>324</v>
      </c>
      <c r="J207" s="28"/>
      <c r="K207" s="28"/>
      <c r="L207" s="21"/>
    </row>
    <row r="208" spans="1:12" hidden="1" x14ac:dyDescent="0.25">
      <c r="A208" s="1907"/>
      <c r="B208" s="1220"/>
      <c r="C208" s="1117"/>
      <c r="D208" s="28" t="s">
        <v>357</v>
      </c>
      <c r="E208" s="94"/>
      <c r="F208" s="99">
        <f>(F207/F205)*100</f>
        <v>86.274509803921575</v>
      </c>
      <c r="G208" s="94"/>
      <c r="H208" s="94"/>
      <c r="I208" s="99">
        <f>I207/I205*100</f>
        <v>90</v>
      </c>
      <c r="J208" s="28"/>
      <c r="K208" s="28"/>
      <c r="L208" s="21"/>
    </row>
    <row r="209" spans="1:12" ht="14.85" hidden="1" customHeight="1" x14ac:dyDescent="0.25">
      <c r="A209" s="1907"/>
      <c r="B209" s="1220"/>
      <c r="C209" s="1117" t="s">
        <v>393</v>
      </c>
      <c r="D209" s="144" t="s">
        <v>251</v>
      </c>
      <c r="E209" s="94"/>
      <c r="F209" s="80">
        <v>880</v>
      </c>
      <c r="G209" s="80"/>
      <c r="H209" s="80"/>
      <c r="I209" s="80">
        <v>885</v>
      </c>
      <c r="J209" s="28"/>
      <c r="K209" s="28"/>
      <c r="L209" s="21"/>
    </row>
    <row r="210" spans="1:12" hidden="1" x14ac:dyDescent="0.25">
      <c r="A210" s="1907"/>
      <c r="B210" s="1220"/>
      <c r="C210" s="1117"/>
      <c r="D210" s="28" t="s">
        <v>257</v>
      </c>
      <c r="E210" s="94"/>
      <c r="F210" s="80">
        <v>545</v>
      </c>
      <c r="G210" s="80"/>
      <c r="H210" s="80"/>
      <c r="I210" s="80">
        <v>423</v>
      </c>
      <c r="J210" s="28"/>
      <c r="K210" s="28"/>
      <c r="L210" s="21"/>
    </row>
    <row r="211" spans="1:12" hidden="1" x14ac:dyDescent="0.25">
      <c r="A211" s="1907"/>
      <c r="B211" s="1220"/>
      <c r="C211" s="1117"/>
      <c r="D211" s="28" t="s">
        <v>263</v>
      </c>
      <c r="E211" s="94"/>
      <c r="F211" s="80">
        <v>330</v>
      </c>
      <c r="G211" s="80"/>
      <c r="H211" s="80"/>
      <c r="I211" s="80">
        <v>462</v>
      </c>
      <c r="J211" s="28"/>
      <c r="K211" s="28"/>
      <c r="L211" s="21"/>
    </row>
    <row r="212" spans="1:12" hidden="1" x14ac:dyDescent="0.25">
      <c r="A212" s="1907"/>
      <c r="B212" s="1220"/>
      <c r="C212" s="1117"/>
      <c r="D212" s="28" t="s">
        <v>357</v>
      </c>
      <c r="E212" s="94"/>
      <c r="F212" s="97">
        <f>(F211/F209)*100</f>
        <v>37.5</v>
      </c>
      <c r="G212" s="94"/>
      <c r="H212" s="94"/>
      <c r="I212" s="98">
        <f>I211/I209*100</f>
        <v>52.20338983050847</v>
      </c>
      <c r="J212" s="28"/>
      <c r="K212" s="28"/>
      <c r="L212" s="21"/>
    </row>
    <row r="213" spans="1:12" ht="14.85" hidden="1" customHeight="1" x14ac:dyDescent="0.25">
      <c r="A213" s="1907"/>
      <c r="B213" s="1220"/>
      <c r="C213" s="1117" t="s">
        <v>394</v>
      </c>
      <c r="D213" s="144" t="s">
        <v>251</v>
      </c>
      <c r="E213" s="94"/>
      <c r="F213" s="80">
        <v>790</v>
      </c>
      <c r="G213" s="80"/>
      <c r="H213" s="80"/>
      <c r="I213" s="80">
        <v>924</v>
      </c>
      <c r="J213" s="28"/>
      <c r="K213" s="28"/>
      <c r="L213" s="21"/>
    </row>
    <row r="214" spans="1:12" hidden="1" x14ac:dyDescent="0.25">
      <c r="A214" s="1907"/>
      <c r="B214" s="1220"/>
      <c r="C214" s="1117"/>
      <c r="D214" s="28" t="s">
        <v>257</v>
      </c>
      <c r="E214" s="94"/>
      <c r="F214" s="80">
        <v>620</v>
      </c>
      <c r="G214" s="80"/>
      <c r="H214" s="80"/>
      <c r="I214" s="80">
        <v>735</v>
      </c>
      <c r="J214" s="28"/>
      <c r="K214" s="28"/>
      <c r="L214" s="21"/>
    </row>
    <row r="215" spans="1:12" hidden="1" x14ac:dyDescent="0.25">
      <c r="A215" s="1907"/>
      <c r="B215" s="1220"/>
      <c r="C215" s="1117"/>
      <c r="D215" s="28" t="s">
        <v>263</v>
      </c>
      <c r="E215" s="94"/>
      <c r="F215" s="80">
        <v>170</v>
      </c>
      <c r="G215" s="80"/>
      <c r="H215" s="80"/>
      <c r="I215" s="80">
        <v>183</v>
      </c>
      <c r="J215" s="28"/>
      <c r="K215" s="28"/>
      <c r="L215" s="21"/>
    </row>
    <row r="216" spans="1:12" hidden="1" x14ac:dyDescent="0.25">
      <c r="A216" s="1907"/>
      <c r="B216" s="1220"/>
      <c r="C216" s="1117"/>
      <c r="D216" s="28" t="s">
        <v>357</v>
      </c>
      <c r="E216" s="94"/>
      <c r="F216" s="97">
        <f>(F215/F213)*100</f>
        <v>21.518987341772153</v>
      </c>
      <c r="G216" s="94"/>
      <c r="H216" s="94"/>
      <c r="I216" s="97">
        <f>I215/I213*100</f>
        <v>19.805194805194805</v>
      </c>
      <c r="J216" s="28"/>
      <c r="K216" s="28"/>
      <c r="L216" s="21"/>
    </row>
    <row r="217" spans="1:12" ht="14.85" hidden="1" customHeight="1" x14ac:dyDescent="0.25">
      <c r="A217" s="1907"/>
      <c r="B217" s="1220"/>
      <c r="C217" s="1117" t="s">
        <v>395</v>
      </c>
      <c r="D217" s="144" t="s">
        <v>251</v>
      </c>
      <c r="E217" s="94"/>
      <c r="F217" s="80">
        <v>85</v>
      </c>
      <c r="G217" s="80"/>
      <c r="H217" s="80"/>
      <c r="I217" s="80">
        <v>93</v>
      </c>
      <c r="J217" s="94"/>
      <c r="K217" s="28"/>
      <c r="L217" s="21"/>
    </row>
    <row r="218" spans="1:12" ht="14.85" hidden="1" customHeight="1" x14ac:dyDescent="0.25">
      <c r="A218" s="1907"/>
      <c r="B218" s="1220"/>
      <c r="C218" s="1117"/>
      <c r="D218" s="28" t="s">
        <v>257</v>
      </c>
      <c r="E218" s="94"/>
      <c r="F218" s="80">
        <v>75</v>
      </c>
      <c r="G218" s="80"/>
      <c r="H218" s="80"/>
      <c r="I218" s="80">
        <v>66</v>
      </c>
      <c r="J218" s="94"/>
      <c r="K218" s="28"/>
      <c r="L218" s="21"/>
    </row>
    <row r="219" spans="1:12" hidden="1" x14ac:dyDescent="0.25">
      <c r="A219" s="1907"/>
      <c r="B219" s="1220"/>
      <c r="C219" s="1117"/>
      <c r="D219" s="28" t="s">
        <v>263</v>
      </c>
      <c r="E219" s="94"/>
      <c r="F219" s="80">
        <v>10</v>
      </c>
      <c r="G219" s="80"/>
      <c r="H219" s="80"/>
      <c r="I219" s="80">
        <v>27</v>
      </c>
      <c r="J219" s="94"/>
      <c r="K219" s="28"/>
      <c r="L219" s="21"/>
    </row>
    <row r="220" spans="1:12" hidden="1" x14ac:dyDescent="0.25">
      <c r="A220" s="1907"/>
      <c r="B220" s="1220"/>
      <c r="C220" s="1117"/>
      <c r="D220" s="28" t="s">
        <v>357</v>
      </c>
      <c r="E220" s="94"/>
      <c r="F220" s="97">
        <f>(F219/F217)*100</f>
        <v>11.76470588235294</v>
      </c>
      <c r="G220" s="94"/>
      <c r="H220" s="94"/>
      <c r="I220" s="97">
        <f>I219/I217*100</f>
        <v>29.032258064516132</v>
      </c>
      <c r="J220" s="94"/>
      <c r="K220" s="28"/>
      <c r="L220" s="21"/>
    </row>
    <row r="221" spans="1:12" ht="14.85" hidden="1" customHeight="1" x14ac:dyDescent="0.25">
      <c r="A221" s="1907"/>
      <c r="B221" s="1220"/>
      <c r="C221" s="1117" t="s">
        <v>396</v>
      </c>
      <c r="D221" s="144" t="s">
        <v>251</v>
      </c>
      <c r="E221" s="94"/>
      <c r="F221" s="80"/>
      <c r="G221" s="80"/>
      <c r="H221" s="80"/>
      <c r="I221" s="80">
        <v>6</v>
      </c>
      <c r="J221" s="94"/>
      <c r="K221" s="28"/>
      <c r="L221" s="21"/>
    </row>
    <row r="222" spans="1:12" hidden="1" x14ac:dyDescent="0.25">
      <c r="A222" s="1907"/>
      <c r="B222" s="1220"/>
      <c r="C222" s="1117"/>
      <c r="D222" s="28" t="s">
        <v>257</v>
      </c>
      <c r="E222" s="94"/>
      <c r="F222" s="80"/>
      <c r="G222" s="80"/>
      <c r="H222" s="80"/>
      <c r="I222" s="80">
        <v>3</v>
      </c>
      <c r="J222" s="94"/>
      <c r="K222" s="28"/>
      <c r="L222" s="21"/>
    </row>
    <row r="223" spans="1:12" hidden="1" x14ac:dyDescent="0.25">
      <c r="A223" s="1907"/>
      <c r="B223" s="1220"/>
      <c r="C223" s="1117"/>
      <c r="D223" s="28" t="s">
        <v>263</v>
      </c>
      <c r="E223" s="94"/>
      <c r="F223" s="80"/>
      <c r="G223" s="80"/>
      <c r="H223" s="80"/>
      <c r="I223" s="80">
        <v>3</v>
      </c>
      <c r="J223" s="94"/>
      <c r="K223" s="28"/>
      <c r="L223" s="21"/>
    </row>
    <row r="224" spans="1:12" hidden="1" x14ac:dyDescent="0.25">
      <c r="A224" s="1907"/>
      <c r="B224" s="1220"/>
      <c r="C224" s="1117"/>
      <c r="D224" s="28" t="s">
        <v>357</v>
      </c>
      <c r="E224" s="94"/>
      <c r="F224" s="94"/>
      <c r="G224" s="94"/>
      <c r="H224" s="94"/>
      <c r="I224" s="98">
        <f>I223/I221*100</f>
        <v>50</v>
      </c>
      <c r="J224" s="94"/>
      <c r="K224" s="28"/>
      <c r="L224" s="21"/>
    </row>
    <row r="225" spans="1:12" ht="14.85" hidden="1" customHeight="1" x14ac:dyDescent="0.25">
      <c r="A225" s="1907"/>
      <c r="B225" s="1220"/>
      <c r="C225" s="1117" t="s">
        <v>397</v>
      </c>
      <c r="D225" s="144" t="s">
        <v>251</v>
      </c>
      <c r="E225" s="94"/>
      <c r="F225" s="80">
        <v>10</v>
      </c>
      <c r="G225" s="80"/>
      <c r="H225" s="80"/>
      <c r="I225" s="80"/>
      <c r="J225" s="94"/>
      <c r="K225" s="28"/>
      <c r="L225" s="21"/>
    </row>
    <row r="226" spans="1:12" hidden="1" x14ac:dyDescent="0.25">
      <c r="A226" s="1907"/>
      <c r="B226" s="1220"/>
      <c r="C226" s="1117"/>
      <c r="D226" s="28" t="s">
        <v>257</v>
      </c>
      <c r="E226" s="94"/>
      <c r="F226" s="80">
        <v>10</v>
      </c>
      <c r="G226" s="80"/>
      <c r="H226" s="80"/>
      <c r="I226" s="80"/>
      <c r="J226" s="94"/>
      <c r="K226" s="28"/>
      <c r="L226" s="21"/>
    </row>
    <row r="227" spans="1:12" hidden="1" x14ac:dyDescent="0.25">
      <c r="A227" s="1907"/>
      <c r="B227" s="1220"/>
      <c r="C227" s="1117"/>
      <c r="D227" s="28" t="s">
        <v>263</v>
      </c>
      <c r="E227" s="94"/>
      <c r="F227" s="80">
        <v>0</v>
      </c>
      <c r="G227" s="80"/>
      <c r="H227" s="80"/>
      <c r="I227" s="80"/>
      <c r="J227" s="94"/>
      <c r="K227" s="28"/>
      <c r="L227" s="21"/>
    </row>
    <row r="228" spans="1:12" hidden="1" x14ac:dyDescent="0.25">
      <c r="A228" s="1907"/>
      <c r="B228" s="1220"/>
      <c r="C228" s="1117"/>
      <c r="D228" s="28" t="s">
        <v>357</v>
      </c>
      <c r="E228" s="94"/>
      <c r="F228" s="97">
        <f>(F227/F225)*100</f>
        <v>0</v>
      </c>
      <c r="G228" s="94"/>
      <c r="H228" s="94"/>
      <c r="I228" s="94"/>
      <c r="J228" s="94"/>
      <c r="K228" s="28"/>
      <c r="L228" s="21"/>
    </row>
    <row r="229" spans="1:12" ht="14.85" hidden="1" customHeight="1" x14ac:dyDescent="0.25">
      <c r="A229" s="1907"/>
      <c r="B229" s="1220"/>
      <c r="C229" s="1117" t="s">
        <v>398</v>
      </c>
      <c r="D229" s="144" t="s">
        <v>251</v>
      </c>
      <c r="E229" s="94"/>
      <c r="F229" s="80"/>
      <c r="G229" s="80"/>
      <c r="H229" s="80"/>
      <c r="I229" s="80"/>
      <c r="J229" s="94"/>
      <c r="K229" s="28"/>
      <c r="L229" s="21"/>
    </row>
    <row r="230" spans="1:12" ht="14.85" hidden="1" customHeight="1" x14ac:dyDescent="0.25">
      <c r="A230" s="1907"/>
      <c r="B230" s="1220"/>
      <c r="C230" s="1117"/>
      <c r="D230" s="28" t="s">
        <v>257</v>
      </c>
      <c r="E230" s="94"/>
      <c r="F230" s="80"/>
      <c r="G230" s="80"/>
      <c r="H230" s="80"/>
      <c r="I230" s="80"/>
      <c r="J230" s="94"/>
      <c r="K230" s="28"/>
      <c r="L230" s="21"/>
    </row>
    <row r="231" spans="1:12" hidden="1" x14ac:dyDescent="0.25">
      <c r="A231" s="1907"/>
      <c r="B231" s="1220"/>
      <c r="C231" s="1117"/>
      <c r="D231" s="28" t="s">
        <v>263</v>
      </c>
      <c r="E231" s="94"/>
      <c r="F231" s="80"/>
      <c r="G231" s="80"/>
      <c r="H231" s="80"/>
      <c r="I231" s="80"/>
      <c r="J231" s="94"/>
      <c r="K231" s="28"/>
      <c r="L231" s="21"/>
    </row>
    <row r="232" spans="1:12" hidden="1" x14ac:dyDescent="0.25">
      <c r="A232" s="1907"/>
      <c r="B232" s="1220"/>
      <c r="C232" s="1117"/>
      <c r="D232" s="28" t="s">
        <v>357</v>
      </c>
      <c r="E232" s="94"/>
      <c r="F232" s="94"/>
      <c r="G232" s="94"/>
      <c r="H232" s="94"/>
      <c r="I232" s="94"/>
      <c r="J232" s="94"/>
      <c r="K232" s="28"/>
      <c r="L232" s="21"/>
    </row>
    <row r="233" spans="1:12" ht="14.85" hidden="1" customHeight="1" x14ac:dyDescent="0.25">
      <c r="A233" s="1907"/>
      <c r="B233" s="1220"/>
      <c r="C233" s="1117" t="s">
        <v>399</v>
      </c>
      <c r="D233" s="144" t="s">
        <v>251</v>
      </c>
      <c r="E233" s="94"/>
      <c r="F233" s="80">
        <v>425</v>
      </c>
      <c r="G233" s="80"/>
      <c r="H233" s="80"/>
      <c r="I233" s="80">
        <v>699</v>
      </c>
      <c r="J233" s="94"/>
      <c r="K233" s="28"/>
      <c r="L233" s="21"/>
    </row>
    <row r="234" spans="1:12" ht="14.85" hidden="1" customHeight="1" x14ac:dyDescent="0.25">
      <c r="A234" s="1907"/>
      <c r="B234" s="1220"/>
      <c r="C234" s="1117"/>
      <c r="D234" s="28" t="s">
        <v>257</v>
      </c>
      <c r="E234" s="94"/>
      <c r="F234" s="80">
        <v>375</v>
      </c>
      <c r="G234" s="80"/>
      <c r="H234" s="80"/>
      <c r="I234" s="80">
        <v>657</v>
      </c>
      <c r="J234" s="94"/>
      <c r="K234" s="28"/>
      <c r="L234" s="21"/>
    </row>
    <row r="235" spans="1:12" hidden="1" x14ac:dyDescent="0.25">
      <c r="A235" s="1907"/>
      <c r="B235" s="1220"/>
      <c r="C235" s="1117"/>
      <c r="D235" s="28" t="s">
        <v>263</v>
      </c>
      <c r="E235" s="94"/>
      <c r="F235" s="80">
        <v>50</v>
      </c>
      <c r="G235" s="80"/>
      <c r="H235" s="80"/>
      <c r="I235" s="80">
        <v>39</v>
      </c>
      <c r="J235" s="94"/>
      <c r="K235" s="28"/>
      <c r="L235" s="21"/>
    </row>
    <row r="236" spans="1:12" hidden="1" x14ac:dyDescent="0.25">
      <c r="A236" s="1907"/>
      <c r="B236" s="1220"/>
      <c r="C236" s="1117"/>
      <c r="D236" s="28" t="s">
        <v>357</v>
      </c>
      <c r="E236" s="94"/>
      <c r="F236" s="97">
        <f>(F235/F233)*100</f>
        <v>11.76470588235294</v>
      </c>
      <c r="G236" s="94"/>
      <c r="H236" s="94"/>
      <c r="I236" s="97">
        <f>I235/I233*100</f>
        <v>5.5793991416309012</v>
      </c>
      <c r="J236" s="94"/>
      <c r="K236" s="28"/>
      <c r="L236" s="21"/>
    </row>
    <row r="237" spans="1:12" ht="14.85" hidden="1" customHeight="1" x14ac:dyDescent="0.25">
      <c r="A237" s="1907"/>
      <c r="B237" s="1220"/>
      <c r="C237" s="1117" t="s">
        <v>400</v>
      </c>
      <c r="D237" s="144" t="s">
        <v>251</v>
      </c>
      <c r="E237" s="94"/>
      <c r="F237" s="80">
        <v>880</v>
      </c>
      <c r="G237" s="80"/>
      <c r="H237" s="80"/>
      <c r="I237" s="80">
        <v>372</v>
      </c>
      <c r="J237" s="94"/>
      <c r="K237" s="28"/>
      <c r="L237" s="21"/>
    </row>
    <row r="238" spans="1:12" hidden="1" x14ac:dyDescent="0.25">
      <c r="A238" s="1907"/>
      <c r="B238" s="1220"/>
      <c r="C238" s="1117"/>
      <c r="D238" s="28" t="s">
        <v>257</v>
      </c>
      <c r="E238" s="94"/>
      <c r="F238" s="80">
        <v>810</v>
      </c>
      <c r="G238" s="80"/>
      <c r="H238" s="80"/>
      <c r="I238" s="80">
        <v>354</v>
      </c>
      <c r="J238" s="94"/>
      <c r="K238" s="28"/>
      <c r="L238" s="21"/>
    </row>
    <row r="239" spans="1:12" hidden="1" x14ac:dyDescent="0.25">
      <c r="A239" s="1907"/>
      <c r="B239" s="1220"/>
      <c r="C239" s="1117"/>
      <c r="D239" s="28" t="s">
        <v>263</v>
      </c>
      <c r="E239" s="94"/>
      <c r="F239" s="80">
        <v>65</v>
      </c>
      <c r="G239" s="80"/>
      <c r="H239" s="80"/>
      <c r="I239" s="80">
        <v>18</v>
      </c>
      <c r="J239" s="94"/>
      <c r="K239" s="28"/>
      <c r="L239" s="21"/>
    </row>
    <row r="240" spans="1:12" hidden="1" x14ac:dyDescent="0.25">
      <c r="A240" s="1907"/>
      <c r="B240" s="1220"/>
      <c r="C240" s="1117"/>
      <c r="D240" s="28" t="s">
        <v>357</v>
      </c>
      <c r="E240" s="94"/>
      <c r="F240" s="97">
        <f>(F239/F237)*100</f>
        <v>7.3863636363636367</v>
      </c>
      <c r="G240" s="94"/>
      <c r="H240" s="94"/>
      <c r="I240" s="97">
        <f>I239/I237*100</f>
        <v>4.838709677419355</v>
      </c>
      <c r="J240" s="94"/>
      <c r="K240" s="28"/>
      <c r="L240" s="21"/>
    </row>
    <row r="241" spans="1:12" ht="14.85" hidden="1" customHeight="1" x14ac:dyDescent="0.25">
      <c r="A241" s="1907"/>
      <c r="B241" s="1220"/>
      <c r="C241" s="1117" t="s">
        <v>401</v>
      </c>
      <c r="D241" s="144" t="s">
        <v>251</v>
      </c>
      <c r="E241" s="94"/>
      <c r="F241" s="80">
        <v>360</v>
      </c>
      <c r="G241" s="80"/>
      <c r="H241" s="80"/>
      <c r="I241" s="80">
        <v>183</v>
      </c>
      <c r="J241" s="94"/>
      <c r="K241" s="28"/>
      <c r="L241" s="21"/>
    </row>
    <row r="242" spans="1:12" hidden="1" x14ac:dyDescent="0.25">
      <c r="A242" s="1907"/>
      <c r="B242" s="1220"/>
      <c r="C242" s="1117"/>
      <c r="D242" s="28" t="s">
        <v>257</v>
      </c>
      <c r="E242" s="94"/>
      <c r="F242" s="80">
        <v>345</v>
      </c>
      <c r="G242" s="80"/>
      <c r="H242" s="80"/>
      <c r="I242" s="80">
        <v>171</v>
      </c>
      <c r="J242" s="94"/>
      <c r="K242" s="28"/>
      <c r="L242" s="21"/>
    </row>
    <row r="243" spans="1:12" hidden="1" x14ac:dyDescent="0.25">
      <c r="A243" s="1907"/>
      <c r="B243" s="1220"/>
      <c r="C243" s="1117"/>
      <c r="D243" s="28" t="s">
        <v>263</v>
      </c>
      <c r="E243" s="94"/>
      <c r="F243" s="80">
        <v>15</v>
      </c>
      <c r="G243" s="80"/>
      <c r="H243" s="80"/>
      <c r="I243" s="80">
        <v>12</v>
      </c>
      <c r="J243" s="94"/>
      <c r="K243" s="28"/>
      <c r="L243" s="21"/>
    </row>
    <row r="244" spans="1:12" hidden="1" x14ac:dyDescent="0.25">
      <c r="A244" s="1907"/>
      <c r="B244" s="1220"/>
      <c r="C244" s="1117"/>
      <c r="D244" s="28" t="s">
        <v>357</v>
      </c>
      <c r="E244" s="94"/>
      <c r="F244" s="97">
        <f>(F243/F241)*100</f>
        <v>4.1666666666666661</v>
      </c>
      <c r="G244" s="94"/>
      <c r="H244" s="94"/>
      <c r="I244" s="97">
        <f>I243/I241*100</f>
        <v>6.557377049180328</v>
      </c>
      <c r="J244" s="94"/>
      <c r="K244" s="28"/>
      <c r="L244" s="21"/>
    </row>
    <row r="245" spans="1:12" ht="14.85" hidden="1" customHeight="1" x14ac:dyDescent="0.25">
      <c r="A245" s="1907"/>
      <c r="B245" s="1220"/>
      <c r="C245" s="1117" t="s">
        <v>402</v>
      </c>
      <c r="D245" s="144" t="s">
        <v>251</v>
      </c>
      <c r="E245" s="94"/>
      <c r="F245" s="80">
        <v>195</v>
      </c>
      <c r="G245" s="80"/>
      <c r="H245" s="80"/>
      <c r="I245" s="80">
        <v>396</v>
      </c>
      <c r="J245" s="94"/>
      <c r="K245" s="28"/>
      <c r="L245" s="21"/>
    </row>
    <row r="246" spans="1:12" hidden="1" x14ac:dyDescent="0.25">
      <c r="A246" s="1907"/>
      <c r="B246" s="1220"/>
      <c r="C246" s="1117"/>
      <c r="D246" s="28" t="s">
        <v>257</v>
      </c>
      <c r="E246" s="94"/>
      <c r="F246" s="80">
        <v>195</v>
      </c>
      <c r="G246" s="80"/>
      <c r="H246" s="80"/>
      <c r="I246" s="80">
        <v>378</v>
      </c>
      <c r="J246" s="94"/>
      <c r="K246" s="28"/>
      <c r="L246" s="21"/>
    </row>
    <row r="247" spans="1:12" hidden="1" x14ac:dyDescent="0.25">
      <c r="A247" s="1907"/>
      <c r="B247" s="1220"/>
      <c r="C247" s="1117"/>
      <c r="D247" s="28" t="s">
        <v>263</v>
      </c>
      <c r="E247" s="94"/>
      <c r="F247" s="80">
        <v>0</v>
      </c>
      <c r="G247" s="80"/>
      <c r="H247" s="80"/>
      <c r="I247" s="80">
        <v>18</v>
      </c>
      <c r="J247" s="94"/>
      <c r="K247" s="28"/>
      <c r="L247" s="21"/>
    </row>
    <row r="248" spans="1:12" hidden="1" x14ac:dyDescent="0.25">
      <c r="A248" s="1907"/>
      <c r="B248" s="1220"/>
      <c r="C248" s="1117"/>
      <c r="D248" s="28" t="s">
        <v>357</v>
      </c>
      <c r="E248" s="94"/>
      <c r="F248" s="97">
        <f>(F247/F245)*100</f>
        <v>0</v>
      </c>
      <c r="G248" s="94"/>
      <c r="H248" s="94"/>
      <c r="I248" s="97">
        <f>I247/I245*100</f>
        <v>4.5454545454545459</v>
      </c>
      <c r="J248" s="94"/>
      <c r="K248" s="28"/>
      <c r="L248" s="21"/>
    </row>
    <row r="249" spans="1:12" ht="14.85" hidden="1" customHeight="1" x14ac:dyDescent="0.25">
      <c r="A249" s="1907"/>
      <c r="B249" s="1220"/>
      <c r="C249" s="1117" t="s">
        <v>403</v>
      </c>
      <c r="D249" s="144" t="s">
        <v>251</v>
      </c>
      <c r="E249" s="94"/>
      <c r="F249" s="80">
        <v>410</v>
      </c>
      <c r="G249" s="80"/>
      <c r="H249" s="80"/>
      <c r="I249" s="80">
        <v>444</v>
      </c>
      <c r="J249" s="94"/>
      <c r="K249" s="28"/>
      <c r="L249" s="21"/>
    </row>
    <row r="250" spans="1:12" hidden="1" x14ac:dyDescent="0.25">
      <c r="A250" s="1907"/>
      <c r="B250" s="1220"/>
      <c r="C250" s="1117"/>
      <c r="D250" s="28" t="s">
        <v>257</v>
      </c>
      <c r="E250" s="94"/>
      <c r="F250" s="80">
        <v>375</v>
      </c>
      <c r="G250" s="80"/>
      <c r="H250" s="80"/>
      <c r="I250" s="80">
        <v>414</v>
      </c>
      <c r="J250" s="94"/>
      <c r="K250" s="28"/>
      <c r="L250" s="21"/>
    </row>
    <row r="251" spans="1:12" hidden="1" x14ac:dyDescent="0.25">
      <c r="A251" s="1907"/>
      <c r="B251" s="1220"/>
      <c r="C251" s="1117"/>
      <c r="D251" s="28" t="s">
        <v>263</v>
      </c>
      <c r="E251" s="94"/>
      <c r="F251" s="80">
        <v>35</v>
      </c>
      <c r="G251" s="80"/>
      <c r="H251" s="80"/>
      <c r="I251" s="80">
        <v>33</v>
      </c>
      <c r="J251" s="94"/>
      <c r="K251" s="28"/>
      <c r="L251" s="21"/>
    </row>
    <row r="252" spans="1:12" hidden="1" x14ac:dyDescent="0.25">
      <c r="A252" s="1907"/>
      <c r="B252" s="1220"/>
      <c r="C252" s="1117"/>
      <c r="D252" s="28" t="s">
        <v>357</v>
      </c>
      <c r="E252" s="94"/>
      <c r="F252" s="97">
        <f>(F251/F249)*100</f>
        <v>8.536585365853659</v>
      </c>
      <c r="G252" s="94"/>
      <c r="H252" s="94"/>
      <c r="I252" s="97">
        <f>I251/I249*100</f>
        <v>7.4324324324324325</v>
      </c>
      <c r="J252" s="94"/>
      <c r="K252" s="28"/>
      <c r="L252" s="21"/>
    </row>
    <row r="253" spans="1:12" ht="14.85" hidden="1" customHeight="1" x14ac:dyDescent="0.25">
      <c r="A253" s="1907"/>
      <c r="B253" s="1220"/>
      <c r="C253" s="1117" t="s">
        <v>404</v>
      </c>
      <c r="D253" s="144" t="s">
        <v>251</v>
      </c>
      <c r="E253" s="94"/>
      <c r="F253" s="80">
        <v>145</v>
      </c>
      <c r="G253" s="80"/>
      <c r="H253" s="80"/>
      <c r="I253" s="80">
        <v>105</v>
      </c>
      <c r="J253" s="94"/>
      <c r="K253" s="28"/>
      <c r="L253" s="21"/>
    </row>
    <row r="254" spans="1:12" ht="14.85" hidden="1" customHeight="1" x14ac:dyDescent="0.25">
      <c r="A254" s="1907"/>
      <c r="B254" s="1220"/>
      <c r="C254" s="1117"/>
      <c r="D254" s="28" t="s">
        <v>257</v>
      </c>
      <c r="E254" s="94"/>
      <c r="F254" s="80">
        <v>85</v>
      </c>
      <c r="G254" s="80"/>
      <c r="H254" s="80"/>
      <c r="I254" s="80">
        <v>78</v>
      </c>
      <c r="J254" s="94"/>
      <c r="K254" s="28"/>
      <c r="L254" s="21"/>
    </row>
    <row r="255" spans="1:12" hidden="1" x14ac:dyDescent="0.25">
      <c r="A255" s="1907"/>
      <c r="B255" s="1220"/>
      <c r="C255" s="1117"/>
      <c r="D255" s="28" t="s">
        <v>263</v>
      </c>
      <c r="E255" s="94"/>
      <c r="F255" s="80">
        <v>60</v>
      </c>
      <c r="G255" s="80"/>
      <c r="H255" s="80"/>
      <c r="I255" s="80">
        <v>30</v>
      </c>
      <c r="J255" s="94"/>
      <c r="K255" s="28"/>
      <c r="L255" s="21"/>
    </row>
    <row r="256" spans="1:12" hidden="1" x14ac:dyDescent="0.25">
      <c r="A256" s="1907"/>
      <c r="B256" s="1220"/>
      <c r="C256" s="1117"/>
      <c r="D256" s="28" t="s">
        <v>357</v>
      </c>
      <c r="E256" s="94"/>
      <c r="F256" s="98">
        <f>(F255/F253)*100</f>
        <v>41.379310344827587</v>
      </c>
      <c r="G256" s="94"/>
      <c r="H256" s="94"/>
      <c r="I256" s="97">
        <f>I255/I253*100</f>
        <v>28.571428571428569</v>
      </c>
      <c r="J256" s="94"/>
      <c r="K256" s="28"/>
      <c r="L256" s="21"/>
    </row>
    <row r="257" spans="1:12" ht="14.85" hidden="1" customHeight="1" x14ac:dyDescent="0.25">
      <c r="A257" s="1907"/>
      <c r="B257" s="1220"/>
      <c r="C257" s="1117" t="s">
        <v>405</v>
      </c>
      <c r="D257" s="144" t="s">
        <v>251</v>
      </c>
      <c r="E257" s="94"/>
      <c r="F257" s="80">
        <v>95</v>
      </c>
      <c r="G257" s="80"/>
      <c r="H257" s="80"/>
      <c r="I257" s="80">
        <v>84</v>
      </c>
      <c r="J257" s="94"/>
      <c r="K257" s="28"/>
      <c r="L257" s="21"/>
    </row>
    <row r="258" spans="1:12" hidden="1" x14ac:dyDescent="0.25">
      <c r="A258" s="1907"/>
      <c r="B258" s="1220"/>
      <c r="C258" s="1117"/>
      <c r="D258" s="28" t="s">
        <v>257</v>
      </c>
      <c r="E258" s="94"/>
      <c r="F258" s="80">
        <v>95</v>
      </c>
      <c r="G258" s="80"/>
      <c r="H258" s="80"/>
      <c r="I258" s="80">
        <v>66</v>
      </c>
      <c r="J258" s="94"/>
      <c r="K258" s="28"/>
      <c r="L258" s="21"/>
    </row>
    <row r="259" spans="1:12" hidden="1" x14ac:dyDescent="0.25">
      <c r="A259" s="1907"/>
      <c r="B259" s="1220"/>
      <c r="C259" s="1117"/>
      <c r="D259" s="28" t="s">
        <v>263</v>
      </c>
      <c r="E259" s="94"/>
      <c r="F259" s="80">
        <v>0</v>
      </c>
      <c r="G259" s="80"/>
      <c r="H259" s="80"/>
      <c r="I259" s="80">
        <v>18</v>
      </c>
      <c r="J259" s="94"/>
      <c r="K259" s="28"/>
      <c r="L259" s="21"/>
    </row>
    <row r="260" spans="1:12" hidden="1" x14ac:dyDescent="0.25">
      <c r="A260" s="1907"/>
      <c r="B260" s="1220"/>
      <c r="C260" s="1117"/>
      <c r="D260" s="28" t="s">
        <v>357</v>
      </c>
      <c r="E260" s="94"/>
      <c r="F260" s="97">
        <f>(F259/F257)*100</f>
        <v>0</v>
      </c>
      <c r="G260" s="94"/>
      <c r="H260" s="94"/>
      <c r="I260" s="97">
        <f>I259/I257*100</f>
        <v>21.428571428571427</v>
      </c>
      <c r="J260" s="94"/>
      <c r="K260" s="28"/>
      <c r="L260" s="21"/>
    </row>
    <row r="261" spans="1:12" ht="14.85" hidden="1" customHeight="1" x14ac:dyDescent="0.25">
      <c r="A261" s="1907"/>
      <c r="B261" s="1220"/>
      <c r="C261" s="1117" t="s">
        <v>406</v>
      </c>
      <c r="D261" s="144" t="s">
        <v>251</v>
      </c>
      <c r="E261" s="94"/>
      <c r="F261" s="80">
        <v>100</v>
      </c>
      <c r="G261" s="80"/>
      <c r="H261" s="80"/>
      <c r="I261" s="80">
        <v>153</v>
      </c>
      <c r="J261" s="94"/>
      <c r="K261" s="28"/>
      <c r="L261" s="21"/>
    </row>
    <row r="262" spans="1:12" hidden="1" x14ac:dyDescent="0.25">
      <c r="A262" s="1907"/>
      <c r="B262" s="1220"/>
      <c r="C262" s="1117"/>
      <c r="D262" s="28" t="s">
        <v>257</v>
      </c>
      <c r="E262" s="94"/>
      <c r="F262" s="80">
        <v>80</v>
      </c>
      <c r="G262" s="80"/>
      <c r="H262" s="80"/>
      <c r="I262" s="80">
        <v>123</v>
      </c>
      <c r="J262" s="94"/>
      <c r="K262" s="28"/>
      <c r="L262" s="21"/>
    </row>
    <row r="263" spans="1:12" hidden="1" x14ac:dyDescent="0.25">
      <c r="A263" s="1907"/>
      <c r="B263" s="1220"/>
      <c r="C263" s="1117"/>
      <c r="D263" s="28" t="s">
        <v>263</v>
      </c>
      <c r="E263" s="94"/>
      <c r="F263" s="80">
        <v>25</v>
      </c>
      <c r="G263" s="80"/>
      <c r="H263" s="80"/>
      <c r="I263" s="80">
        <v>30</v>
      </c>
      <c r="J263" s="94"/>
      <c r="K263" s="28"/>
      <c r="L263" s="21"/>
    </row>
    <row r="264" spans="1:12" hidden="1" x14ac:dyDescent="0.25">
      <c r="A264" s="1907"/>
      <c r="B264" s="1220"/>
      <c r="C264" s="1117"/>
      <c r="D264" s="28" t="s">
        <v>357</v>
      </c>
      <c r="E264" s="94"/>
      <c r="F264" s="97">
        <f>(F263/F261)*100</f>
        <v>25</v>
      </c>
      <c r="G264" s="94"/>
      <c r="H264" s="94"/>
      <c r="I264" s="97">
        <f>I263/I261*100</f>
        <v>19.607843137254903</v>
      </c>
      <c r="J264" s="94"/>
      <c r="K264" s="28"/>
      <c r="L264" s="21"/>
    </row>
    <row r="265" spans="1:12" ht="14.85" hidden="1" customHeight="1" x14ac:dyDescent="0.25">
      <c r="A265" s="1907"/>
      <c r="B265" s="1220"/>
      <c r="C265" s="1117" t="s">
        <v>407</v>
      </c>
      <c r="D265" s="144" t="s">
        <v>251</v>
      </c>
      <c r="E265" s="94"/>
      <c r="F265" s="80">
        <v>325</v>
      </c>
      <c r="G265" s="80"/>
      <c r="H265" s="80"/>
      <c r="I265" s="80">
        <v>174</v>
      </c>
      <c r="J265" s="94"/>
      <c r="K265" s="28"/>
      <c r="L265" s="21"/>
    </row>
    <row r="266" spans="1:12" hidden="1" x14ac:dyDescent="0.25">
      <c r="A266" s="1907"/>
      <c r="B266" s="1220"/>
      <c r="C266" s="1117"/>
      <c r="D266" s="28" t="s">
        <v>257</v>
      </c>
      <c r="E266" s="94"/>
      <c r="F266" s="80">
        <v>185</v>
      </c>
      <c r="G266" s="80"/>
      <c r="H266" s="80"/>
      <c r="I266" s="80">
        <v>144</v>
      </c>
      <c r="J266" s="94"/>
      <c r="K266" s="28"/>
      <c r="L266" s="21"/>
    </row>
    <row r="267" spans="1:12" hidden="1" x14ac:dyDescent="0.25">
      <c r="A267" s="1907"/>
      <c r="B267" s="1220"/>
      <c r="C267" s="1117"/>
      <c r="D267" s="28" t="s">
        <v>263</v>
      </c>
      <c r="E267" s="94"/>
      <c r="F267" s="80">
        <v>135</v>
      </c>
      <c r="G267" s="80"/>
      <c r="H267" s="80"/>
      <c r="I267" s="80">
        <v>30</v>
      </c>
      <c r="J267" s="94"/>
      <c r="K267" s="28"/>
      <c r="L267" s="21"/>
    </row>
    <row r="268" spans="1:12" hidden="1" x14ac:dyDescent="0.25">
      <c r="A268" s="1907"/>
      <c r="B268" s="1220"/>
      <c r="C268" s="1117"/>
      <c r="D268" s="28" t="s">
        <v>357</v>
      </c>
      <c r="E268" s="94"/>
      <c r="F268" s="98">
        <f>(F267/F265)*100</f>
        <v>41.53846153846154</v>
      </c>
      <c r="G268" s="94"/>
      <c r="H268" s="94"/>
      <c r="I268" s="97">
        <f>I267/I265*100</f>
        <v>17.241379310344829</v>
      </c>
      <c r="J268" s="94"/>
      <c r="K268" s="28"/>
      <c r="L268" s="21"/>
    </row>
    <row r="269" spans="1:12" ht="14.85" hidden="1" customHeight="1" x14ac:dyDescent="0.25">
      <c r="A269" s="1907"/>
      <c r="B269" s="1220"/>
      <c r="C269" s="1117" t="s">
        <v>408</v>
      </c>
      <c r="D269" s="144" t="s">
        <v>251</v>
      </c>
      <c r="E269" s="94"/>
      <c r="F269" s="80">
        <v>15</v>
      </c>
      <c r="G269" s="80"/>
      <c r="H269" s="80"/>
      <c r="I269" s="80">
        <v>105</v>
      </c>
      <c r="J269" s="94"/>
      <c r="K269" s="28"/>
      <c r="L269" s="21"/>
    </row>
    <row r="270" spans="1:12" hidden="1" x14ac:dyDescent="0.25">
      <c r="A270" s="1907"/>
      <c r="B270" s="1220"/>
      <c r="C270" s="1117"/>
      <c r="D270" s="28" t="s">
        <v>257</v>
      </c>
      <c r="E270" s="94"/>
      <c r="F270" s="80">
        <v>15</v>
      </c>
      <c r="G270" s="80"/>
      <c r="H270" s="80"/>
      <c r="I270" s="80">
        <v>93</v>
      </c>
      <c r="J270" s="94"/>
      <c r="K270" s="28"/>
      <c r="L270" s="21"/>
    </row>
    <row r="271" spans="1:12" hidden="1" x14ac:dyDescent="0.25">
      <c r="A271" s="1907"/>
      <c r="B271" s="1220"/>
      <c r="C271" s="1117"/>
      <c r="D271" s="28" t="s">
        <v>263</v>
      </c>
      <c r="E271" s="94"/>
      <c r="F271" s="80">
        <v>0</v>
      </c>
      <c r="G271" s="80"/>
      <c r="H271" s="80"/>
      <c r="I271" s="80">
        <v>12</v>
      </c>
      <c r="J271" s="94"/>
      <c r="K271" s="28"/>
      <c r="L271" s="21"/>
    </row>
    <row r="272" spans="1:12" hidden="1" x14ac:dyDescent="0.25">
      <c r="A272" s="1907"/>
      <c r="B272" s="1220"/>
      <c r="C272" s="1117"/>
      <c r="D272" s="28" t="s">
        <v>357</v>
      </c>
      <c r="E272" s="94"/>
      <c r="F272" s="97">
        <f>(F271/F269)*100</f>
        <v>0</v>
      </c>
      <c r="G272" s="94"/>
      <c r="H272" s="94"/>
      <c r="I272" s="97">
        <f>I271/I269*100</f>
        <v>11.428571428571429</v>
      </c>
      <c r="J272" s="94"/>
      <c r="K272" s="28"/>
      <c r="L272" s="21"/>
    </row>
    <row r="273" spans="1:12" ht="14.85" hidden="1" customHeight="1" x14ac:dyDescent="0.25">
      <c r="A273" s="1907"/>
      <c r="B273" s="1220"/>
      <c r="C273" s="1117" t="s">
        <v>409</v>
      </c>
      <c r="D273" s="144" t="s">
        <v>251</v>
      </c>
      <c r="E273" s="94"/>
      <c r="F273" s="80">
        <v>145</v>
      </c>
      <c r="G273" s="80"/>
      <c r="H273" s="80"/>
      <c r="I273" s="80">
        <v>150</v>
      </c>
      <c r="J273" s="94"/>
      <c r="K273" s="28"/>
      <c r="L273" s="21"/>
    </row>
    <row r="274" spans="1:12" ht="14.85" hidden="1" customHeight="1" x14ac:dyDescent="0.25">
      <c r="A274" s="1907"/>
      <c r="B274" s="1220"/>
      <c r="C274" s="1117"/>
      <c r="D274" s="28" t="s">
        <v>257</v>
      </c>
      <c r="E274" s="94"/>
      <c r="F274" s="80">
        <v>145</v>
      </c>
      <c r="G274" s="80"/>
      <c r="H274" s="80"/>
      <c r="I274" s="80">
        <v>132</v>
      </c>
      <c r="J274" s="94"/>
      <c r="K274" s="28"/>
      <c r="L274" s="21"/>
    </row>
    <row r="275" spans="1:12" hidden="1" x14ac:dyDescent="0.25">
      <c r="A275" s="1907"/>
      <c r="B275" s="1220"/>
      <c r="C275" s="1117"/>
      <c r="D275" s="28" t="s">
        <v>263</v>
      </c>
      <c r="E275" s="94"/>
      <c r="F275" s="80">
        <v>0</v>
      </c>
      <c r="G275" s="80"/>
      <c r="H275" s="80"/>
      <c r="I275" s="80">
        <v>12</v>
      </c>
      <c r="J275" s="94"/>
      <c r="K275" s="28"/>
      <c r="L275" s="21"/>
    </row>
    <row r="276" spans="1:12" hidden="1" x14ac:dyDescent="0.25">
      <c r="A276" s="1907"/>
      <c r="B276" s="1220"/>
      <c r="C276" s="1117"/>
      <c r="D276" s="28" t="s">
        <v>357</v>
      </c>
      <c r="E276" s="94"/>
      <c r="F276" s="97">
        <f>(F275/F273)*100</f>
        <v>0</v>
      </c>
      <c r="G276" s="94"/>
      <c r="H276" s="94"/>
      <c r="I276" s="97">
        <f>I275/I273*100</f>
        <v>8</v>
      </c>
      <c r="J276" s="94"/>
      <c r="K276" s="28"/>
      <c r="L276" s="21"/>
    </row>
    <row r="277" spans="1:12" ht="14.85" hidden="1" customHeight="1" x14ac:dyDescent="0.25">
      <c r="A277" s="1907"/>
      <c r="B277" s="1220"/>
      <c r="C277" s="1117" t="s">
        <v>410</v>
      </c>
      <c r="D277" s="144" t="s">
        <v>251</v>
      </c>
      <c r="E277" s="94"/>
      <c r="F277" s="80">
        <v>1370</v>
      </c>
      <c r="G277" s="80"/>
      <c r="H277" s="80"/>
      <c r="I277" s="80">
        <v>1506</v>
      </c>
      <c r="J277" s="94"/>
      <c r="K277" s="28"/>
      <c r="L277" s="21"/>
    </row>
    <row r="278" spans="1:12" hidden="1" x14ac:dyDescent="0.25">
      <c r="A278" s="1907"/>
      <c r="B278" s="1220"/>
      <c r="C278" s="1117"/>
      <c r="D278" s="28" t="s">
        <v>257</v>
      </c>
      <c r="E278" s="94"/>
      <c r="F278" s="80">
        <v>1260</v>
      </c>
      <c r="G278" s="80"/>
      <c r="H278" s="80"/>
      <c r="I278" s="80">
        <v>1428</v>
      </c>
      <c r="J278" s="94"/>
      <c r="K278" s="28"/>
      <c r="L278" s="21"/>
    </row>
    <row r="279" spans="1:12" hidden="1" x14ac:dyDescent="0.25">
      <c r="A279" s="1907"/>
      <c r="B279" s="1220"/>
      <c r="C279" s="1117"/>
      <c r="D279" s="28" t="s">
        <v>263</v>
      </c>
      <c r="E279" s="94"/>
      <c r="F279" s="80">
        <v>110</v>
      </c>
      <c r="G279" s="80"/>
      <c r="H279" s="80"/>
      <c r="I279" s="80">
        <v>78</v>
      </c>
      <c r="J279" s="94"/>
      <c r="K279" s="28"/>
      <c r="L279" s="21"/>
    </row>
    <row r="280" spans="1:12" hidden="1" x14ac:dyDescent="0.25">
      <c r="A280" s="1907"/>
      <c r="B280" s="1220"/>
      <c r="C280" s="1117"/>
      <c r="D280" s="28" t="s">
        <v>357</v>
      </c>
      <c r="E280" s="94"/>
      <c r="F280" s="97">
        <f>(F279/F277)*100</f>
        <v>8.0291970802919703</v>
      </c>
      <c r="G280" s="94"/>
      <c r="H280" s="94"/>
      <c r="I280" s="97">
        <f>I279/I277*100</f>
        <v>5.1792828685258963</v>
      </c>
      <c r="J280" s="94"/>
      <c r="K280" s="28"/>
      <c r="L280" s="21"/>
    </row>
    <row r="281" spans="1:12" ht="14.85" hidden="1" customHeight="1" x14ac:dyDescent="0.25">
      <c r="A281" s="1907"/>
      <c r="B281" s="1220"/>
      <c r="C281" s="1117" t="s">
        <v>411</v>
      </c>
      <c r="D281" s="144" t="s">
        <v>251</v>
      </c>
      <c r="E281" s="94"/>
      <c r="F281" s="80">
        <v>900</v>
      </c>
      <c r="G281" s="80"/>
      <c r="H281" s="80"/>
      <c r="I281" s="80">
        <v>948</v>
      </c>
      <c r="J281" s="94"/>
      <c r="K281" s="28"/>
      <c r="L281" s="21"/>
    </row>
    <row r="282" spans="1:12" hidden="1" x14ac:dyDescent="0.25">
      <c r="A282" s="1907"/>
      <c r="B282" s="1220"/>
      <c r="C282" s="1117"/>
      <c r="D282" s="28" t="s">
        <v>257</v>
      </c>
      <c r="E282" s="94"/>
      <c r="F282" s="80">
        <v>0</v>
      </c>
      <c r="G282" s="80"/>
      <c r="H282" s="80"/>
      <c r="I282" s="80">
        <v>33</v>
      </c>
      <c r="J282" s="94"/>
      <c r="K282" s="28"/>
      <c r="L282" s="21"/>
    </row>
    <row r="283" spans="1:12" hidden="1" x14ac:dyDescent="0.25">
      <c r="A283" s="1907"/>
      <c r="B283" s="1220"/>
      <c r="C283" s="1117"/>
      <c r="D283" s="28" t="s">
        <v>263</v>
      </c>
      <c r="E283" s="94"/>
      <c r="F283" s="80">
        <v>900</v>
      </c>
      <c r="G283" s="80"/>
      <c r="H283" s="80"/>
      <c r="I283" s="80">
        <v>915</v>
      </c>
      <c r="J283" s="94"/>
      <c r="K283" s="28"/>
      <c r="L283" s="21"/>
    </row>
    <row r="284" spans="1:12" hidden="1" x14ac:dyDescent="0.25">
      <c r="A284" s="1907"/>
      <c r="B284" s="1220"/>
      <c r="C284" s="1117"/>
      <c r="D284" s="28" t="s">
        <v>357</v>
      </c>
      <c r="E284" s="94"/>
      <c r="F284" s="99">
        <f>(F283/F281)*100</f>
        <v>100</v>
      </c>
      <c r="G284" s="94"/>
      <c r="H284" s="94"/>
      <c r="I284" s="99">
        <f>I283/I281*100</f>
        <v>96.51898734177216</v>
      </c>
      <c r="J284" s="94"/>
      <c r="K284" s="28"/>
      <c r="L284" s="21"/>
    </row>
    <row r="285" spans="1:12" ht="14.85" hidden="1" customHeight="1" x14ac:dyDescent="0.25">
      <c r="A285" s="1907"/>
      <c r="B285" s="1220"/>
      <c r="C285" s="1117" t="s">
        <v>412</v>
      </c>
      <c r="D285" s="144" t="s">
        <v>251</v>
      </c>
      <c r="E285" s="94"/>
      <c r="F285" s="80">
        <v>1000</v>
      </c>
      <c r="G285" s="80"/>
      <c r="H285" s="80"/>
      <c r="I285" s="80">
        <v>1419</v>
      </c>
      <c r="J285" s="94"/>
      <c r="K285" s="28"/>
      <c r="L285" s="21"/>
    </row>
    <row r="286" spans="1:12" hidden="1" x14ac:dyDescent="0.25">
      <c r="A286" s="1907"/>
      <c r="B286" s="1220"/>
      <c r="C286" s="1117"/>
      <c r="D286" s="28" t="s">
        <v>257</v>
      </c>
      <c r="E286" s="94"/>
      <c r="F286" s="80">
        <v>220</v>
      </c>
      <c r="G286" s="80"/>
      <c r="H286" s="80"/>
      <c r="I286" s="80">
        <v>315</v>
      </c>
      <c r="J286" s="94"/>
      <c r="K286" s="28"/>
      <c r="L286" s="21"/>
    </row>
    <row r="287" spans="1:12" hidden="1" x14ac:dyDescent="0.25">
      <c r="A287" s="1907"/>
      <c r="B287" s="1220"/>
      <c r="C287" s="1117"/>
      <c r="D287" s="28" t="s">
        <v>263</v>
      </c>
      <c r="E287" s="94"/>
      <c r="F287" s="80">
        <v>780</v>
      </c>
      <c r="G287" s="80"/>
      <c r="H287" s="80"/>
      <c r="I287" s="80">
        <v>1107</v>
      </c>
      <c r="J287" s="94"/>
      <c r="K287" s="28"/>
      <c r="L287" s="21"/>
    </row>
    <row r="288" spans="1:12" hidden="1" x14ac:dyDescent="0.25">
      <c r="A288" s="1907"/>
      <c r="B288" s="1220"/>
      <c r="C288" s="1117"/>
      <c r="D288" s="28" t="s">
        <v>357</v>
      </c>
      <c r="E288" s="94"/>
      <c r="F288" s="99">
        <f>(F287/F285)*100</f>
        <v>78</v>
      </c>
      <c r="G288" s="94"/>
      <c r="H288" s="94"/>
      <c r="I288" s="99">
        <f>I287/I285*100</f>
        <v>78.012684989429175</v>
      </c>
      <c r="J288" s="94"/>
      <c r="K288" s="28"/>
      <c r="L288" s="21"/>
    </row>
    <row r="289" spans="1:12" ht="14.85" hidden="1" customHeight="1" x14ac:dyDescent="0.25">
      <c r="A289" s="1907"/>
      <c r="B289" s="1220"/>
      <c r="C289" s="1117" t="s">
        <v>413</v>
      </c>
      <c r="D289" s="144" t="s">
        <v>251</v>
      </c>
      <c r="E289" s="94"/>
      <c r="F289" s="80">
        <v>240</v>
      </c>
      <c r="G289" s="80"/>
      <c r="H289" s="80"/>
      <c r="I289" s="80">
        <v>159</v>
      </c>
      <c r="J289" s="94"/>
      <c r="K289" s="28"/>
      <c r="L289" s="21"/>
    </row>
    <row r="290" spans="1:12" ht="14.85" hidden="1" customHeight="1" x14ac:dyDescent="0.25">
      <c r="A290" s="1907"/>
      <c r="B290" s="1220"/>
      <c r="C290" s="1117"/>
      <c r="D290" s="28" t="s">
        <v>257</v>
      </c>
      <c r="E290" s="94"/>
      <c r="F290" s="80">
        <v>105</v>
      </c>
      <c r="G290" s="80"/>
      <c r="H290" s="80"/>
      <c r="I290" s="80">
        <v>66</v>
      </c>
      <c r="J290" s="94"/>
      <c r="K290" s="28"/>
      <c r="L290" s="21"/>
    </row>
    <row r="291" spans="1:12" hidden="1" x14ac:dyDescent="0.25">
      <c r="A291" s="1907"/>
      <c r="B291" s="1220"/>
      <c r="C291" s="1117"/>
      <c r="D291" s="28" t="s">
        <v>263</v>
      </c>
      <c r="E291" s="94"/>
      <c r="F291" s="80">
        <v>130</v>
      </c>
      <c r="G291" s="80"/>
      <c r="H291" s="80"/>
      <c r="I291" s="80">
        <v>90</v>
      </c>
      <c r="J291" s="94"/>
      <c r="K291" s="28"/>
      <c r="L291" s="21"/>
    </row>
    <row r="292" spans="1:12" hidden="1" x14ac:dyDescent="0.25">
      <c r="A292" s="1907"/>
      <c r="B292" s="1220"/>
      <c r="C292" s="1117"/>
      <c r="D292" s="28" t="s">
        <v>357</v>
      </c>
      <c r="E292" s="94"/>
      <c r="F292" s="98">
        <f>(F291/F289)*100</f>
        <v>54.166666666666664</v>
      </c>
      <c r="G292" s="94"/>
      <c r="H292" s="94"/>
      <c r="I292" s="98">
        <f>I291/I289*100</f>
        <v>56.60377358490566</v>
      </c>
      <c r="J292" s="94"/>
      <c r="K292" s="28"/>
      <c r="L292" s="21"/>
    </row>
    <row r="293" spans="1:12" ht="14.85" hidden="1" customHeight="1" x14ac:dyDescent="0.25">
      <c r="A293" s="1907"/>
      <c r="B293" s="1220"/>
      <c r="C293" s="1117" t="s">
        <v>414</v>
      </c>
      <c r="D293" s="144" t="s">
        <v>251</v>
      </c>
      <c r="E293" s="94"/>
      <c r="F293" s="80">
        <v>285</v>
      </c>
      <c r="G293" s="80"/>
      <c r="H293" s="80"/>
      <c r="I293" s="80">
        <v>414</v>
      </c>
      <c r="J293" s="94"/>
      <c r="K293" s="28"/>
      <c r="L293" s="21"/>
    </row>
    <row r="294" spans="1:12" ht="14.85" hidden="1" customHeight="1" x14ac:dyDescent="0.25">
      <c r="A294" s="1907"/>
      <c r="B294" s="1220"/>
      <c r="C294" s="1117"/>
      <c r="D294" s="28" t="s">
        <v>257</v>
      </c>
      <c r="E294" s="94"/>
      <c r="F294" s="80">
        <v>240</v>
      </c>
      <c r="G294" s="80"/>
      <c r="H294" s="80"/>
      <c r="I294" s="80">
        <v>306</v>
      </c>
      <c r="J294" s="94"/>
      <c r="K294" s="28"/>
      <c r="L294" s="21"/>
    </row>
    <row r="295" spans="1:12" hidden="1" x14ac:dyDescent="0.25">
      <c r="A295" s="1907"/>
      <c r="B295" s="1220"/>
      <c r="C295" s="1117"/>
      <c r="D295" s="28" t="s">
        <v>263</v>
      </c>
      <c r="E295" s="94"/>
      <c r="F295" s="80">
        <v>45</v>
      </c>
      <c r="G295" s="80"/>
      <c r="H295" s="80"/>
      <c r="I295" s="80">
        <v>105</v>
      </c>
      <c r="J295" s="94"/>
      <c r="K295" s="28"/>
      <c r="L295" s="21"/>
    </row>
    <row r="296" spans="1:12" hidden="1" x14ac:dyDescent="0.25">
      <c r="A296" s="1907"/>
      <c r="B296" s="1220"/>
      <c r="C296" s="1117"/>
      <c r="D296" s="28" t="s">
        <v>357</v>
      </c>
      <c r="E296" s="94"/>
      <c r="F296" s="97">
        <f>(F295/F293)*100</f>
        <v>15.789473684210526</v>
      </c>
      <c r="G296" s="94"/>
      <c r="H296" s="94"/>
      <c r="I296" s="97">
        <f>I295/I293*100</f>
        <v>25.362318840579711</v>
      </c>
      <c r="J296" s="94"/>
      <c r="K296" s="28"/>
      <c r="L296" s="21"/>
    </row>
    <row r="297" spans="1:12" ht="14.85" hidden="1" customHeight="1" x14ac:dyDescent="0.25">
      <c r="A297" s="1907"/>
      <c r="B297" s="1220"/>
      <c r="C297" s="1117" t="s">
        <v>415</v>
      </c>
      <c r="D297" s="144" t="s">
        <v>251</v>
      </c>
      <c r="E297" s="94"/>
      <c r="F297" s="80">
        <v>60</v>
      </c>
      <c r="G297" s="80"/>
      <c r="H297" s="80"/>
      <c r="I297" s="80">
        <v>45</v>
      </c>
      <c r="J297" s="94"/>
      <c r="K297" s="28"/>
      <c r="L297" s="21"/>
    </row>
    <row r="298" spans="1:12" hidden="1" x14ac:dyDescent="0.25">
      <c r="A298" s="1907"/>
      <c r="B298" s="1220"/>
      <c r="C298" s="1117"/>
      <c r="D298" s="28" t="s">
        <v>257</v>
      </c>
      <c r="E298" s="94"/>
      <c r="F298" s="80">
        <v>50</v>
      </c>
      <c r="G298" s="80"/>
      <c r="H298" s="80"/>
      <c r="I298" s="80">
        <v>33</v>
      </c>
      <c r="J298" s="94"/>
      <c r="K298" s="28"/>
      <c r="L298" s="21"/>
    </row>
    <row r="299" spans="1:12" hidden="1" x14ac:dyDescent="0.25">
      <c r="A299" s="1907"/>
      <c r="B299" s="1220"/>
      <c r="C299" s="1117"/>
      <c r="D299" s="28" t="s">
        <v>263</v>
      </c>
      <c r="E299" s="94"/>
      <c r="F299" s="80">
        <v>10</v>
      </c>
      <c r="G299" s="80"/>
      <c r="H299" s="80"/>
      <c r="I299" s="80">
        <v>12</v>
      </c>
      <c r="J299" s="94"/>
      <c r="K299" s="28"/>
      <c r="L299" s="21"/>
    </row>
    <row r="300" spans="1:12" hidden="1" x14ac:dyDescent="0.25">
      <c r="A300" s="1907"/>
      <c r="B300" s="1220"/>
      <c r="C300" s="1117"/>
      <c r="D300" s="28" t="s">
        <v>357</v>
      </c>
      <c r="E300" s="94"/>
      <c r="F300" s="97">
        <f>(F299/F297)*100</f>
        <v>16.666666666666664</v>
      </c>
      <c r="G300" s="94"/>
      <c r="H300" s="94"/>
      <c r="I300" s="97">
        <f>I299/I297*100</f>
        <v>26.666666666666668</v>
      </c>
      <c r="J300" s="94"/>
      <c r="K300" s="28"/>
      <c r="L300" s="21"/>
    </row>
    <row r="301" spans="1:12" ht="14.85" hidden="1" customHeight="1" x14ac:dyDescent="0.25">
      <c r="A301" s="1907"/>
      <c r="B301" s="1220"/>
      <c r="C301" s="1117" t="s">
        <v>416</v>
      </c>
      <c r="D301" s="144" t="s">
        <v>251</v>
      </c>
      <c r="E301" s="94"/>
      <c r="F301" s="80">
        <v>125</v>
      </c>
      <c r="G301" s="80"/>
      <c r="H301" s="80"/>
      <c r="I301" s="80">
        <v>93</v>
      </c>
      <c r="J301" s="94"/>
      <c r="K301" s="28"/>
      <c r="L301" s="21"/>
    </row>
    <row r="302" spans="1:12" hidden="1" x14ac:dyDescent="0.25">
      <c r="A302" s="1907"/>
      <c r="B302" s="1220"/>
      <c r="C302" s="1117"/>
      <c r="D302" s="28" t="s">
        <v>257</v>
      </c>
      <c r="E302" s="94"/>
      <c r="F302" s="80">
        <v>115</v>
      </c>
      <c r="G302" s="80"/>
      <c r="H302" s="80"/>
      <c r="I302" s="80">
        <v>93</v>
      </c>
      <c r="J302" s="94"/>
      <c r="K302" s="28"/>
      <c r="L302" s="21"/>
    </row>
    <row r="303" spans="1:12" hidden="1" x14ac:dyDescent="0.25">
      <c r="A303" s="1907"/>
      <c r="B303" s="1220"/>
      <c r="C303" s="1117"/>
      <c r="D303" s="28" t="s">
        <v>263</v>
      </c>
      <c r="E303" s="94"/>
      <c r="F303" s="80">
        <v>10</v>
      </c>
      <c r="G303" s="80"/>
      <c r="H303" s="80"/>
      <c r="I303" s="80">
        <v>0</v>
      </c>
      <c r="J303" s="94"/>
      <c r="K303" s="28"/>
      <c r="L303" s="21"/>
    </row>
    <row r="304" spans="1:12" hidden="1" x14ac:dyDescent="0.25">
      <c r="A304" s="1907"/>
      <c r="B304" s="1220"/>
      <c r="C304" s="1117"/>
      <c r="D304" s="28" t="s">
        <v>357</v>
      </c>
      <c r="E304" s="94"/>
      <c r="F304" s="97">
        <f>(F303/F301)*100</f>
        <v>8</v>
      </c>
      <c r="G304" s="94"/>
      <c r="H304" s="94"/>
      <c r="I304" s="97">
        <f>I303/I301*100</f>
        <v>0</v>
      </c>
      <c r="J304" s="94"/>
      <c r="K304" s="28"/>
      <c r="L304" s="21"/>
    </row>
    <row r="305" spans="1:15" ht="14.85" hidden="1" customHeight="1" x14ac:dyDescent="0.25">
      <c r="A305" s="1907"/>
      <c r="B305" s="1220"/>
      <c r="C305" s="1117" t="s">
        <v>417</v>
      </c>
      <c r="D305" s="144" t="s">
        <v>251</v>
      </c>
      <c r="E305" s="94"/>
      <c r="F305" s="80">
        <v>70</v>
      </c>
      <c r="G305" s="80"/>
      <c r="H305" s="80"/>
      <c r="I305" s="80">
        <v>267</v>
      </c>
      <c r="J305" s="94"/>
      <c r="K305" s="28"/>
      <c r="L305" s="21"/>
    </row>
    <row r="306" spans="1:15" hidden="1" x14ac:dyDescent="0.25">
      <c r="A306" s="1907"/>
      <c r="B306" s="1220"/>
      <c r="C306" s="1117"/>
      <c r="D306" s="28" t="s">
        <v>257</v>
      </c>
      <c r="E306" s="94"/>
      <c r="F306" s="80">
        <v>50</v>
      </c>
      <c r="G306" s="80"/>
      <c r="H306" s="80"/>
      <c r="I306" s="80">
        <v>183</v>
      </c>
      <c r="J306" s="94"/>
      <c r="K306" s="28"/>
      <c r="L306" s="21"/>
    </row>
    <row r="307" spans="1:15" hidden="1" x14ac:dyDescent="0.25">
      <c r="A307" s="1907"/>
      <c r="B307" s="1220"/>
      <c r="C307" s="1117"/>
      <c r="D307" s="28" t="s">
        <v>263</v>
      </c>
      <c r="E307" s="94"/>
      <c r="F307" s="80">
        <v>20</v>
      </c>
      <c r="G307" s="80"/>
      <c r="H307" s="80"/>
      <c r="I307" s="80">
        <v>84</v>
      </c>
      <c r="J307" s="94"/>
      <c r="K307" s="28"/>
      <c r="L307" s="21"/>
    </row>
    <row r="308" spans="1:15" hidden="1" x14ac:dyDescent="0.25">
      <c r="A308" s="1907"/>
      <c r="B308" s="1220"/>
      <c r="C308" s="1117"/>
      <c r="D308" s="28" t="s">
        <v>357</v>
      </c>
      <c r="E308" s="94"/>
      <c r="F308" s="97">
        <f>F307/F305*100</f>
        <v>28.571428571428569</v>
      </c>
      <c r="G308" s="94"/>
      <c r="H308" s="94"/>
      <c r="I308" s="97">
        <f>I307/I305*100</f>
        <v>31.460674157303369</v>
      </c>
      <c r="J308" s="94"/>
      <c r="K308" s="28"/>
      <c r="L308" s="21"/>
    </row>
    <row r="309" spans="1:15" ht="14.85" hidden="1" customHeight="1" x14ac:dyDescent="0.25">
      <c r="A309" s="1907"/>
      <c r="B309" s="1220"/>
      <c r="C309" s="1117" t="s">
        <v>418</v>
      </c>
      <c r="D309" s="144" t="s">
        <v>251</v>
      </c>
      <c r="E309" s="94"/>
      <c r="F309" s="80">
        <v>340</v>
      </c>
      <c r="G309" s="80"/>
      <c r="H309" s="80"/>
      <c r="I309" s="80">
        <v>636</v>
      </c>
      <c r="J309" s="94"/>
      <c r="K309" s="28"/>
      <c r="L309" s="21"/>
    </row>
    <row r="310" spans="1:15" hidden="1" x14ac:dyDescent="0.25">
      <c r="A310" s="1907"/>
      <c r="B310" s="1220"/>
      <c r="C310" s="1117"/>
      <c r="D310" s="28" t="s">
        <v>263</v>
      </c>
      <c r="E310" s="94"/>
      <c r="F310" s="80">
        <v>325</v>
      </c>
      <c r="G310" s="80"/>
      <c r="H310" s="80"/>
      <c r="I310" s="80">
        <v>522</v>
      </c>
      <c r="J310" s="94"/>
      <c r="K310" s="28"/>
      <c r="L310" s="21"/>
    </row>
    <row r="311" spans="1:15" ht="14.85" hidden="1" customHeight="1" x14ac:dyDescent="0.25">
      <c r="A311" s="1907"/>
      <c r="B311" s="1220"/>
      <c r="C311" s="1117"/>
      <c r="D311" s="28" t="s">
        <v>257</v>
      </c>
      <c r="E311" s="94"/>
      <c r="F311" s="80">
        <v>15</v>
      </c>
      <c r="G311" s="80"/>
      <c r="H311" s="80"/>
      <c r="I311" s="80">
        <v>114</v>
      </c>
      <c r="J311" s="94"/>
      <c r="K311" s="28"/>
      <c r="L311" s="21"/>
    </row>
    <row r="312" spans="1:15" hidden="1" x14ac:dyDescent="0.25">
      <c r="A312" s="1907"/>
      <c r="B312" s="1220"/>
      <c r="C312" s="1117"/>
      <c r="D312" s="28" t="s">
        <v>357</v>
      </c>
      <c r="E312" s="94"/>
      <c r="F312" s="97">
        <f>(F311/F309)*100</f>
        <v>4.4117647058823533</v>
      </c>
      <c r="G312" s="94"/>
      <c r="H312" s="94"/>
      <c r="I312" s="97">
        <f>I311/I309*100</f>
        <v>17.924528301886792</v>
      </c>
      <c r="J312" s="94"/>
      <c r="K312" s="28"/>
      <c r="L312" s="21"/>
    </row>
    <row r="313" spans="1:15" x14ac:dyDescent="0.25">
      <c r="A313" s="1907"/>
      <c r="B313" s="1220"/>
      <c r="C313" s="1174" t="s">
        <v>419</v>
      </c>
      <c r="D313" s="1110"/>
      <c r="E313" s="94"/>
      <c r="F313" s="100">
        <f>32/59*100</f>
        <v>54.237288135593218</v>
      </c>
      <c r="G313" s="92"/>
      <c r="H313" s="92"/>
      <c r="I313" s="101">
        <f>29/59*100</f>
        <v>49.152542372881356</v>
      </c>
      <c r="J313" s="94"/>
      <c r="K313" s="28"/>
      <c r="L313" s="21"/>
    </row>
    <row r="314" spans="1:15" x14ac:dyDescent="0.25">
      <c r="A314" s="1907"/>
      <c r="B314" s="1220"/>
      <c r="C314" s="1174" t="s">
        <v>420</v>
      </c>
      <c r="D314" s="1110"/>
      <c r="E314" s="94"/>
      <c r="F314" s="102">
        <f>16/59*100</f>
        <v>27.118644067796609</v>
      </c>
      <c r="G314" s="92"/>
      <c r="H314" s="92"/>
      <c r="I314" s="102">
        <f>14/59*100</f>
        <v>23.728813559322035</v>
      </c>
      <c r="J314" s="94"/>
      <c r="K314" s="28"/>
      <c r="L314" s="21"/>
    </row>
    <row r="315" spans="1:15" x14ac:dyDescent="0.25">
      <c r="A315" s="1908"/>
      <c r="B315" s="1600"/>
      <c r="C315" s="1175" t="s">
        <v>421</v>
      </c>
      <c r="D315" s="1157"/>
      <c r="E315" s="126"/>
      <c r="F315" s="127">
        <f>11/59*100</f>
        <v>18.64406779661017</v>
      </c>
      <c r="G315" s="128"/>
      <c r="H315" s="128"/>
      <c r="I315" s="127">
        <f>16/59*100</f>
        <v>27.118644067796609</v>
      </c>
      <c r="J315" s="126"/>
      <c r="K315" s="110"/>
      <c r="L315" s="53"/>
    </row>
    <row r="316" spans="1:15" ht="16.5" thickBot="1" x14ac:dyDescent="0.3">
      <c r="A316" s="338" t="s">
        <v>248</v>
      </c>
      <c r="B316" s="463" t="s">
        <v>249</v>
      </c>
      <c r="C316" s="1422"/>
      <c r="D316" s="1422"/>
      <c r="E316" s="616">
        <v>2005</v>
      </c>
      <c r="F316" s="616">
        <v>2010</v>
      </c>
      <c r="G316" s="616">
        <v>2015</v>
      </c>
      <c r="H316" s="616">
        <v>2020</v>
      </c>
      <c r="I316" s="616">
        <v>2021</v>
      </c>
      <c r="J316" s="616">
        <v>2022</v>
      </c>
      <c r="K316" s="616">
        <v>2023</v>
      </c>
      <c r="L316" s="616">
        <v>2024</v>
      </c>
    </row>
    <row r="317" spans="1:15" ht="15" customHeight="1" x14ac:dyDescent="0.25">
      <c r="A317" s="1864" t="s">
        <v>422</v>
      </c>
      <c r="B317" s="1143" t="s">
        <v>164</v>
      </c>
      <c r="C317" s="1728" t="s">
        <v>424</v>
      </c>
      <c r="D317" s="1520"/>
      <c r="E317" s="40"/>
      <c r="F317" s="37">
        <v>871.41</v>
      </c>
      <c r="G317" s="37">
        <v>1004.45</v>
      </c>
      <c r="H317" s="37">
        <v>1089</v>
      </c>
      <c r="I317" s="37">
        <v>1120</v>
      </c>
      <c r="J317" s="37">
        <v>1147</v>
      </c>
      <c r="K317" s="37">
        <v>1305</v>
      </c>
      <c r="L317" s="334">
        <v>1318</v>
      </c>
    </row>
    <row r="318" spans="1:15" x14ac:dyDescent="0.25">
      <c r="A318" s="1865"/>
      <c r="B318" s="1144"/>
      <c r="C318" s="1729" t="s">
        <v>425</v>
      </c>
      <c r="D318" s="1331"/>
      <c r="E318" s="28"/>
      <c r="F318" s="29">
        <v>1097.68</v>
      </c>
      <c r="G318" s="29">
        <v>1256.0899999999999</v>
      </c>
      <c r="H318" s="29">
        <v>1347</v>
      </c>
      <c r="I318" s="29">
        <v>1385</v>
      </c>
      <c r="J318" s="29">
        <v>1414</v>
      </c>
      <c r="K318" s="29">
        <v>1602</v>
      </c>
      <c r="L318" s="39">
        <v>1609</v>
      </c>
      <c r="M318" s="485"/>
      <c r="N318" s="485"/>
      <c r="O318" s="485"/>
    </row>
    <row r="319" spans="1:15" x14ac:dyDescent="0.25">
      <c r="A319" s="1865"/>
      <c r="B319" s="1144"/>
      <c r="C319" s="1729" t="s">
        <v>426</v>
      </c>
      <c r="D319" s="1331"/>
      <c r="E319" s="28"/>
      <c r="F319" s="29">
        <v>639.09</v>
      </c>
      <c r="G319" s="29">
        <v>757.9</v>
      </c>
      <c r="H319" s="29">
        <v>834</v>
      </c>
      <c r="I319" s="29">
        <v>864</v>
      </c>
      <c r="J319" s="29">
        <v>892</v>
      </c>
      <c r="K319" s="29">
        <v>1028</v>
      </c>
      <c r="L319" s="39">
        <v>1054</v>
      </c>
    </row>
    <row r="320" spans="1:15" x14ac:dyDescent="0.25">
      <c r="A320" s="1865"/>
      <c r="B320" s="1144"/>
      <c r="C320" s="1730" t="s">
        <v>427</v>
      </c>
      <c r="D320" s="1333"/>
      <c r="E320" s="28"/>
      <c r="F320" s="31">
        <f t="shared" ref="F320:L320" si="20">+F319-F318</f>
        <v>-458.59000000000003</v>
      </c>
      <c r="G320" s="31">
        <f t="shared" si="20"/>
        <v>-498.18999999999994</v>
      </c>
      <c r="H320" s="31">
        <f t="shared" si="20"/>
        <v>-513</v>
      </c>
      <c r="I320" s="31">
        <f t="shared" si="20"/>
        <v>-521</v>
      </c>
      <c r="J320" s="31">
        <f t="shared" si="20"/>
        <v>-522</v>
      </c>
      <c r="K320" s="31">
        <f t="shared" si="20"/>
        <v>-574</v>
      </c>
      <c r="L320" s="32">
        <f t="shared" si="20"/>
        <v>-555</v>
      </c>
      <c r="M320" s="905"/>
      <c r="N320" s="905"/>
    </row>
    <row r="321" spans="1:12" ht="16.5" thickBot="1" x14ac:dyDescent="0.3">
      <c r="A321" s="1865"/>
      <c r="B321" s="1145"/>
      <c r="C321" s="1731" t="s">
        <v>428</v>
      </c>
      <c r="D321" s="1335"/>
      <c r="E321" s="33"/>
      <c r="F321" s="34">
        <f t="shared" ref="F321:L321" si="21">(F319-F318)/F318*100</f>
        <v>-41.778113840099117</v>
      </c>
      <c r="G321" s="34">
        <f t="shared" si="21"/>
        <v>-39.661966897276471</v>
      </c>
      <c r="H321" s="34">
        <f t="shared" si="21"/>
        <v>-38.084632516703785</v>
      </c>
      <c r="I321" s="34">
        <f t="shared" si="21"/>
        <v>-37.617328519855597</v>
      </c>
      <c r="J321" s="34">
        <f t="shared" si="21"/>
        <v>-36.916548797736915</v>
      </c>
      <c r="K321" s="34">
        <f t="shared" si="21"/>
        <v>-35.830212234706615</v>
      </c>
      <c r="L321" s="35">
        <f t="shared" si="21"/>
        <v>-34.493474207582345</v>
      </c>
    </row>
    <row r="322" spans="1:12" ht="15" customHeight="1" x14ac:dyDescent="0.25">
      <c r="A322" s="1865"/>
      <c r="B322" s="1143" t="s">
        <v>429</v>
      </c>
      <c r="C322" s="1146" t="s">
        <v>430</v>
      </c>
      <c r="D322" s="1147"/>
      <c r="E322" s="36"/>
      <c r="F322" s="40"/>
      <c r="G322" s="37">
        <v>33.493353028064995</v>
      </c>
      <c r="H322" s="37">
        <v>33.841131664853101</v>
      </c>
      <c r="I322" s="37">
        <v>37.792153589315525</v>
      </c>
      <c r="J322" s="37">
        <v>42.251844798857412</v>
      </c>
      <c r="K322" s="37">
        <v>42.04787864422849</v>
      </c>
      <c r="L322" s="20">
        <v>44.1</v>
      </c>
    </row>
    <row r="323" spans="1:12" x14ac:dyDescent="0.25">
      <c r="A323" s="1865"/>
      <c r="B323" s="1144"/>
      <c r="C323" s="1148" t="s">
        <v>431</v>
      </c>
      <c r="D323" s="1124"/>
      <c r="E323" s="28"/>
      <c r="F323" s="28"/>
      <c r="G323" s="29">
        <v>36.009634684865517</v>
      </c>
      <c r="H323" s="29">
        <v>36.965811965811966</v>
      </c>
      <c r="I323" s="29">
        <v>41.885856079404462</v>
      </c>
      <c r="J323" s="29">
        <v>46.194690265486727</v>
      </c>
      <c r="K323" s="29">
        <v>47.874199184624345</v>
      </c>
      <c r="L323" s="21">
        <v>47.8</v>
      </c>
    </row>
    <row r="324" spans="1:12" x14ac:dyDescent="0.25">
      <c r="A324" s="1865"/>
      <c r="B324" s="1144"/>
      <c r="C324" s="1148" t="s">
        <v>432</v>
      </c>
      <c r="D324" s="1124"/>
      <c r="E324" s="28"/>
      <c r="F324" s="28"/>
      <c r="G324" s="29">
        <v>31.350427350427353</v>
      </c>
      <c r="H324" s="29">
        <v>31.537492123503462</v>
      </c>
      <c r="I324" s="29">
        <v>34.821750090025205</v>
      </c>
      <c r="J324" s="29">
        <v>39.584996009577019</v>
      </c>
      <c r="K324" s="29">
        <v>38.049560351718625</v>
      </c>
      <c r="L324" s="21">
        <v>41.5</v>
      </c>
    </row>
    <row r="325" spans="1:12" ht="16.5" thickBot="1" x14ac:dyDescent="0.3">
      <c r="A325" s="1865"/>
      <c r="B325" s="1264"/>
      <c r="C325" s="1224" t="s">
        <v>354</v>
      </c>
      <c r="D325" s="1225"/>
      <c r="E325" s="203"/>
      <c r="F325" s="203"/>
      <c r="G325" s="34">
        <f t="shared" ref="G325:L325" si="22">+G324-G323</f>
        <v>-4.6592073344381646</v>
      </c>
      <c r="H325" s="34">
        <f t="shared" si="22"/>
        <v>-5.428319842308504</v>
      </c>
      <c r="I325" s="34">
        <f t="shared" si="22"/>
        <v>-7.0641059893792573</v>
      </c>
      <c r="J325" s="34">
        <f t="shared" si="22"/>
        <v>-6.6096942559097087</v>
      </c>
      <c r="K325" s="34">
        <f t="shared" si="22"/>
        <v>-9.8246388329057197</v>
      </c>
      <c r="L325" s="35">
        <f t="shared" si="22"/>
        <v>-6.2999999999999972</v>
      </c>
    </row>
    <row r="326" spans="1:12" x14ac:dyDescent="0.25">
      <c r="A326" s="1865"/>
      <c r="B326" s="1143" t="s">
        <v>521</v>
      </c>
      <c r="C326" s="1316" t="s">
        <v>434</v>
      </c>
      <c r="D326" s="146" t="s">
        <v>435</v>
      </c>
      <c r="E326" s="40"/>
      <c r="F326" s="40"/>
      <c r="G326" s="40"/>
      <c r="H326" s="40"/>
      <c r="I326" s="40">
        <v>103</v>
      </c>
      <c r="J326" s="40">
        <v>54</v>
      </c>
      <c r="K326" s="40">
        <v>31</v>
      </c>
      <c r="L326" s="1061">
        <v>29</v>
      </c>
    </row>
    <row r="327" spans="1:12" x14ac:dyDescent="0.25">
      <c r="A327" s="1865"/>
      <c r="B327" s="1144"/>
      <c r="C327" s="1268"/>
      <c r="D327" s="147" t="s">
        <v>436</v>
      </c>
      <c r="E327" s="28"/>
      <c r="F327" s="28"/>
      <c r="G327" s="28"/>
      <c r="H327" s="28"/>
      <c r="I327" s="28">
        <v>35</v>
      </c>
      <c r="J327" s="28">
        <v>16</v>
      </c>
      <c r="K327" s="28">
        <v>15</v>
      </c>
      <c r="L327" s="1061">
        <v>11</v>
      </c>
    </row>
    <row r="328" spans="1:12" x14ac:dyDescent="0.25">
      <c r="A328" s="1865"/>
      <c r="B328" s="1144"/>
      <c r="C328" s="1268"/>
      <c r="D328" s="28" t="s">
        <v>437</v>
      </c>
      <c r="E328" s="28"/>
      <c r="F328" s="28"/>
      <c r="G328" s="28"/>
      <c r="H328" s="28"/>
      <c r="I328" s="28">
        <v>68</v>
      </c>
      <c r="J328" s="28">
        <v>38</v>
      </c>
      <c r="K328" s="28">
        <v>16</v>
      </c>
      <c r="L328" s="1061">
        <v>18</v>
      </c>
    </row>
    <row r="329" spans="1:12" x14ac:dyDescent="0.25">
      <c r="A329" s="1865"/>
      <c r="B329" s="1144"/>
      <c r="C329" s="1268"/>
      <c r="D329" s="148" t="s">
        <v>353</v>
      </c>
      <c r="E329" s="28"/>
      <c r="F329" s="44"/>
      <c r="G329" s="44"/>
      <c r="H329" s="44"/>
      <c r="I329" s="157">
        <f>I328-I327</f>
        <v>33</v>
      </c>
      <c r="J329" s="157">
        <f>J328-J327</f>
        <v>22</v>
      </c>
      <c r="K329" s="157">
        <f>K328-K327</f>
        <v>1</v>
      </c>
      <c r="L329" s="157">
        <f>L328-L327</f>
        <v>7</v>
      </c>
    </row>
    <row r="330" spans="1:12" x14ac:dyDescent="0.25">
      <c r="A330" s="1865"/>
      <c r="B330" s="1144"/>
      <c r="C330" s="1268"/>
      <c r="D330" s="148" t="s">
        <v>270</v>
      </c>
      <c r="E330" s="28"/>
      <c r="F330" s="44"/>
      <c r="G330" s="44"/>
      <c r="H330" s="44"/>
      <c r="I330" s="158">
        <f>I328/I326*100</f>
        <v>66.019417475728162</v>
      </c>
      <c r="J330" s="158">
        <f>J328/J326*100</f>
        <v>70.370370370370367</v>
      </c>
      <c r="K330" s="158">
        <f>K328/K326*100</f>
        <v>51.612903225806448</v>
      </c>
      <c r="L330" s="158">
        <f>L328/L326*100</f>
        <v>62.068965517241381</v>
      </c>
    </row>
    <row r="331" spans="1:12" x14ac:dyDescent="0.25">
      <c r="A331" s="1865"/>
      <c r="B331" s="1144"/>
      <c r="C331" s="1268" t="s">
        <v>438</v>
      </c>
      <c r="D331" s="149" t="s">
        <v>435</v>
      </c>
      <c r="E331" s="28"/>
      <c r="F331" s="44"/>
      <c r="G331" s="44"/>
      <c r="H331" s="44"/>
      <c r="I331" s="44">
        <v>391</v>
      </c>
      <c r="J331" s="44">
        <v>193</v>
      </c>
      <c r="K331" s="44">
        <v>75</v>
      </c>
      <c r="L331" s="1061">
        <v>123</v>
      </c>
    </row>
    <row r="332" spans="1:12" x14ac:dyDescent="0.25">
      <c r="A332" s="1865"/>
      <c r="B332" s="1144"/>
      <c r="C332" s="1268"/>
      <c r="D332" s="147" t="s">
        <v>436</v>
      </c>
      <c r="E332" s="28"/>
      <c r="F332" s="28"/>
      <c r="G332" s="28"/>
      <c r="H332" s="28"/>
      <c r="I332" s="28">
        <v>142</v>
      </c>
      <c r="J332" s="28">
        <v>72</v>
      </c>
      <c r="K332" s="28">
        <v>21</v>
      </c>
      <c r="L332" s="1061">
        <v>57</v>
      </c>
    </row>
    <row r="333" spans="1:12" x14ac:dyDescent="0.25">
      <c r="A333" s="1865"/>
      <c r="B333" s="1144"/>
      <c r="C333" s="1268"/>
      <c r="D333" s="28" t="s">
        <v>437</v>
      </c>
      <c r="E333" s="28"/>
      <c r="F333" s="28"/>
      <c r="G333" s="28"/>
      <c r="H333" s="28"/>
      <c r="I333" s="28">
        <v>249</v>
      </c>
      <c r="J333" s="28">
        <v>121</v>
      </c>
      <c r="K333" s="28">
        <v>54</v>
      </c>
      <c r="L333" s="1061">
        <v>66</v>
      </c>
    </row>
    <row r="334" spans="1:12" x14ac:dyDescent="0.25">
      <c r="A334" s="1865"/>
      <c r="B334" s="1144"/>
      <c r="C334" s="1268"/>
      <c r="D334" s="148" t="s">
        <v>575</v>
      </c>
      <c r="E334" s="28"/>
      <c r="F334" s="28"/>
      <c r="G334" s="28"/>
      <c r="H334" s="28"/>
      <c r="I334" s="96">
        <f>I333-I332</f>
        <v>107</v>
      </c>
      <c r="J334" s="96">
        <f>J333-J332</f>
        <v>49</v>
      </c>
      <c r="K334" s="96">
        <f>K333-K332</f>
        <v>33</v>
      </c>
      <c r="L334" s="96">
        <f>L333-L332</f>
        <v>9</v>
      </c>
    </row>
    <row r="335" spans="1:12" ht="16.5" thickBot="1" x14ac:dyDescent="0.3">
      <c r="A335" s="1865"/>
      <c r="B335" s="1145"/>
      <c r="C335" s="1362"/>
      <c r="D335" s="150" t="s">
        <v>270</v>
      </c>
      <c r="E335" s="110"/>
      <c r="F335" s="110"/>
      <c r="G335" s="110"/>
      <c r="H335" s="110"/>
      <c r="I335" s="474">
        <f>I333/I331*100</f>
        <v>63.682864450127873</v>
      </c>
      <c r="J335" s="474">
        <f>J333/J331*100</f>
        <v>62.694300518134717</v>
      </c>
      <c r="K335" s="474">
        <f>K333/K331*100</f>
        <v>72</v>
      </c>
      <c r="L335" s="474">
        <f>L333/L331*100</f>
        <v>53.658536585365859</v>
      </c>
    </row>
    <row r="336" spans="1:12" ht="15" customHeight="1" x14ac:dyDescent="0.25">
      <c r="A336" s="1865"/>
      <c r="B336" s="1143" t="s">
        <v>180</v>
      </c>
      <c r="C336" s="1146" t="s">
        <v>435</v>
      </c>
      <c r="D336" s="1147"/>
      <c r="E336" s="40"/>
      <c r="F336" s="40"/>
      <c r="G336" s="40"/>
      <c r="H336" s="195">
        <v>11386</v>
      </c>
      <c r="I336" s="195">
        <v>11328</v>
      </c>
      <c r="J336" s="195">
        <v>11570</v>
      </c>
      <c r="K336" s="195">
        <v>11646</v>
      </c>
      <c r="L336" s="20"/>
    </row>
    <row r="337" spans="1:14" x14ac:dyDescent="0.25">
      <c r="A337" s="1865"/>
      <c r="B337" s="1144"/>
      <c r="C337" s="1148" t="s">
        <v>436</v>
      </c>
      <c r="D337" s="1124"/>
      <c r="E337" s="28"/>
      <c r="F337" s="28"/>
      <c r="G337" s="28"/>
      <c r="H337" s="96">
        <v>4820</v>
      </c>
      <c r="I337" s="96">
        <v>4828</v>
      </c>
      <c r="J337" s="96">
        <v>4811</v>
      </c>
      <c r="K337" s="96">
        <v>4786</v>
      </c>
      <c r="L337" s="21"/>
    </row>
    <row r="338" spans="1:14" x14ac:dyDescent="0.25">
      <c r="A338" s="1865"/>
      <c r="B338" s="1144"/>
      <c r="C338" s="1148" t="s">
        <v>437</v>
      </c>
      <c r="D338" s="1124"/>
      <c r="E338" s="28"/>
      <c r="F338" s="28"/>
      <c r="G338" s="28"/>
      <c r="H338" s="96">
        <v>6566</v>
      </c>
      <c r="I338" s="96">
        <v>6500</v>
      </c>
      <c r="J338" s="96">
        <v>6759</v>
      </c>
      <c r="K338" s="96">
        <v>6860</v>
      </c>
      <c r="L338" s="21"/>
    </row>
    <row r="339" spans="1:14" x14ac:dyDescent="0.25">
      <c r="A339" s="1865"/>
      <c r="B339" s="1144"/>
      <c r="C339" s="1190" t="s">
        <v>353</v>
      </c>
      <c r="D339" s="1112"/>
      <c r="E339" s="44"/>
      <c r="F339" s="44"/>
      <c r="G339" s="44"/>
      <c r="H339" s="157">
        <f>H338-H337</f>
        <v>1746</v>
      </c>
      <c r="I339" s="157">
        <f>I338-I337</f>
        <v>1672</v>
      </c>
      <c r="J339" s="157">
        <f>J338-J337</f>
        <v>1948</v>
      </c>
      <c r="K339" s="157">
        <f>K338-K337</f>
        <v>2074</v>
      </c>
      <c r="L339" s="21"/>
    </row>
    <row r="340" spans="1:14" x14ac:dyDescent="0.25">
      <c r="A340" s="1866"/>
      <c r="B340" s="1145"/>
      <c r="C340" s="1177" t="s">
        <v>270</v>
      </c>
      <c r="D340" s="1178"/>
      <c r="E340" s="336"/>
      <c r="F340" s="336"/>
      <c r="G340" s="336"/>
      <c r="H340" s="165">
        <f>H338/H336*100</f>
        <v>57.667310732478484</v>
      </c>
      <c r="I340" s="165">
        <f>I338/I336*100</f>
        <v>57.379943502824858</v>
      </c>
      <c r="J340" s="165">
        <f>J338/J336*100</f>
        <v>58.418323249783924</v>
      </c>
      <c r="K340" s="165">
        <f>K338/K336*100</f>
        <v>58.904344839429847</v>
      </c>
      <c r="L340" s="53"/>
    </row>
    <row r="341" spans="1:14" ht="16.5" thickBot="1" x14ac:dyDescent="0.3">
      <c r="A341" s="338" t="s">
        <v>248</v>
      </c>
      <c r="B341" s="463" t="s">
        <v>249</v>
      </c>
      <c r="C341" s="1422"/>
      <c r="D341" s="1422"/>
      <c r="E341" s="616">
        <v>2005</v>
      </c>
      <c r="F341" s="616">
        <v>2010</v>
      </c>
      <c r="G341" s="616">
        <v>2015</v>
      </c>
      <c r="H341" s="616">
        <v>2020</v>
      </c>
      <c r="I341" s="616">
        <v>2021</v>
      </c>
      <c r="J341" s="616">
        <v>2022</v>
      </c>
      <c r="K341" s="616">
        <v>2023</v>
      </c>
      <c r="L341" s="616">
        <v>2024</v>
      </c>
    </row>
    <row r="342" spans="1:14" x14ac:dyDescent="0.25">
      <c r="A342" s="1868" t="s">
        <v>439</v>
      </c>
      <c r="B342" s="1237" t="s">
        <v>440</v>
      </c>
      <c r="C342" s="1249" t="s">
        <v>251</v>
      </c>
      <c r="D342" s="1250"/>
      <c r="E342" s="107">
        <v>80.8</v>
      </c>
      <c r="F342" s="910">
        <v>83.3</v>
      </c>
      <c r="G342" s="910">
        <v>84.9</v>
      </c>
      <c r="H342" s="910">
        <v>81.900000000000006</v>
      </c>
      <c r="I342" s="910">
        <v>85.6</v>
      </c>
      <c r="J342" s="930">
        <v>84.644225504657257</v>
      </c>
      <c r="K342" s="40">
        <v>85.9</v>
      </c>
      <c r="L342" s="108"/>
      <c r="M342" s="326"/>
      <c r="N342" s="326"/>
    </row>
    <row r="343" spans="1:14" x14ac:dyDescent="0.25">
      <c r="A343" s="1822"/>
      <c r="B343" s="1238"/>
      <c r="C343" s="1235" t="s">
        <v>257</v>
      </c>
      <c r="D343" s="1236"/>
      <c r="E343" s="57">
        <v>77.5</v>
      </c>
      <c r="F343" s="58">
        <v>79.400000000000006</v>
      </c>
      <c r="G343" s="58">
        <v>82.8</v>
      </c>
      <c r="H343" s="58">
        <v>79.3</v>
      </c>
      <c r="I343" s="58">
        <v>82.6</v>
      </c>
      <c r="J343" s="929">
        <v>82.273914642126527</v>
      </c>
      <c r="K343" s="28">
        <v>82.4</v>
      </c>
      <c r="L343" s="21"/>
    </row>
    <row r="344" spans="1:14" x14ac:dyDescent="0.25">
      <c r="A344" s="1822"/>
      <c r="B344" s="1238"/>
      <c r="C344" s="1235" t="s">
        <v>263</v>
      </c>
      <c r="D344" s="1236"/>
      <c r="E344" s="57">
        <v>84.2</v>
      </c>
      <c r="F344" s="58">
        <v>87.3</v>
      </c>
      <c r="G344" s="58">
        <v>86.8</v>
      </c>
      <c r="H344" s="58">
        <v>84.3</v>
      </c>
      <c r="I344" s="58">
        <v>88.4</v>
      </c>
      <c r="J344" s="929">
        <v>86.718764339939852</v>
      </c>
      <c r="K344" s="28">
        <v>89.1</v>
      </c>
      <c r="L344" s="21"/>
    </row>
    <row r="345" spans="1:14" ht="16.5" thickBot="1" x14ac:dyDescent="0.3">
      <c r="A345" s="1822"/>
      <c r="B345" s="1239"/>
      <c r="C345" s="1242" t="s">
        <v>441</v>
      </c>
      <c r="D345" s="1243"/>
      <c r="E345" s="339">
        <f t="shared" ref="E345:K345" si="23">+E344-E343</f>
        <v>6.7000000000000028</v>
      </c>
      <c r="F345" s="339">
        <f t="shared" si="23"/>
        <v>7.8999999999999915</v>
      </c>
      <c r="G345" s="339">
        <f t="shared" si="23"/>
        <v>4</v>
      </c>
      <c r="H345" s="339">
        <f t="shared" si="23"/>
        <v>5</v>
      </c>
      <c r="I345" s="339">
        <f t="shared" si="23"/>
        <v>5.8000000000000114</v>
      </c>
      <c r="J345" s="931">
        <f t="shared" si="23"/>
        <v>4.444849697813325</v>
      </c>
      <c r="K345" s="931">
        <f t="shared" si="23"/>
        <v>6.6999999999999886</v>
      </c>
      <c r="L345" s="22"/>
    </row>
    <row r="346" spans="1:14" x14ac:dyDescent="0.25">
      <c r="A346" s="1733"/>
      <c r="B346" s="1237" t="s">
        <v>192</v>
      </c>
      <c r="C346" s="1249" t="s">
        <v>251</v>
      </c>
      <c r="D346" s="1250"/>
      <c r="E346" s="107"/>
      <c r="F346" s="341"/>
      <c r="G346" s="224">
        <v>3236</v>
      </c>
      <c r="H346" s="224">
        <v>4418</v>
      </c>
      <c r="I346" s="224">
        <v>4626</v>
      </c>
      <c r="J346" s="195">
        <v>4904</v>
      </c>
      <c r="K346" s="195">
        <v>5074</v>
      </c>
      <c r="L346" s="20"/>
    </row>
    <row r="347" spans="1:14" x14ac:dyDescent="0.25">
      <c r="A347" s="1733"/>
      <c r="B347" s="1238"/>
      <c r="C347" s="1235" t="s">
        <v>257</v>
      </c>
      <c r="D347" s="1236"/>
      <c r="E347" s="57"/>
      <c r="F347" s="218"/>
      <c r="G347" s="219">
        <v>1600</v>
      </c>
      <c r="H347" s="219">
        <v>2191</v>
      </c>
      <c r="I347" s="219">
        <v>2282</v>
      </c>
      <c r="J347" s="96">
        <v>2419</v>
      </c>
      <c r="K347" s="96">
        <v>2417</v>
      </c>
      <c r="L347" s="21"/>
    </row>
    <row r="348" spans="1:14" x14ac:dyDescent="0.25">
      <c r="A348" s="1733"/>
      <c r="B348" s="1238"/>
      <c r="C348" s="1235" t="s">
        <v>263</v>
      </c>
      <c r="D348" s="1236"/>
      <c r="E348" s="57"/>
      <c r="F348" s="218"/>
      <c r="G348" s="219">
        <v>1636</v>
      </c>
      <c r="H348" s="219">
        <v>2227</v>
      </c>
      <c r="I348" s="219">
        <v>2344</v>
      </c>
      <c r="J348" s="96">
        <v>2485</v>
      </c>
      <c r="K348" s="96">
        <v>2657</v>
      </c>
      <c r="L348" s="21"/>
    </row>
    <row r="349" spans="1:14" ht="16.5" thickBot="1" x14ac:dyDescent="0.3">
      <c r="A349" s="1734"/>
      <c r="B349" s="1239"/>
      <c r="C349" s="1224" t="s">
        <v>270</v>
      </c>
      <c r="D349" s="1225"/>
      <c r="E349" s="912"/>
      <c r="F349" s="912"/>
      <c r="G349" s="366">
        <f>G348/G346*100</f>
        <v>50.556242274412853</v>
      </c>
      <c r="H349" s="366">
        <f>H348/H346*100</f>
        <v>50.407424173834315</v>
      </c>
      <c r="I349" s="366">
        <f>I348/I346*100</f>
        <v>50.670125378296582</v>
      </c>
      <c r="J349" s="366">
        <f>J348/J346*100</f>
        <v>50.67292006525286</v>
      </c>
      <c r="K349" s="366">
        <f>K348/K346*100</f>
        <v>52.364998029168305</v>
      </c>
      <c r="L349" s="22"/>
    </row>
    <row r="350" spans="1:14" ht="16.5" thickBot="1" x14ac:dyDescent="0.3">
      <c r="A350" s="338" t="s">
        <v>248</v>
      </c>
      <c r="B350" s="822" t="s">
        <v>249</v>
      </c>
      <c r="C350" s="1675"/>
      <c r="D350" s="1675"/>
      <c r="E350" s="112"/>
      <c r="F350" s="112" t="s">
        <v>443</v>
      </c>
      <c r="G350" s="112" t="s">
        <v>444</v>
      </c>
      <c r="H350" s="112" t="s">
        <v>445</v>
      </c>
      <c r="I350" s="112" t="s">
        <v>446</v>
      </c>
      <c r="J350" s="112" t="s">
        <v>447</v>
      </c>
      <c r="K350" s="112" t="s">
        <v>448</v>
      </c>
      <c r="L350" s="616" t="s">
        <v>449</v>
      </c>
    </row>
    <row r="351" spans="1:14" x14ac:dyDescent="0.25">
      <c r="A351" s="1771" t="s">
        <v>450</v>
      </c>
      <c r="B351" s="1900" t="s">
        <v>199</v>
      </c>
      <c r="C351" s="1159" t="s">
        <v>451</v>
      </c>
      <c r="D351" s="430" t="s">
        <v>435</v>
      </c>
      <c r="E351" s="195"/>
      <c r="F351" s="195">
        <v>7200</v>
      </c>
      <c r="G351" s="195">
        <v>5758</v>
      </c>
      <c r="H351" s="195">
        <v>4439</v>
      </c>
      <c r="I351" s="195">
        <v>4758</v>
      </c>
      <c r="J351" s="195">
        <v>5183</v>
      </c>
      <c r="K351" s="195">
        <v>5635</v>
      </c>
      <c r="L351" s="20"/>
    </row>
    <row r="352" spans="1:14" x14ac:dyDescent="0.25">
      <c r="A352" s="1772"/>
      <c r="B352" s="1569"/>
      <c r="C352" s="1160"/>
      <c r="D352" s="428" t="s">
        <v>436</v>
      </c>
      <c r="E352" s="96"/>
      <c r="F352" s="96">
        <v>3686</v>
      </c>
      <c r="G352" s="96">
        <v>2942</v>
      </c>
      <c r="H352" s="96">
        <v>2311</v>
      </c>
      <c r="I352" s="96">
        <v>2497</v>
      </c>
      <c r="J352" s="96">
        <v>2679</v>
      </c>
      <c r="K352" s="96">
        <v>2910</v>
      </c>
      <c r="L352" s="21"/>
    </row>
    <row r="353" spans="1:12" x14ac:dyDescent="0.25">
      <c r="A353" s="1772"/>
      <c r="B353" s="1569"/>
      <c r="C353" s="1160"/>
      <c r="D353" s="428" t="s">
        <v>437</v>
      </c>
      <c r="E353" s="96"/>
      <c r="F353" s="96">
        <v>3514</v>
      </c>
      <c r="G353" s="96">
        <v>2816</v>
      </c>
      <c r="H353" s="96">
        <v>2128</v>
      </c>
      <c r="I353" s="96">
        <v>2261</v>
      </c>
      <c r="J353" s="96">
        <v>2504</v>
      </c>
      <c r="K353" s="96">
        <v>2725</v>
      </c>
      <c r="L353" s="21"/>
    </row>
    <row r="354" spans="1:12" ht="15" customHeight="1" x14ac:dyDescent="0.25">
      <c r="A354" s="1772"/>
      <c r="B354" s="1569"/>
      <c r="C354" s="1160" t="s">
        <v>452</v>
      </c>
      <c r="D354" s="427" t="s">
        <v>435</v>
      </c>
      <c r="E354" s="157"/>
      <c r="F354" s="157">
        <f>F355+F356</f>
        <v>3581</v>
      </c>
      <c r="G354" s="157">
        <f t="shared" ref="G354:J354" si="24">G355+G356</f>
        <v>3179</v>
      </c>
      <c r="H354" s="157">
        <f t="shared" si="24"/>
        <v>2437</v>
      </c>
      <c r="I354" s="157">
        <f t="shared" si="24"/>
        <v>2509</v>
      </c>
      <c r="J354" s="157">
        <f t="shared" si="24"/>
        <v>2590</v>
      </c>
      <c r="K354" s="157">
        <f>SUM(K355:K356)</f>
        <v>2879</v>
      </c>
      <c r="L354" s="21"/>
    </row>
    <row r="355" spans="1:12" x14ac:dyDescent="0.25">
      <c r="A355" s="1772"/>
      <c r="B355" s="1569"/>
      <c r="C355" s="1160"/>
      <c r="D355" s="428" t="s">
        <v>436</v>
      </c>
      <c r="E355" s="96"/>
      <c r="F355" s="96">
        <v>1850</v>
      </c>
      <c r="G355" s="96">
        <v>1580</v>
      </c>
      <c r="H355" s="96">
        <v>1314</v>
      </c>
      <c r="I355" s="96">
        <v>1330</v>
      </c>
      <c r="J355" s="96">
        <v>1344</v>
      </c>
      <c r="K355" s="157">
        <v>1456</v>
      </c>
      <c r="L355" s="21"/>
    </row>
    <row r="356" spans="1:12" ht="16.5" thickBot="1" x14ac:dyDescent="0.3">
      <c r="A356" s="1772"/>
      <c r="B356" s="1569"/>
      <c r="C356" s="1519"/>
      <c r="D356" s="434" t="s">
        <v>437</v>
      </c>
      <c r="E356" s="360"/>
      <c r="F356" s="360">
        <v>1731</v>
      </c>
      <c r="G356" s="360">
        <v>1599</v>
      </c>
      <c r="H356" s="360">
        <v>1123</v>
      </c>
      <c r="I356" s="360">
        <v>1179</v>
      </c>
      <c r="J356" s="360">
        <v>1246</v>
      </c>
      <c r="K356" s="441">
        <v>1423</v>
      </c>
      <c r="L356" s="53"/>
    </row>
    <row r="357" spans="1:12" x14ac:dyDescent="0.25">
      <c r="A357" s="1772"/>
      <c r="B357" s="1569"/>
      <c r="C357" s="1352" t="s">
        <v>453</v>
      </c>
      <c r="D357" s="1250"/>
      <c r="E357" s="195"/>
      <c r="F357" s="37">
        <f>+(F354/F351)*100</f>
        <v>49.736111111111107</v>
      </c>
      <c r="G357" s="37">
        <f t="shared" ref="G357:K357" si="25">+(G354/G351)*100</f>
        <v>55.210142410559229</v>
      </c>
      <c r="H357" s="37">
        <f t="shared" si="25"/>
        <v>54.899752196440645</v>
      </c>
      <c r="I357" s="37">
        <f t="shared" si="25"/>
        <v>52.732240437158474</v>
      </c>
      <c r="J357" s="37">
        <f t="shared" si="25"/>
        <v>49.971059232104956</v>
      </c>
      <c r="K357" s="37">
        <f t="shared" si="25"/>
        <v>51.091393078970718</v>
      </c>
      <c r="L357" s="20"/>
    </row>
    <row r="358" spans="1:12" x14ac:dyDescent="0.25">
      <c r="A358" s="1772"/>
      <c r="B358" s="1569"/>
      <c r="C358" s="1363" t="s">
        <v>454</v>
      </c>
      <c r="D358" s="1236"/>
      <c r="E358" s="28"/>
      <c r="F358" s="187">
        <f>F355/F352*100</f>
        <v>50.189907759088449</v>
      </c>
      <c r="G358" s="187">
        <f>G355/G352*100</f>
        <v>53.704962610469067</v>
      </c>
      <c r="H358" s="187">
        <f t="shared" ref="H358:I358" si="26">H355/H352*100</f>
        <v>56.858502812635223</v>
      </c>
      <c r="I358" s="187">
        <f t="shared" si="26"/>
        <v>53.263916700040049</v>
      </c>
      <c r="J358" s="187">
        <f>J355/J352*100</f>
        <v>50.167973124300111</v>
      </c>
      <c r="K358" s="187">
        <f>K355/K352*100</f>
        <v>50.034364261168385</v>
      </c>
      <c r="L358" s="21"/>
    </row>
    <row r="359" spans="1:12" x14ac:dyDescent="0.25">
      <c r="A359" s="1772"/>
      <c r="B359" s="1569"/>
      <c r="C359" s="1363" t="s">
        <v>455</v>
      </c>
      <c r="D359" s="1236"/>
      <c r="E359" s="28"/>
      <c r="F359" s="187">
        <f>F356/F353*100</f>
        <v>49.260102447353447</v>
      </c>
      <c r="G359" s="187">
        <f>G356/G353*100</f>
        <v>56.78267045454546</v>
      </c>
      <c r="H359" s="187">
        <f t="shared" ref="H359:I359" si="27">H356/H353*100</f>
        <v>52.772556390977442</v>
      </c>
      <c r="I359" s="187">
        <f t="shared" si="27"/>
        <v>52.145068553737282</v>
      </c>
      <c r="J359" s="187">
        <f>J356/J353*100</f>
        <v>49.760383386581466</v>
      </c>
      <c r="K359" s="187">
        <f>K356/K353*100</f>
        <v>52.22018348623854</v>
      </c>
      <c r="L359" s="21"/>
    </row>
    <row r="360" spans="1:12" x14ac:dyDescent="0.25">
      <c r="A360" s="1773"/>
      <c r="B360" s="1570"/>
      <c r="C360" s="1383" t="s">
        <v>354</v>
      </c>
      <c r="D360" s="1384"/>
      <c r="E360" s="336"/>
      <c r="F360" s="348">
        <f>+F359-F358</f>
        <v>-0.92980531173500225</v>
      </c>
      <c r="G360" s="593">
        <f t="shared" ref="G360:I360" si="28">+G359-G358</f>
        <v>3.077707844076393</v>
      </c>
      <c r="H360" s="349">
        <f t="shared" si="28"/>
        <v>-4.0859464216577805</v>
      </c>
      <c r="I360" s="349">
        <f t="shared" si="28"/>
        <v>-1.1188481463027671</v>
      </c>
      <c r="J360" s="349">
        <f>+J359-J358</f>
        <v>-0.40758973771864504</v>
      </c>
      <c r="K360" s="349">
        <f>+K359-K358</f>
        <v>2.1858192250701549</v>
      </c>
      <c r="L360" s="53"/>
    </row>
    <row r="361" spans="1:12" ht="16.5" thickBot="1" x14ac:dyDescent="0.3">
      <c r="A361" s="338" t="s">
        <v>248</v>
      </c>
      <c r="B361" s="463" t="s">
        <v>249</v>
      </c>
      <c r="C361" s="1422"/>
      <c r="D361" s="1422"/>
      <c r="E361" s="616" t="s">
        <v>442</v>
      </c>
      <c r="F361" s="616" t="s">
        <v>443</v>
      </c>
      <c r="G361" s="616" t="s">
        <v>444</v>
      </c>
      <c r="H361" s="616" t="s">
        <v>445</v>
      </c>
      <c r="I361" s="616" t="s">
        <v>446</v>
      </c>
      <c r="J361" s="616" t="s">
        <v>447</v>
      </c>
      <c r="K361" s="616" t="s">
        <v>448</v>
      </c>
      <c r="L361" s="616" t="s">
        <v>449</v>
      </c>
    </row>
    <row r="362" spans="1:12" ht="15" customHeight="1" x14ac:dyDescent="0.25">
      <c r="A362" s="1892" t="s">
        <v>456</v>
      </c>
      <c r="B362" s="1744" t="s">
        <v>457</v>
      </c>
      <c r="C362" s="1347" t="s">
        <v>458</v>
      </c>
      <c r="D362" s="229" t="s">
        <v>459</v>
      </c>
      <c r="E362" s="195" t="s">
        <v>460</v>
      </c>
      <c r="F362" s="195">
        <v>578</v>
      </c>
      <c r="G362" s="195">
        <v>740</v>
      </c>
      <c r="H362" s="195">
        <v>805</v>
      </c>
      <c r="I362" s="195">
        <v>909</v>
      </c>
      <c r="J362" s="195">
        <v>886</v>
      </c>
      <c r="K362" s="225">
        <v>887</v>
      </c>
      <c r="L362" s="20"/>
    </row>
    <row r="363" spans="1:12" ht="14.1" customHeight="1" x14ac:dyDescent="0.25">
      <c r="A363" s="1776"/>
      <c r="B363" s="1678"/>
      <c r="C363" s="1348"/>
      <c r="D363" s="227" t="s">
        <v>436</v>
      </c>
      <c r="E363" s="96"/>
      <c r="F363" s="96">
        <v>274</v>
      </c>
      <c r="G363" s="96">
        <v>375</v>
      </c>
      <c r="H363" s="96">
        <v>430</v>
      </c>
      <c r="I363" s="96">
        <v>453</v>
      </c>
      <c r="J363" s="96">
        <v>425</v>
      </c>
      <c r="K363" s="96">
        <v>445</v>
      </c>
      <c r="L363" s="21"/>
    </row>
    <row r="364" spans="1:12" x14ac:dyDescent="0.25">
      <c r="A364" s="1776"/>
      <c r="B364" s="1678"/>
      <c r="C364" s="1348"/>
      <c r="D364" s="227" t="s">
        <v>437</v>
      </c>
      <c r="E364" s="96"/>
      <c r="F364" s="96">
        <v>304</v>
      </c>
      <c r="G364" s="96">
        <v>365</v>
      </c>
      <c r="H364" s="96">
        <v>420</v>
      </c>
      <c r="I364" s="96">
        <v>456</v>
      </c>
      <c r="J364" s="96">
        <v>461</v>
      </c>
      <c r="K364" s="96">
        <v>442</v>
      </c>
      <c r="L364" s="21"/>
    </row>
    <row r="365" spans="1:12" ht="15" customHeight="1" x14ac:dyDescent="0.25">
      <c r="A365" s="1776"/>
      <c r="B365" s="1678"/>
      <c r="C365" s="1348" t="s">
        <v>461</v>
      </c>
      <c r="D365" s="226" t="s">
        <v>459</v>
      </c>
      <c r="E365" s="157"/>
      <c r="F365" s="157">
        <v>265</v>
      </c>
      <c r="G365" s="157">
        <f>170+178</f>
        <v>348</v>
      </c>
      <c r="H365" s="44">
        <v>423</v>
      </c>
      <c r="I365" s="157">
        <v>468</v>
      </c>
      <c r="J365" s="157">
        <f>234+227</f>
        <v>461</v>
      </c>
      <c r="K365" s="96">
        <v>486</v>
      </c>
      <c r="L365" s="21"/>
    </row>
    <row r="366" spans="1:12" x14ac:dyDescent="0.25">
      <c r="A366" s="1776"/>
      <c r="B366" s="1678"/>
      <c r="C366" s="1348"/>
      <c r="D366" s="227" t="s">
        <v>436</v>
      </c>
      <c r="E366" s="96"/>
      <c r="F366" s="96">
        <v>141</v>
      </c>
      <c r="G366" s="96">
        <f>88+102</f>
        <v>190</v>
      </c>
      <c r="H366" s="96">
        <v>246</v>
      </c>
      <c r="I366" s="96">
        <v>272</v>
      </c>
      <c r="J366" s="96">
        <f>128+132</f>
        <v>260</v>
      </c>
      <c r="K366" s="96">
        <v>274</v>
      </c>
      <c r="L366" s="21"/>
    </row>
    <row r="367" spans="1:12" ht="16.5" thickBot="1" x14ac:dyDescent="0.3">
      <c r="A367" s="1776"/>
      <c r="B367" s="1678"/>
      <c r="C367" s="1349"/>
      <c r="D367" s="239" t="s">
        <v>437</v>
      </c>
      <c r="E367" s="190"/>
      <c r="F367" s="190">
        <v>124</v>
      </c>
      <c r="G367" s="190">
        <f>82+76</f>
        <v>158</v>
      </c>
      <c r="H367" s="190">
        <v>177</v>
      </c>
      <c r="I367" s="190">
        <v>196</v>
      </c>
      <c r="J367" s="190">
        <f>106+95</f>
        <v>201</v>
      </c>
      <c r="K367" s="190">
        <v>212</v>
      </c>
      <c r="L367" s="22"/>
    </row>
    <row r="368" spans="1:12" x14ac:dyDescent="0.25">
      <c r="A368" s="1776"/>
      <c r="B368" s="1678"/>
      <c r="C368" s="1389" t="s">
        <v>462</v>
      </c>
      <c r="D368" s="1390"/>
      <c r="E368" s="225"/>
      <c r="F368" s="283">
        <f>F366/F363*100</f>
        <v>51.459854014598541</v>
      </c>
      <c r="G368" s="283">
        <f>G366/G363*100</f>
        <v>50.666666666666671</v>
      </c>
      <c r="H368" s="283">
        <f t="shared" ref="H368:I369" si="29">H366/H363*100</f>
        <v>57.20930232558139</v>
      </c>
      <c r="I368" s="283">
        <f t="shared" si="29"/>
        <v>60.04415011037527</v>
      </c>
      <c r="J368" s="283">
        <f>J366/J363*100</f>
        <v>61.176470588235297</v>
      </c>
      <c r="K368" s="283">
        <f>K366/K363*100</f>
        <v>61.573033707865164</v>
      </c>
      <c r="L368" s="20"/>
    </row>
    <row r="369" spans="1:12" x14ac:dyDescent="0.25">
      <c r="A369" s="1776"/>
      <c r="B369" s="1678"/>
      <c r="C369" s="1123" t="s">
        <v>463</v>
      </c>
      <c r="D369" s="1124"/>
      <c r="E369" s="96"/>
      <c r="F369" s="29">
        <f>F367/F364*100</f>
        <v>40.789473684210527</v>
      </c>
      <c r="G369" s="29">
        <f>G367/G364*100</f>
        <v>43.287671232876711</v>
      </c>
      <c r="H369" s="29">
        <f t="shared" si="29"/>
        <v>42.142857142857146</v>
      </c>
      <c r="I369" s="29">
        <f t="shared" si="29"/>
        <v>42.982456140350877</v>
      </c>
      <c r="J369" s="29">
        <f>J367/J364*100</f>
        <v>43.600867678958785</v>
      </c>
      <c r="K369" s="29">
        <f>K367/K364*100</f>
        <v>47.963800904977376</v>
      </c>
      <c r="L369" s="21"/>
    </row>
    <row r="370" spans="1:12" ht="16.5" thickBot="1" x14ac:dyDescent="0.3">
      <c r="A370" s="1776"/>
      <c r="B370" s="1745"/>
      <c r="C370" s="1359" t="s">
        <v>354</v>
      </c>
      <c r="D370" s="1225"/>
      <c r="E370" s="33"/>
      <c r="F370" s="161">
        <f>+F369-F368</f>
        <v>-10.670380330388014</v>
      </c>
      <c r="G370" s="161">
        <f t="shared" ref="G370:I370" si="30">+G369-G368</f>
        <v>-7.3789954337899601</v>
      </c>
      <c r="H370" s="161">
        <f t="shared" si="30"/>
        <v>-15.066445182724244</v>
      </c>
      <c r="I370" s="161">
        <f t="shared" si="30"/>
        <v>-17.061693970024393</v>
      </c>
      <c r="J370" s="161">
        <f>+J369-J368</f>
        <v>-17.575602909276512</v>
      </c>
      <c r="K370" s="161">
        <f>+K369-K368</f>
        <v>-13.609232802887789</v>
      </c>
      <c r="L370" s="22"/>
    </row>
    <row r="371" spans="1:12" ht="16.5" thickBot="1" x14ac:dyDescent="0.3">
      <c r="A371" s="1775"/>
      <c r="B371" s="823" t="s">
        <v>249</v>
      </c>
      <c r="C371" s="1675"/>
      <c r="D371" s="1675"/>
      <c r="E371" s="112" t="s">
        <v>442</v>
      </c>
      <c r="F371" s="112" t="s">
        <v>443</v>
      </c>
      <c r="G371" s="112" t="s">
        <v>444</v>
      </c>
      <c r="H371" s="112" t="s">
        <v>445</v>
      </c>
      <c r="I371" s="112" t="s">
        <v>446</v>
      </c>
      <c r="J371" s="112" t="s">
        <v>447</v>
      </c>
      <c r="K371" s="112" t="s">
        <v>448</v>
      </c>
      <c r="L371" s="112" t="s">
        <v>449</v>
      </c>
    </row>
    <row r="372" spans="1:12" ht="15" customHeight="1" x14ac:dyDescent="0.25">
      <c r="A372" s="1776"/>
      <c r="B372" s="1744" t="s">
        <v>464</v>
      </c>
      <c r="C372" s="1251" t="s">
        <v>459</v>
      </c>
      <c r="D372" s="1390"/>
      <c r="E372" s="36"/>
      <c r="F372" s="195">
        <v>326</v>
      </c>
      <c r="G372" s="195">
        <v>327</v>
      </c>
      <c r="H372" s="195">
        <v>325</v>
      </c>
      <c r="I372" s="195">
        <v>297</v>
      </c>
      <c r="J372" s="195">
        <v>287</v>
      </c>
      <c r="K372" s="195">
        <v>283</v>
      </c>
      <c r="L372" s="20"/>
    </row>
    <row r="373" spans="1:12" x14ac:dyDescent="0.25">
      <c r="A373" s="1776"/>
      <c r="B373" s="1678"/>
      <c r="C373" s="1123" t="s">
        <v>436</v>
      </c>
      <c r="D373" s="1124"/>
      <c r="E373" s="96"/>
      <c r="F373" s="96">
        <v>266</v>
      </c>
      <c r="G373" s="96">
        <v>289</v>
      </c>
      <c r="H373" s="96">
        <v>279</v>
      </c>
      <c r="I373" s="96">
        <v>252</v>
      </c>
      <c r="J373" s="96">
        <v>240</v>
      </c>
      <c r="K373" s="157">
        <v>243</v>
      </c>
      <c r="L373" s="21"/>
    </row>
    <row r="374" spans="1:12" x14ac:dyDescent="0.25">
      <c r="A374" s="1776"/>
      <c r="B374" s="1678"/>
      <c r="C374" s="1123" t="s">
        <v>437</v>
      </c>
      <c r="D374" s="1124"/>
      <c r="E374" s="96"/>
      <c r="F374" s="96">
        <v>60</v>
      </c>
      <c r="G374" s="96">
        <v>38</v>
      </c>
      <c r="H374" s="96">
        <v>46</v>
      </c>
      <c r="I374" s="96">
        <v>45</v>
      </c>
      <c r="J374" s="96">
        <v>47</v>
      </c>
      <c r="K374" s="157">
        <v>40</v>
      </c>
      <c r="L374" s="21"/>
    </row>
    <row r="375" spans="1:12" ht="16.5" thickBot="1" x14ac:dyDescent="0.3">
      <c r="A375" s="1776"/>
      <c r="B375" s="1678"/>
      <c r="C375" s="1170" t="s">
        <v>270</v>
      </c>
      <c r="D375" s="1155"/>
      <c r="E375" s="190"/>
      <c r="F375" s="285">
        <f t="shared" ref="F375:J375" si="31">F374/F372*100</f>
        <v>18.404907975460123</v>
      </c>
      <c r="G375" s="285">
        <f t="shared" si="31"/>
        <v>11.62079510703364</v>
      </c>
      <c r="H375" s="285">
        <f t="shared" si="31"/>
        <v>14.153846153846153</v>
      </c>
      <c r="I375" s="285">
        <f t="shared" si="31"/>
        <v>15.151515151515152</v>
      </c>
      <c r="J375" s="285">
        <f t="shared" si="31"/>
        <v>16.376306620209057</v>
      </c>
      <c r="K375" s="285">
        <f>K374/K372*100</f>
        <v>14.134275618374559</v>
      </c>
      <c r="L375" s="22"/>
    </row>
    <row r="376" spans="1:12" ht="14.85" customHeight="1" x14ac:dyDescent="0.25">
      <c r="A376" s="1776"/>
      <c r="B376" s="1678"/>
      <c r="C376" s="1159" t="s">
        <v>467</v>
      </c>
      <c r="D376" s="248" t="s">
        <v>251</v>
      </c>
      <c r="E376" s="249"/>
      <c r="F376" s="250">
        <v>183</v>
      </c>
      <c r="G376" s="250">
        <v>176</v>
      </c>
      <c r="H376" s="250">
        <v>151</v>
      </c>
      <c r="I376" s="250">
        <v>141</v>
      </c>
      <c r="J376" s="250">
        <v>155</v>
      </c>
      <c r="K376" s="36">
        <v>156</v>
      </c>
      <c r="L376" s="20"/>
    </row>
    <row r="377" spans="1:12" x14ac:dyDescent="0.25">
      <c r="A377" s="1776"/>
      <c r="B377" s="1678"/>
      <c r="C377" s="1160"/>
      <c r="D377" s="28" t="s">
        <v>257</v>
      </c>
      <c r="E377" s="94"/>
      <c r="F377" s="80">
        <v>159</v>
      </c>
      <c r="G377" s="80">
        <v>162</v>
      </c>
      <c r="H377" s="80">
        <v>135</v>
      </c>
      <c r="I377" s="80">
        <v>123</v>
      </c>
      <c r="J377" s="80">
        <v>130</v>
      </c>
      <c r="K377" s="28">
        <v>140</v>
      </c>
      <c r="L377" s="21"/>
    </row>
    <row r="378" spans="1:12" x14ac:dyDescent="0.25">
      <c r="A378" s="1776"/>
      <c r="B378" s="1678"/>
      <c r="C378" s="1160"/>
      <c r="D378" s="28" t="s">
        <v>263</v>
      </c>
      <c r="E378" s="94"/>
      <c r="F378" s="80">
        <v>24</v>
      </c>
      <c r="G378" s="80">
        <v>14</v>
      </c>
      <c r="H378" s="80">
        <v>16</v>
      </c>
      <c r="I378" s="80">
        <v>18</v>
      </c>
      <c r="J378" s="80">
        <v>25</v>
      </c>
      <c r="K378" s="28">
        <v>16</v>
      </c>
      <c r="L378" s="21"/>
    </row>
    <row r="379" spans="1:12" ht="16.5" thickBot="1" x14ac:dyDescent="0.3">
      <c r="A379" s="1776"/>
      <c r="B379" s="1678"/>
      <c r="C379" s="1161"/>
      <c r="D379" s="203" t="s">
        <v>270</v>
      </c>
      <c r="E379" s="106"/>
      <c r="F379" s="253">
        <f>(F378/F376)*100</f>
        <v>13.114754098360656</v>
      </c>
      <c r="G379" s="253">
        <f>(G378/G376)*100</f>
        <v>7.9545454545454541</v>
      </c>
      <c r="H379" s="253">
        <f>(H378/H376)*100</f>
        <v>10.596026490066226</v>
      </c>
      <c r="I379" s="253">
        <f>I378/I376*100</f>
        <v>12.76595744680851</v>
      </c>
      <c r="J379" s="253">
        <f>J378/J376*100</f>
        <v>16.129032258064516</v>
      </c>
      <c r="K379" s="253">
        <f>K378/K376*100</f>
        <v>10.256410256410255</v>
      </c>
      <c r="L379" s="22"/>
    </row>
    <row r="380" spans="1:12" ht="14.85" customHeight="1" x14ac:dyDescent="0.25">
      <c r="A380" s="1776"/>
      <c r="B380" s="1678"/>
      <c r="C380" s="1159" t="s">
        <v>581</v>
      </c>
      <c r="D380" s="248" t="s">
        <v>251</v>
      </c>
      <c r="E380" s="249"/>
      <c r="F380" s="250">
        <v>100</v>
      </c>
      <c r="G380" s="250">
        <v>111</v>
      </c>
      <c r="H380" s="250">
        <v>111</v>
      </c>
      <c r="I380" s="250">
        <v>106</v>
      </c>
      <c r="J380" s="250">
        <v>89</v>
      </c>
      <c r="K380" s="36">
        <v>85</v>
      </c>
      <c r="L380" s="20"/>
    </row>
    <row r="381" spans="1:12" x14ac:dyDescent="0.25">
      <c r="A381" s="1776"/>
      <c r="B381" s="1678"/>
      <c r="C381" s="1160"/>
      <c r="D381" s="28" t="s">
        <v>257</v>
      </c>
      <c r="E381" s="94"/>
      <c r="F381" s="80">
        <v>95</v>
      </c>
      <c r="G381" s="80">
        <v>109</v>
      </c>
      <c r="H381" s="80">
        <v>110</v>
      </c>
      <c r="I381" s="80">
        <v>106</v>
      </c>
      <c r="J381" s="80">
        <v>89</v>
      </c>
      <c r="K381" s="28">
        <v>82</v>
      </c>
      <c r="L381" s="21"/>
    </row>
    <row r="382" spans="1:12" x14ac:dyDescent="0.25">
      <c r="A382" s="1776"/>
      <c r="B382" s="1678"/>
      <c r="C382" s="1160"/>
      <c r="D382" s="28" t="s">
        <v>263</v>
      </c>
      <c r="E382" s="94"/>
      <c r="F382" s="80">
        <v>5</v>
      </c>
      <c r="G382" s="80">
        <v>2</v>
      </c>
      <c r="H382" s="80">
        <v>1</v>
      </c>
      <c r="I382" s="80">
        <v>0</v>
      </c>
      <c r="J382" s="80">
        <v>0</v>
      </c>
      <c r="K382" s="28">
        <v>3</v>
      </c>
      <c r="L382" s="21"/>
    </row>
    <row r="383" spans="1:12" ht="16.5" thickBot="1" x14ac:dyDescent="0.3">
      <c r="A383" s="1776"/>
      <c r="B383" s="1678"/>
      <c r="C383" s="1161"/>
      <c r="D383" s="203" t="s">
        <v>270</v>
      </c>
      <c r="E383" s="106"/>
      <c r="F383" s="253">
        <f>(F382/F380)*100</f>
        <v>5</v>
      </c>
      <c r="G383" s="253">
        <f t="shared" ref="G383:J383" si="32">(G382/G380)*100</f>
        <v>1.8018018018018018</v>
      </c>
      <c r="H383" s="253">
        <f t="shared" si="32"/>
        <v>0.90090090090090091</v>
      </c>
      <c r="I383" s="253">
        <f t="shared" si="32"/>
        <v>0</v>
      </c>
      <c r="J383" s="253">
        <f t="shared" si="32"/>
        <v>0</v>
      </c>
      <c r="K383" s="253">
        <f>(K382/K380)*100</f>
        <v>3.5294117647058822</v>
      </c>
      <c r="L383" s="22"/>
    </row>
    <row r="384" spans="1:12" ht="14.85" customHeight="1" x14ac:dyDescent="0.25">
      <c r="A384" s="1776"/>
      <c r="B384" s="1678"/>
      <c r="C384" s="1159" t="s">
        <v>466</v>
      </c>
      <c r="D384" s="248" t="s">
        <v>251</v>
      </c>
      <c r="E384" s="249"/>
      <c r="F384" s="250">
        <v>43</v>
      </c>
      <c r="G384" s="250">
        <v>40</v>
      </c>
      <c r="H384" s="250">
        <v>63</v>
      </c>
      <c r="I384" s="250">
        <v>50</v>
      </c>
      <c r="J384" s="250">
        <v>42</v>
      </c>
      <c r="K384" s="36">
        <v>42</v>
      </c>
      <c r="L384" s="20"/>
    </row>
    <row r="385" spans="1:12" x14ac:dyDescent="0.25">
      <c r="A385" s="1776"/>
      <c r="B385" s="1678"/>
      <c r="C385" s="1160"/>
      <c r="D385" s="28" t="s">
        <v>257</v>
      </c>
      <c r="E385" s="94"/>
      <c r="F385" s="80">
        <v>12</v>
      </c>
      <c r="G385" s="80">
        <v>18</v>
      </c>
      <c r="H385" s="80">
        <v>34</v>
      </c>
      <c r="I385" s="80">
        <v>23</v>
      </c>
      <c r="J385" s="80">
        <v>21</v>
      </c>
      <c r="K385" s="80">
        <v>21</v>
      </c>
      <c r="L385" s="21"/>
    </row>
    <row r="386" spans="1:12" x14ac:dyDescent="0.25">
      <c r="A386" s="1776"/>
      <c r="B386" s="1678"/>
      <c r="C386" s="1160"/>
      <c r="D386" s="28" t="s">
        <v>263</v>
      </c>
      <c r="E386" s="94"/>
      <c r="F386" s="80">
        <v>31</v>
      </c>
      <c r="G386" s="80">
        <v>22</v>
      </c>
      <c r="H386" s="80">
        <v>29</v>
      </c>
      <c r="I386" s="80">
        <v>27</v>
      </c>
      <c r="J386" s="80">
        <v>22</v>
      </c>
      <c r="K386" s="80">
        <v>21</v>
      </c>
      <c r="L386" s="21"/>
    </row>
    <row r="387" spans="1:12" ht="16.5" thickBot="1" x14ac:dyDescent="0.3">
      <c r="A387" s="1776"/>
      <c r="B387" s="1678"/>
      <c r="C387" s="1161"/>
      <c r="D387" s="203" t="s">
        <v>270</v>
      </c>
      <c r="E387" s="106"/>
      <c r="F387" s="251">
        <f>(F386/F384)*100</f>
        <v>72.093023255813947</v>
      </c>
      <c r="G387" s="252">
        <f t="shared" ref="G387:I387" si="33">(G386/G384)*100</f>
        <v>55.000000000000007</v>
      </c>
      <c r="H387" s="252">
        <f t="shared" si="33"/>
        <v>46.031746031746032</v>
      </c>
      <c r="I387" s="252">
        <f t="shared" si="33"/>
        <v>54</v>
      </c>
      <c r="J387" s="252">
        <f>(J386/J384)*100</f>
        <v>52.380952380952387</v>
      </c>
      <c r="K387" s="252">
        <f>(K386/K384)*100</f>
        <v>50</v>
      </c>
      <c r="L387" s="22"/>
    </row>
    <row r="388" spans="1:12" x14ac:dyDescent="0.25">
      <c r="A388" s="1776"/>
      <c r="B388" s="1678"/>
      <c r="C388" s="1166" t="s">
        <v>472</v>
      </c>
      <c r="D388" s="308" t="s">
        <v>473</v>
      </c>
      <c r="E388" s="612"/>
      <c r="F388" s="261">
        <f>2/3*100</f>
        <v>66.666666666666657</v>
      </c>
      <c r="G388" s="261">
        <f>2/3*100</f>
        <v>66.666666666666657</v>
      </c>
      <c r="H388" s="261">
        <f t="shared" ref="H388:J388" si="34">2/3*100</f>
        <v>66.666666666666657</v>
      </c>
      <c r="I388" s="261">
        <f t="shared" si="34"/>
        <v>66.666666666666657</v>
      </c>
      <c r="J388" s="261">
        <f t="shared" si="34"/>
        <v>66.666666666666657</v>
      </c>
      <c r="K388" s="261">
        <f>2/3*100</f>
        <v>66.666666666666657</v>
      </c>
      <c r="L388" s="20"/>
    </row>
    <row r="389" spans="1:12" x14ac:dyDescent="0.25">
      <c r="A389" s="1776"/>
      <c r="B389" s="1678"/>
      <c r="C389" s="1167"/>
      <c r="D389" s="232" t="s">
        <v>474</v>
      </c>
      <c r="E389" s="92"/>
      <c r="F389" s="234">
        <f t="shared" ref="F389:G390" si="35">1/3*100</f>
        <v>33.333333333333329</v>
      </c>
      <c r="G389" s="234">
        <f>0/3*100</f>
        <v>0</v>
      </c>
      <c r="H389" s="234">
        <f>0/3*100</f>
        <v>0</v>
      </c>
      <c r="I389" s="234">
        <f>0/3*100</f>
        <v>0</v>
      </c>
      <c r="J389" s="234">
        <f>0/3*100</f>
        <v>0</v>
      </c>
      <c r="K389" s="234">
        <f>0/3*100</f>
        <v>0</v>
      </c>
      <c r="L389" s="21"/>
    </row>
    <row r="390" spans="1:12" ht="16.5" thickBot="1" x14ac:dyDescent="0.3">
      <c r="A390" s="1776"/>
      <c r="B390" s="1745"/>
      <c r="C390" s="1255"/>
      <c r="D390" s="311" t="s">
        <v>475</v>
      </c>
      <c r="E390" s="106"/>
      <c r="F390" s="312">
        <f>0/3*100</f>
        <v>0</v>
      </c>
      <c r="G390" s="312">
        <f t="shared" si="35"/>
        <v>33.333333333333329</v>
      </c>
      <c r="H390" s="312">
        <f>1/3*100</f>
        <v>33.333333333333329</v>
      </c>
      <c r="I390" s="312">
        <f>1/3*100</f>
        <v>33.333333333333329</v>
      </c>
      <c r="J390" s="312">
        <f>1/3*100</f>
        <v>33.333333333333329</v>
      </c>
      <c r="K390" s="312">
        <f>1/3*100</f>
        <v>33.333333333333329</v>
      </c>
      <c r="L390" s="22"/>
    </row>
    <row r="391" spans="1:12" ht="16.5" thickBot="1" x14ac:dyDescent="0.3">
      <c r="A391" s="1775"/>
      <c r="B391" s="823" t="s">
        <v>249</v>
      </c>
      <c r="C391" s="1675"/>
      <c r="D391" s="1675"/>
      <c r="E391" s="112" t="s">
        <v>442</v>
      </c>
      <c r="F391" s="112" t="s">
        <v>443</v>
      </c>
      <c r="G391" s="112" t="s">
        <v>444</v>
      </c>
      <c r="H391" s="112" t="s">
        <v>445</v>
      </c>
      <c r="I391" s="112" t="s">
        <v>446</v>
      </c>
      <c r="J391" s="112" t="s">
        <v>447</v>
      </c>
      <c r="K391" s="112" t="s">
        <v>448</v>
      </c>
      <c r="L391" s="112" t="s">
        <v>449</v>
      </c>
    </row>
    <row r="392" spans="1:12" ht="15" customHeight="1" x14ac:dyDescent="0.25">
      <c r="A392" s="1776"/>
      <c r="B392" s="1150" t="s">
        <v>476</v>
      </c>
      <c r="C392" s="1205" t="s">
        <v>459</v>
      </c>
      <c r="D392" s="1206"/>
      <c r="E392" s="36"/>
      <c r="F392" s="195">
        <v>416</v>
      </c>
      <c r="G392" s="195">
        <v>632</v>
      </c>
      <c r="H392" s="195">
        <v>700</v>
      </c>
      <c r="I392" s="195">
        <v>579</v>
      </c>
      <c r="J392" s="195">
        <v>522</v>
      </c>
      <c r="K392" s="195">
        <v>479</v>
      </c>
      <c r="L392" s="20"/>
    </row>
    <row r="393" spans="1:12" x14ac:dyDescent="0.25">
      <c r="A393" s="1776"/>
      <c r="B393" s="1151"/>
      <c r="C393" s="1148" t="s">
        <v>436</v>
      </c>
      <c r="D393" s="1124"/>
      <c r="E393" s="96"/>
      <c r="F393" s="96">
        <v>77</v>
      </c>
      <c r="G393" s="96">
        <v>138</v>
      </c>
      <c r="H393" s="96">
        <v>233</v>
      </c>
      <c r="I393" s="96">
        <v>206</v>
      </c>
      <c r="J393" s="96">
        <v>225</v>
      </c>
      <c r="K393" s="96">
        <v>239</v>
      </c>
      <c r="L393" s="21"/>
    </row>
    <row r="394" spans="1:12" x14ac:dyDescent="0.25">
      <c r="A394" s="1776"/>
      <c r="B394" s="1151"/>
      <c r="C394" s="1148" t="s">
        <v>437</v>
      </c>
      <c r="D394" s="1124"/>
      <c r="E394" s="96"/>
      <c r="F394" s="96">
        <v>339</v>
      </c>
      <c r="G394" s="96">
        <v>494</v>
      </c>
      <c r="H394" s="96">
        <v>467</v>
      </c>
      <c r="I394" s="96">
        <v>373</v>
      </c>
      <c r="J394" s="96">
        <v>297</v>
      </c>
      <c r="K394" s="96">
        <v>240</v>
      </c>
      <c r="L394" s="21"/>
    </row>
    <row r="395" spans="1:12" ht="16.5" thickBot="1" x14ac:dyDescent="0.3">
      <c r="A395" s="1776"/>
      <c r="B395" s="1151"/>
      <c r="C395" s="1154" t="s">
        <v>270</v>
      </c>
      <c r="D395" s="1288"/>
      <c r="E395" s="190"/>
      <c r="F395" s="285">
        <f t="shared" ref="F395:K395" si="36">F394/F392*100</f>
        <v>81.490384615384613</v>
      </c>
      <c r="G395" s="285">
        <f t="shared" si="36"/>
        <v>78.164556962025316</v>
      </c>
      <c r="H395" s="285">
        <f t="shared" si="36"/>
        <v>66.714285714285708</v>
      </c>
      <c r="I395" s="285">
        <f>I394/I392*100</f>
        <v>64.421416234887744</v>
      </c>
      <c r="J395" s="285">
        <f t="shared" si="36"/>
        <v>56.896551724137936</v>
      </c>
      <c r="K395" s="285">
        <f t="shared" si="36"/>
        <v>50.104384133611688</v>
      </c>
      <c r="L395" s="22"/>
    </row>
    <row r="396" spans="1:12" ht="14.85" customHeight="1" x14ac:dyDescent="0.25">
      <c r="A396" s="1776"/>
      <c r="B396" s="1151"/>
      <c r="C396" s="1159" t="s">
        <v>470</v>
      </c>
      <c r="D396" s="248" t="s">
        <v>251</v>
      </c>
      <c r="E396" s="249"/>
      <c r="F396" s="250">
        <v>315</v>
      </c>
      <c r="G396" s="250">
        <v>485</v>
      </c>
      <c r="H396" s="250">
        <v>466</v>
      </c>
      <c r="I396" s="250">
        <v>352</v>
      </c>
      <c r="J396" s="250">
        <v>257</v>
      </c>
      <c r="K396" s="36">
        <v>205</v>
      </c>
      <c r="L396" s="20"/>
    </row>
    <row r="397" spans="1:12" x14ac:dyDescent="0.25">
      <c r="A397" s="1776"/>
      <c r="B397" s="1151"/>
      <c r="C397" s="1160"/>
      <c r="D397" s="28" t="s">
        <v>257</v>
      </c>
      <c r="E397" s="94"/>
      <c r="F397" s="236">
        <v>18</v>
      </c>
      <c r="G397" s="236">
        <v>35</v>
      </c>
      <c r="H397" s="236">
        <v>44</v>
      </c>
      <c r="I397" s="236">
        <v>29</v>
      </c>
      <c r="J397" s="236">
        <v>27</v>
      </c>
      <c r="K397" s="28">
        <v>21</v>
      </c>
      <c r="L397" s="21"/>
    </row>
    <row r="398" spans="1:12" x14ac:dyDescent="0.25">
      <c r="A398" s="1776"/>
      <c r="B398" s="1151"/>
      <c r="C398" s="1160"/>
      <c r="D398" s="28" t="s">
        <v>263</v>
      </c>
      <c r="E398" s="94"/>
      <c r="F398" s="236">
        <v>297</v>
      </c>
      <c r="G398" s="236">
        <v>450</v>
      </c>
      <c r="H398" s="236">
        <v>422</v>
      </c>
      <c r="I398" s="236">
        <v>323</v>
      </c>
      <c r="J398" s="236">
        <v>230</v>
      </c>
      <c r="K398" s="28">
        <v>184</v>
      </c>
      <c r="L398" s="21"/>
    </row>
    <row r="399" spans="1:12" ht="16.5" thickBot="1" x14ac:dyDescent="0.3">
      <c r="A399" s="1776"/>
      <c r="B399" s="1151"/>
      <c r="C399" s="1161"/>
      <c r="D399" s="203" t="s">
        <v>270</v>
      </c>
      <c r="E399" s="104"/>
      <c r="F399" s="251">
        <f>(F398/F396)*100</f>
        <v>94.285714285714278</v>
      </c>
      <c r="G399" s="251">
        <f>(G398/G396)*100</f>
        <v>92.783505154639172</v>
      </c>
      <c r="H399" s="251">
        <f>(H398/H396)*100</f>
        <v>90.557939914163086</v>
      </c>
      <c r="I399" s="251">
        <f>I398/I396*100</f>
        <v>91.76136363636364</v>
      </c>
      <c r="J399" s="251">
        <f>J398/J396*100</f>
        <v>89.494163424124523</v>
      </c>
      <c r="K399" s="251">
        <f>K398/K396*100</f>
        <v>89.756097560975618</v>
      </c>
      <c r="L399" s="22"/>
    </row>
    <row r="400" spans="1:12" x14ac:dyDescent="0.25">
      <c r="A400" s="1776"/>
      <c r="B400" s="1151"/>
      <c r="C400" s="1159" t="s">
        <v>466</v>
      </c>
      <c r="D400" s="248" t="s">
        <v>251</v>
      </c>
      <c r="E400" s="249"/>
      <c r="F400" s="250">
        <v>51</v>
      </c>
      <c r="G400" s="250">
        <v>53</v>
      </c>
      <c r="H400" s="250">
        <v>64</v>
      </c>
      <c r="I400" s="250">
        <v>66</v>
      </c>
      <c r="J400" s="250">
        <v>75</v>
      </c>
      <c r="K400" s="36">
        <v>47</v>
      </c>
      <c r="L400" s="20"/>
    </row>
    <row r="401" spans="1:12" x14ac:dyDescent="0.25">
      <c r="A401" s="1776"/>
      <c r="B401" s="1151"/>
      <c r="C401" s="1160"/>
      <c r="D401" s="28" t="s">
        <v>257</v>
      </c>
      <c r="E401" s="94"/>
      <c r="F401" s="80">
        <v>19</v>
      </c>
      <c r="G401" s="80">
        <v>21</v>
      </c>
      <c r="H401" s="80">
        <v>34</v>
      </c>
      <c r="I401" s="80">
        <v>33</v>
      </c>
      <c r="J401" s="80">
        <v>34</v>
      </c>
      <c r="K401" s="28">
        <v>25</v>
      </c>
      <c r="L401" s="21"/>
    </row>
    <row r="402" spans="1:12" x14ac:dyDescent="0.25">
      <c r="A402" s="1776"/>
      <c r="B402" s="1151"/>
      <c r="C402" s="1160"/>
      <c r="D402" s="28" t="s">
        <v>263</v>
      </c>
      <c r="E402" s="94"/>
      <c r="F402" s="80">
        <v>32</v>
      </c>
      <c r="G402" s="80">
        <v>32</v>
      </c>
      <c r="H402" s="80">
        <v>30</v>
      </c>
      <c r="I402" s="80">
        <v>33</v>
      </c>
      <c r="J402" s="80">
        <v>41</v>
      </c>
      <c r="K402" s="28">
        <v>22</v>
      </c>
      <c r="L402" s="21"/>
    </row>
    <row r="403" spans="1:12" ht="16.5" thickBot="1" x14ac:dyDescent="0.3">
      <c r="A403" s="1776"/>
      <c r="B403" s="1151"/>
      <c r="C403" s="1161"/>
      <c r="D403" s="203" t="s">
        <v>270</v>
      </c>
      <c r="E403" s="104"/>
      <c r="F403" s="251">
        <f>(F402/F400)*100</f>
        <v>62.745098039215684</v>
      </c>
      <c r="G403" s="251">
        <f t="shared" ref="G403:K403" si="37">(G402/G400)*100</f>
        <v>60.377358490566039</v>
      </c>
      <c r="H403" s="252">
        <f t="shared" si="37"/>
        <v>46.875</v>
      </c>
      <c r="I403" s="252">
        <f t="shared" si="37"/>
        <v>50</v>
      </c>
      <c r="J403" s="252">
        <f t="shared" si="37"/>
        <v>54.666666666666664</v>
      </c>
      <c r="K403" s="252">
        <f t="shared" si="37"/>
        <v>46.808510638297875</v>
      </c>
      <c r="L403" s="22"/>
    </row>
    <row r="404" spans="1:12" ht="14.85" customHeight="1" x14ac:dyDescent="0.25">
      <c r="A404" s="1776"/>
      <c r="B404" s="1151"/>
      <c r="C404" s="1159" t="s">
        <v>467</v>
      </c>
      <c r="D404" s="248" t="s">
        <v>251</v>
      </c>
      <c r="E404" s="249"/>
      <c r="F404" s="250">
        <v>50</v>
      </c>
      <c r="G404" s="250">
        <v>53</v>
      </c>
      <c r="H404" s="250">
        <v>128</v>
      </c>
      <c r="I404" s="250">
        <v>123</v>
      </c>
      <c r="J404" s="250">
        <v>138</v>
      </c>
      <c r="K404" s="36">
        <v>158</v>
      </c>
      <c r="L404" s="20"/>
    </row>
    <row r="405" spans="1:12" x14ac:dyDescent="0.25">
      <c r="A405" s="1776"/>
      <c r="B405" s="1151"/>
      <c r="C405" s="1160"/>
      <c r="D405" s="28" t="s">
        <v>257</v>
      </c>
      <c r="E405" s="94"/>
      <c r="F405" s="80">
        <v>40</v>
      </c>
      <c r="G405" s="80">
        <v>45</v>
      </c>
      <c r="H405" s="80">
        <v>118</v>
      </c>
      <c r="I405" s="80">
        <v>111</v>
      </c>
      <c r="J405" s="80">
        <v>120</v>
      </c>
      <c r="K405" s="28">
        <v>132</v>
      </c>
      <c r="L405" s="21"/>
    </row>
    <row r="406" spans="1:12" x14ac:dyDescent="0.25">
      <c r="A406" s="1776"/>
      <c r="B406" s="1151"/>
      <c r="C406" s="1160"/>
      <c r="D406" s="28" t="s">
        <v>263</v>
      </c>
      <c r="E406" s="94"/>
      <c r="F406" s="80">
        <v>10</v>
      </c>
      <c r="G406" s="80">
        <v>8</v>
      </c>
      <c r="H406" s="80">
        <v>10</v>
      </c>
      <c r="I406" s="80">
        <v>12</v>
      </c>
      <c r="J406" s="80">
        <v>18</v>
      </c>
      <c r="K406" s="28">
        <v>26</v>
      </c>
      <c r="L406" s="21"/>
    </row>
    <row r="407" spans="1:12" ht="16.5" thickBot="1" x14ac:dyDescent="0.3">
      <c r="A407" s="1776"/>
      <c r="B407" s="1151"/>
      <c r="C407" s="1161"/>
      <c r="D407" s="203" t="s">
        <v>270</v>
      </c>
      <c r="E407" s="104"/>
      <c r="F407" s="253">
        <f>(F406/F404)*100</f>
        <v>20</v>
      </c>
      <c r="G407" s="253">
        <f t="shared" ref="G407:K407" si="38">(G406/G404)*100</f>
        <v>15.09433962264151</v>
      </c>
      <c r="H407" s="253">
        <f t="shared" si="38"/>
        <v>7.8125</v>
      </c>
      <c r="I407" s="253">
        <f t="shared" si="38"/>
        <v>9.7560975609756095</v>
      </c>
      <c r="J407" s="253">
        <f t="shared" si="38"/>
        <v>13.043478260869565</v>
      </c>
      <c r="K407" s="253">
        <f t="shared" si="38"/>
        <v>16.455696202531644</v>
      </c>
      <c r="L407" s="22"/>
    </row>
    <row r="408" spans="1:12" ht="14.85" customHeight="1" x14ac:dyDescent="0.25">
      <c r="A408" s="1776"/>
      <c r="B408" s="1151"/>
      <c r="C408" s="1159" t="s">
        <v>469</v>
      </c>
      <c r="D408" s="248" t="s">
        <v>251</v>
      </c>
      <c r="E408" s="249"/>
      <c r="F408" s="250"/>
      <c r="G408" s="250">
        <v>41</v>
      </c>
      <c r="H408" s="250">
        <v>42</v>
      </c>
      <c r="I408" s="250">
        <v>38</v>
      </c>
      <c r="J408" s="250">
        <v>38</v>
      </c>
      <c r="K408" s="36">
        <v>39</v>
      </c>
      <c r="L408" s="20"/>
    </row>
    <row r="409" spans="1:12" ht="14.85" customHeight="1" x14ac:dyDescent="0.25">
      <c r="A409" s="1776"/>
      <c r="B409" s="1151"/>
      <c r="C409" s="1160"/>
      <c r="D409" s="28" t="s">
        <v>257</v>
      </c>
      <c r="E409" s="94"/>
      <c r="F409" s="80"/>
      <c r="G409" s="80">
        <v>37</v>
      </c>
      <c r="H409" s="80">
        <v>37</v>
      </c>
      <c r="I409" s="80">
        <v>33</v>
      </c>
      <c r="J409" s="80">
        <v>31</v>
      </c>
      <c r="K409" s="28">
        <v>32</v>
      </c>
      <c r="L409" s="21"/>
    </row>
    <row r="410" spans="1:12" x14ac:dyDescent="0.25">
      <c r="A410" s="1776"/>
      <c r="B410" s="1151"/>
      <c r="C410" s="1160"/>
      <c r="D410" s="28" t="s">
        <v>263</v>
      </c>
      <c r="E410" s="94"/>
      <c r="F410" s="80"/>
      <c r="G410" s="80">
        <v>4</v>
      </c>
      <c r="H410" s="80">
        <v>5</v>
      </c>
      <c r="I410" s="80">
        <v>5</v>
      </c>
      <c r="J410" s="80">
        <v>7</v>
      </c>
      <c r="K410" s="28">
        <v>7</v>
      </c>
      <c r="L410" s="21"/>
    </row>
    <row r="411" spans="1:12" ht="16.5" thickBot="1" x14ac:dyDescent="0.3">
      <c r="A411" s="1776"/>
      <c r="B411" s="1151"/>
      <c r="C411" s="1161"/>
      <c r="D411" s="203" t="s">
        <v>270</v>
      </c>
      <c r="E411" s="104"/>
      <c r="F411" s="197"/>
      <c r="G411" s="253">
        <f t="shared" ref="G411:K411" si="39">(G410/G408)*100</f>
        <v>9.7560975609756095</v>
      </c>
      <c r="H411" s="253">
        <f t="shared" si="39"/>
        <v>11.904761904761903</v>
      </c>
      <c r="I411" s="253">
        <f t="shared" si="39"/>
        <v>13.157894736842104</v>
      </c>
      <c r="J411" s="253">
        <f t="shared" si="39"/>
        <v>18.421052631578945</v>
      </c>
      <c r="K411" s="253">
        <f t="shared" si="39"/>
        <v>17.948717948717949</v>
      </c>
      <c r="L411" s="22"/>
    </row>
    <row r="412" spans="1:12" ht="14.85" customHeight="1" x14ac:dyDescent="0.25">
      <c r="A412" s="1776"/>
      <c r="B412" s="1151"/>
      <c r="C412" s="1159" t="s">
        <v>581</v>
      </c>
      <c r="D412" s="248" t="s">
        <v>251</v>
      </c>
      <c r="E412" s="249"/>
      <c r="F412" s="250"/>
      <c r="G412" s="250"/>
      <c r="H412" s="250"/>
      <c r="I412" s="250"/>
      <c r="J412" s="250">
        <v>14</v>
      </c>
      <c r="K412" s="36">
        <v>30</v>
      </c>
      <c r="L412" s="20"/>
    </row>
    <row r="413" spans="1:12" ht="14.85" customHeight="1" x14ac:dyDescent="0.25">
      <c r="A413" s="1776"/>
      <c r="B413" s="1151"/>
      <c r="C413" s="1160"/>
      <c r="D413" s="28" t="s">
        <v>257</v>
      </c>
      <c r="E413" s="94"/>
      <c r="F413" s="80"/>
      <c r="G413" s="80"/>
      <c r="H413" s="80"/>
      <c r="I413" s="80"/>
      <c r="J413" s="80">
        <v>13</v>
      </c>
      <c r="K413" s="28">
        <v>29</v>
      </c>
      <c r="L413" s="21"/>
    </row>
    <row r="414" spans="1:12" x14ac:dyDescent="0.25">
      <c r="A414" s="1776"/>
      <c r="B414" s="1151"/>
      <c r="C414" s="1160"/>
      <c r="D414" s="28" t="s">
        <v>263</v>
      </c>
      <c r="E414" s="94"/>
      <c r="F414" s="80"/>
      <c r="G414" s="80"/>
      <c r="H414" s="80"/>
      <c r="I414" s="80"/>
      <c r="J414" s="80">
        <v>1</v>
      </c>
      <c r="K414" s="28">
        <v>1</v>
      </c>
      <c r="L414" s="21"/>
    </row>
    <row r="415" spans="1:12" ht="16.5" thickBot="1" x14ac:dyDescent="0.3">
      <c r="A415" s="1776"/>
      <c r="B415" s="1151"/>
      <c r="C415" s="1161"/>
      <c r="D415" s="203" t="s">
        <v>270</v>
      </c>
      <c r="E415" s="106"/>
      <c r="F415" s="197"/>
      <c r="G415" s="197"/>
      <c r="H415" s="197"/>
      <c r="I415" s="197"/>
      <c r="J415" s="253">
        <f t="shared" ref="J415:K415" si="40">(J414/J412)*100</f>
        <v>7.1428571428571423</v>
      </c>
      <c r="K415" s="253">
        <f t="shared" si="40"/>
        <v>3.3333333333333335</v>
      </c>
      <c r="L415" s="22"/>
    </row>
    <row r="416" spans="1:12" x14ac:dyDescent="0.25">
      <c r="A416" s="1776"/>
      <c r="B416" s="1678"/>
      <c r="C416" s="1166" t="s">
        <v>472</v>
      </c>
      <c r="D416" s="308" t="s">
        <v>473</v>
      </c>
      <c r="E416" s="612"/>
      <c r="F416" s="261">
        <f>1/3*100</f>
        <v>33.333333333333329</v>
      </c>
      <c r="G416" s="261">
        <v>50</v>
      </c>
      <c r="H416" s="261">
        <v>50</v>
      </c>
      <c r="I416" s="261">
        <v>50</v>
      </c>
      <c r="J416" s="261">
        <f>3/5*100</f>
        <v>60</v>
      </c>
      <c r="K416" s="261">
        <f>3/5*100</f>
        <v>60</v>
      </c>
      <c r="L416" s="20"/>
    </row>
    <row r="417" spans="1:12" x14ac:dyDescent="0.25">
      <c r="A417" s="1776"/>
      <c r="B417" s="1678"/>
      <c r="C417" s="1167"/>
      <c r="D417" s="232" t="s">
        <v>474</v>
      </c>
      <c r="E417" s="92"/>
      <c r="F417" s="234">
        <f>2/3*100</f>
        <v>66.666666666666657</v>
      </c>
      <c r="G417" s="234">
        <v>50</v>
      </c>
      <c r="H417" s="234">
        <v>25</v>
      </c>
      <c r="I417" s="234">
        <v>25</v>
      </c>
      <c r="J417" s="234">
        <v>20</v>
      </c>
      <c r="K417" s="234">
        <f>1/5*100</f>
        <v>20</v>
      </c>
      <c r="L417" s="21"/>
    </row>
    <row r="418" spans="1:12" ht="16.5" thickBot="1" x14ac:dyDescent="0.3">
      <c r="A418" s="1776"/>
      <c r="B418" s="1745"/>
      <c r="C418" s="1255"/>
      <c r="D418" s="311" t="s">
        <v>475</v>
      </c>
      <c r="E418" s="106"/>
      <c r="F418" s="312">
        <v>0</v>
      </c>
      <c r="G418" s="312">
        <v>0</v>
      </c>
      <c r="H418" s="312">
        <v>25</v>
      </c>
      <c r="I418" s="312">
        <v>25</v>
      </c>
      <c r="J418" s="312">
        <v>20</v>
      </c>
      <c r="K418" s="312">
        <f>1/5*100</f>
        <v>20</v>
      </c>
      <c r="L418" s="22"/>
    </row>
    <row r="419" spans="1:12" ht="16.5" thickBot="1" x14ac:dyDescent="0.3">
      <c r="A419" s="1775"/>
      <c r="B419" s="823" t="s">
        <v>249</v>
      </c>
      <c r="C419" s="1675"/>
      <c r="D419" s="1675"/>
      <c r="E419" s="112" t="s">
        <v>442</v>
      </c>
      <c r="F419" s="112" t="s">
        <v>443</v>
      </c>
      <c r="G419" s="112" t="s">
        <v>444</v>
      </c>
      <c r="H419" s="112" t="s">
        <v>445</v>
      </c>
      <c r="I419" s="112" t="s">
        <v>446</v>
      </c>
      <c r="J419" s="112" t="s">
        <v>447</v>
      </c>
      <c r="K419" s="112" t="s">
        <v>448</v>
      </c>
      <c r="L419" s="112" t="s">
        <v>449</v>
      </c>
    </row>
    <row r="420" spans="1:12" x14ac:dyDescent="0.25">
      <c r="A420" s="1776"/>
      <c r="B420" s="1744" t="s">
        <v>219</v>
      </c>
      <c r="C420" s="1251" t="s">
        <v>459</v>
      </c>
      <c r="D420" s="1206"/>
      <c r="E420" s="36"/>
      <c r="F420" s="259"/>
      <c r="G420" s="259"/>
      <c r="H420" s="259"/>
      <c r="I420" s="359">
        <v>195</v>
      </c>
      <c r="J420" s="359">
        <v>203</v>
      </c>
      <c r="K420" s="40">
        <v>200</v>
      </c>
      <c r="L420" s="20"/>
    </row>
    <row r="421" spans="1:12" x14ac:dyDescent="0.25">
      <c r="A421" s="1776"/>
      <c r="B421" s="1678"/>
      <c r="C421" s="1123" t="s">
        <v>436</v>
      </c>
      <c r="D421" s="1124"/>
      <c r="E421" s="28"/>
      <c r="F421" s="187"/>
      <c r="G421" s="187"/>
      <c r="H421" s="187"/>
      <c r="I421" s="358">
        <v>91</v>
      </c>
      <c r="J421" s="358">
        <v>103</v>
      </c>
      <c r="K421" s="28">
        <v>99</v>
      </c>
      <c r="L421" s="21"/>
    </row>
    <row r="422" spans="1:12" x14ac:dyDescent="0.25">
      <c r="A422" s="1776"/>
      <c r="B422" s="1678"/>
      <c r="C422" s="1123" t="s">
        <v>437</v>
      </c>
      <c r="D422" s="1124"/>
      <c r="E422" s="96"/>
      <c r="F422" s="96"/>
      <c r="G422" s="96"/>
      <c r="H422" s="96"/>
      <c r="I422" s="96">
        <v>104</v>
      </c>
      <c r="J422" s="96">
        <v>100</v>
      </c>
      <c r="K422" s="96">
        <v>101</v>
      </c>
      <c r="L422" s="21"/>
    </row>
    <row r="423" spans="1:12" x14ac:dyDescent="0.25">
      <c r="A423" s="1776"/>
      <c r="B423" s="1678"/>
      <c r="C423" s="1111" t="s">
        <v>353</v>
      </c>
      <c r="D423" s="1112"/>
      <c r="E423" s="157"/>
      <c r="F423" s="157"/>
      <c r="G423" s="157"/>
      <c r="H423" s="96"/>
      <c r="I423" s="157">
        <f>I422-I421</f>
        <v>13</v>
      </c>
      <c r="J423" s="157">
        <f>J422-J421</f>
        <v>-3</v>
      </c>
      <c r="K423" s="157">
        <f>K422-K421</f>
        <v>2</v>
      </c>
      <c r="L423" s="21"/>
    </row>
    <row r="424" spans="1:12" ht="16.5" thickBot="1" x14ac:dyDescent="0.3">
      <c r="A424" s="1776"/>
      <c r="B424" s="1678"/>
      <c r="C424" s="1353" t="s">
        <v>270</v>
      </c>
      <c r="D424" s="1178"/>
      <c r="E424" s="360"/>
      <c r="F424" s="360"/>
      <c r="G424" s="360"/>
      <c r="H424" s="514"/>
      <c r="I424" s="356">
        <f>I422/I420*100</f>
        <v>53.333333333333336</v>
      </c>
      <c r="J424" s="423">
        <f>J422/J420*100</f>
        <v>49.261083743842363</v>
      </c>
      <c r="K424" s="361">
        <f>K422/K420*100</f>
        <v>50.5</v>
      </c>
      <c r="L424" s="53"/>
    </row>
    <row r="425" spans="1:12" x14ac:dyDescent="0.25">
      <c r="A425" s="1776"/>
      <c r="B425" s="1678"/>
      <c r="C425" s="1406" t="s">
        <v>484</v>
      </c>
      <c r="D425" s="1405"/>
      <c r="E425" s="225"/>
      <c r="F425" s="225"/>
      <c r="G425" s="225"/>
      <c r="H425" s="225"/>
      <c r="I425" s="261">
        <f>1/3*100</f>
        <v>33.333333333333329</v>
      </c>
      <c r="J425" s="261">
        <v>0</v>
      </c>
      <c r="K425" s="315">
        <v>14.285714285714285</v>
      </c>
      <c r="L425" s="20"/>
    </row>
    <row r="426" spans="1:12" x14ac:dyDescent="0.25">
      <c r="A426" s="1776"/>
      <c r="B426" s="1678"/>
      <c r="C426" s="1111" t="s">
        <v>485</v>
      </c>
      <c r="D426" s="1112"/>
      <c r="E426" s="96"/>
      <c r="F426" s="96"/>
      <c r="G426" s="96"/>
      <c r="H426" s="96"/>
      <c r="I426" s="235">
        <f>1/3*100</f>
        <v>33.333333333333329</v>
      </c>
      <c r="J426" s="235">
        <f>1/3*100</f>
        <v>33.333333333333329</v>
      </c>
      <c r="K426" s="237">
        <v>14.285714285714285</v>
      </c>
      <c r="L426" s="21"/>
    </row>
    <row r="427" spans="1:12" x14ac:dyDescent="0.25">
      <c r="A427" s="1777"/>
      <c r="B427" s="1679"/>
      <c r="C427" s="1277" t="s">
        <v>486</v>
      </c>
      <c r="D427" s="1142"/>
      <c r="E427" s="360"/>
      <c r="F427" s="360"/>
      <c r="G427" s="360"/>
      <c r="H427" s="360"/>
      <c r="I427" s="356">
        <f>1/3*100</f>
        <v>33.333333333333329</v>
      </c>
      <c r="J427" s="356">
        <f>2/3*100</f>
        <v>66.666666666666657</v>
      </c>
      <c r="K427" s="361">
        <v>71.428571428571431</v>
      </c>
      <c r="L427" s="53"/>
    </row>
    <row r="428" spans="1:12" ht="16.5" thickBot="1" x14ac:dyDescent="0.3">
      <c r="A428" s="338" t="s">
        <v>248</v>
      </c>
      <c r="B428" s="463" t="s">
        <v>249</v>
      </c>
      <c r="C428" s="1422"/>
      <c r="D428" s="1422"/>
      <c r="E428" s="616">
        <v>2005</v>
      </c>
      <c r="F428" s="616">
        <v>2010</v>
      </c>
      <c r="G428" s="616">
        <v>2015</v>
      </c>
      <c r="H428" s="616">
        <v>2020</v>
      </c>
      <c r="I428" s="616">
        <v>2021</v>
      </c>
      <c r="J428" s="616">
        <v>2022</v>
      </c>
      <c r="K428" s="616">
        <v>2023</v>
      </c>
      <c r="L428" s="616">
        <v>2024</v>
      </c>
    </row>
    <row r="429" spans="1:12" ht="15" customHeight="1" x14ac:dyDescent="0.25">
      <c r="A429" s="1735" t="s">
        <v>487</v>
      </c>
      <c r="B429" s="1692" t="s">
        <v>227</v>
      </c>
      <c r="C429" s="1206" t="s">
        <v>435</v>
      </c>
      <c r="D429" s="1206"/>
      <c r="E429" s="36"/>
      <c r="F429" s="36"/>
      <c r="G429" s="36"/>
      <c r="H429" s="36"/>
      <c r="I429" s="36"/>
      <c r="J429" s="36"/>
      <c r="K429" s="195">
        <v>372</v>
      </c>
      <c r="L429" s="325">
        <v>379</v>
      </c>
    </row>
    <row r="430" spans="1:12" x14ac:dyDescent="0.25">
      <c r="A430" s="1736"/>
      <c r="B430" s="1693"/>
      <c r="C430" s="1124" t="s">
        <v>533</v>
      </c>
      <c r="D430" s="1124"/>
      <c r="E430" s="28"/>
      <c r="F430" s="28"/>
      <c r="G430" s="28"/>
      <c r="H430" s="28"/>
      <c r="I430" s="28"/>
      <c r="J430" s="28"/>
      <c r="K430" s="28">
        <v>153</v>
      </c>
      <c r="L430" s="21">
        <v>150</v>
      </c>
    </row>
    <row r="431" spans="1:12" x14ac:dyDescent="0.25">
      <c r="A431" s="1736"/>
      <c r="B431" s="1693"/>
      <c r="C431" s="1124" t="s">
        <v>534</v>
      </c>
      <c r="D431" s="1124"/>
      <c r="E431" s="28"/>
      <c r="F431" s="28"/>
      <c r="G431" s="28"/>
      <c r="H431" s="28"/>
      <c r="I431" s="28"/>
      <c r="J431" s="28"/>
      <c r="K431" s="28">
        <v>219</v>
      </c>
      <c r="L431" s="21">
        <v>229</v>
      </c>
    </row>
    <row r="432" spans="1:12" x14ac:dyDescent="0.25">
      <c r="A432" s="1736"/>
      <c r="B432" s="1693"/>
      <c r="C432" s="1128" t="s">
        <v>353</v>
      </c>
      <c r="D432" s="1128"/>
      <c r="E432" s="28"/>
      <c r="F432" s="28"/>
      <c r="G432" s="28"/>
      <c r="H432" s="28"/>
      <c r="I432" s="28"/>
      <c r="J432" s="28"/>
      <c r="K432" s="262">
        <f t="shared" ref="K432" si="41">K431-K430</f>
        <v>66</v>
      </c>
      <c r="L432" s="317">
        <v>79</v>
      </c>
    </row>
    <row r="433" spans="1:12" ht="16.5" thickBot="1" x14ac:dyDescent="0.3">
      <c r="A433" s="1736"/>
      <c r="B433" s="1875"/>
      <c r="C433" s="1178" t="s">
        <v>270</v>
      </c>
      <c r="D433" s="1178"/>
      <c r="E433" s="441"/>
      <c r="F433" s="441"/>
      <c r="G433" s="441"/>
      <c r="H433" s="441"/>
      <c r="I433" s="441"/>
      <c r="J433" s="441"/>
      <c r="K433" s="165">
        <f t="shared" ref="K433" si="42">K431/K429*100</f>
        <v>58.870967741935488</v>
      </c>
      <c r="L433" s="166">
        <v>60.422163588390497</v>
      </c>
    </row>
    <row r="434" spans="1:12" x14ac:dyDescent="0.25">
      <c r="A434" s="1736"/>
      <c r="B434" s="1692" t="s">
        <v>488</v>
      </c>
      <c r="C434" s="1405" t="s">
        <v>489</v>
      </c>
      <c r="D434" s="1405"/>
      <c r="E434" s="36"/>
      <c r="F434" s="40">
        <v>32</v>
      </c>
      <c r="G434" s="40">
        <v>30</v>
      </c>
      <c r="H434" s="40">
        <v>54</v>
      </c>
      <c r="I434" s="40"/>
      <c r="J434" s="40"/>
      <c r="K434" s="40">
        <v>67</v>
      </c>
      <c r="L434" s="1072">
        <v>34</v>
      </c>
    </row>
    <row r="435" spans="1:12" x14ac:dyDescent="0.25">
      <c r="A435" s="1736"/>
      <c r="B435" s="1693"/>
      <c r="C435" s="1112" t="s">
        <v>490</v>
      </c>
      <c r="D435" s="1112"/>
      <c r="E435" s="96"/>
      <c r="F435" s="44">
        <v>0</v>
      </c>
      <c r="G435" s="44">
        <v>0</v>
      </c>
      <c r="H435" s="44">
        <v>0</v>
      </c>
      <c r="I435" s="44"/>
      <c r="J435" s="44"/>
      <c r="K435" s="44">
        <v>0</v>
      </c>
      <c r="L435" s="1072">
        <v>1</v>
      </c>
    </row>
    <row r="436" spans="1:12" x14ac:dyDescent="0.25">
      <c r="A436" s="1874"/>
      <c r="B436" s="1875"/>
      <c r="C436" s="1142" t="s">
        <v>491</v>
      </c>
      <c r="D436" s="1142"/>
      <c r="E436" s="336"/>
      <c r="F436" s="165">
        <f>F435/F434*100</f>
        <v>0</v>
      </c>
      <c r="G436" s="165">
        <f t="shared" ref="G436:H436" si="43">G435/G434*100</f>
        <v>0</v>
      </c>
      <c r="H436" s="165">
        <f t="shared" si="43"/>
        <v>0</v>
      </c>
      <c r="I436" s="336"/>
      <c r="J436" s="336"/>
      <c r="K436" s="165">
        <f>K435/K434*100</f>
        <v>0</v>
      </c>
      <c r="L436" s="859">
        <v>2.9411764705882351</v>
      </c>
    </row>
    <row r="437" spans="1:12" ht="16.5" thickBot="1" x14ac:dyDescent="0.3">
      <c r="A437" s="338" t="s">
        <v>248</v>
      </c>
      <c r="B437" s="824" t="s">
        <v>249</v>
      </c>
      <c r="C437" s="1433"/>
      <c r="D437" s="1433"/>
      <c r="E437" s="617">
        <v>2005</v>
      </c>
      <c r="F437" s="617">
        <v>2010</v>
      </c>
      <c r="G437" s="617">
        <v>2015</v>
      </c>
      <c r="H437" s="617">
        <v>2020</v>
      </c>
      <c r="I437" s="617">
        <v>2021</v>
      </c>
      <c r="J437" s="617">
        <v>2022</v>
      </c>
      <c r="K437" s="617">
        <v>2023</v>
      </c>
      <c r="L437" s="616">
        <v>2024</v>
      </c>
    </row>
    <row r="438" spans="1:12" ht="15" customHeight="1" x14ac:dyDescent="0.25">
      <c r="A438" s="1621" t="s">
        <v>492</v>
      </c>
      <c r="B438" s="1624" t="s">
        <v>493</v>
      </c>
      <c r="C438" s="1251" t="s">
        <v>459</v>
      </c>
      <c r="D438" s="1206"/>
      <c r="E438" s="36"/>
      <c r="F438" s="195">
        <v>316</v>
      </c>
      <c r="G438" s="195">
        <v>339</v>
      </c>
      <c r="H438" s="195">
        <v>532</v>
      </c>
      <c r="I438" s="195">
        <v>764</v>
      </c>
      <c r="J438" s="195">
        <v>728</v>
      </c>
      <c r="K438" s="195">
        <v>926</v>
      </c>
      <c r="L438" s="195">
        <v>881</v>
      </c>
    </row>
    <row r="439" spans="1:12" x14ac:dyDescent="0.25">
      <c r="A439" s="1622"/>
      <c r="B439" s="1625"/>
      <c r="C439" s="1160" t="s">
        <v>436</v>
      </c>
      <c r="D439" s="28" t="s">
        <v>494</v>
      </c>
      <c r="E439" s="28"/>
      <c r="F439" s="96">
        <f>141</f>
        <v>141</v>
      </c>
      <c r="G439" s="96">
        <f>156</f>
        <v>156</v>
      </c>
      <c r="H439" s="96">
        <f>273</f>
        <v>273</v>
      </c>
      <c r="I439" s="96">
        <f>386</f>
        <v>386</v>
      </c>
      <c r="J439" s="96">
        <f>363</f>
        <v>363</v>
      </c>
      <c r="K439" s="96">
        <v>460</v>
      </c>
      <c r="L439" s="96">
        <v>419</v>
      </c>
    </row>
    <row r="440" spans="1:12" x14ac:dyDescent="0.25">
      <c r="A440" s="1622"/>
      <c r="B440" s="1625"/>
      <c r="C440" s="1160"/>
      <c r="D440" s="28" t="s">
        <v>495</v>
      </c>
      <c r="E440" s="28"/>
      <c r="F440" s="96">
        <f>23</f>
        <v>23</v>
      </c>
      <c r="G440" s="96">
        <f>28</f>
        <v>28</v>
      </c>
      <c r="H440" s="96">
        <f>21</f>
        <v>21</v>
      </c>
      <c r="I440" s="96">
        <f>50</f>
        <v>50</v>
      </c>
      <c r="J440" s="96">
        <f>61</f>
        <v>61</v>
      </c>
      <c r="K440" s="96">
        <v>75</v>
      </c>
      <c r="L440" s="96">
        <v>71</v>
      </c>
    </row>
    <row r="441" spans="1:12" x14ac:dyDescent="0.25">
      <c r="A441" s="1622"/>
      <c r="B441" s="1625"/>
      <c r="C441" s="1160" t="s">
        <v>437</v>
      </c>
      <c r="D441" s="28" t="s">
        <v>496</v>
      </c>
      <c r="E441" s="28"/>
      <c r="F441" s="96">
        <f>39</f>
        <v>39</v>
      </c>
      <c r="G441" s="96">
        <f>49</f>
        <v>49</v>
      </c>
      <c r="H441" s="96">
        <f>94</f>
        <v>94</v>
      </c>
      <c r="I441" s="96">
        <f>131</f>
        <v>131</v>
      </c>
      <c r="J441" s="96">
        <v>141</v>
      </c>
      <c r="K441" s="96">
        <v>168</v>
      </c>
      <c r="L441" s="96">
        <v>164</v>
      </c>
    </row>
    <row r="442" spans="1:12" ht="16.5" thickBot="1" x14ac:dyDescent="0.3">
      <c r="A442" s="1622"/>
      <c r="B442" s="1625"/>
      <c r="C442" s="1519"/>
      <c r="D442" s="110" t="s">
        <v>497</v>
      </c>
      <c r="E442" s="110"/>
      <c r="F442" s="360">
        <f>50</f>
        <v>50</v>
      </c>
      <c r="G442" s="360">
        <f>49</f>
        <v>49</v>
      </c>
      <c r="H442" s="360">
        <f>44</f>
        <v>44</v>
      </c>
      <c r="I442" s="360">
        <f>63</f>
        <v>63</v>
      </c>
      <c r="J442" s="360">
        <v>64</v>
      </c>
      <c r="K442" s="360">
        <v>91</v>
      </c>
      <c r="L442" s="360">
        <v>88</v>
      </c>
    </row>
    <row r="443" spans="1:12" x14ac:dyDescent="0.25">
      <c r="A443" s="1622"/>
      <c r="B443" s="1625"/>
      <c r="C443" s="1263" t="s">
        <v>353</v>
      </c>
      <c r="D443" s="36" t="s">
        <v>498</v>
      </c>
      <c r="E443" s="36"/>
      <c r="F443" s="81">
        <f t="shared" ref="F443:L443" si="44">+F441-F439</f>
        <v>-102</v>
      </c>
      <c r="G443" s="81">
        <f>+G441-G439</f>
        <v>-107</v>
      </c>
      <c r="H443" s="81">
        <f t="shared" si="44"/>
        <v>-179</v>
      </c>
      <c r="I443" s="81">
        <f t="shared" si="44"/>
        <v>-255</v>
      </c>
      <c r="J443" s="81">
        <f t="shared" si="44"/>
        <v>-222</v>
      </c>
      <c r="K443" s="81">
        <f t="shared" si="44"/>
        <v>-292</v>
      </c>
      <c r="L443" s="81">
        <f t="shared" si="44"/>
        <v>-255</v>
      </c>
    </row>
    <row r="444" spans="1:12" x14ac:dyDescent="0.25">
      <c r="A444" s="1622"/>
      <c r="B444" s="1625"/>
      <c r="C444" s="1256"/>
      <c r="D444" s="28" t="s">
        <v>499</v>
      </c>
      <c r="E444" s="28"/>
      <c r="F444" s="79">
        <f t="shared" ref="F444:L444" si="45">F442-F440</f>
        <v>27</v>
      </c>
      <c r="G444" s="79">
        <f t="shared" si="45"/>
        <v>21</v>
      </c>
      <c r="H444" s="79">
        <f t="shared" si="45"/>
        <v>23</v>
      </c>
      <c r="I444" s="79">
        <f t="shared" si="45"/>
        <v>13</v>
      </c>
      <c r="J444" s="79">
        <f t="shared" si="45"/>
        <v>3</v>
      </c>
      <c r="K444" s="79">
        <f t="shared" si="45"/>
        <v>16</v>
      </c>
      <c r="L444" s="79">
        <f t="shared" si="45"/>
        <v>17</v>
      </c>
    </row>
    <row r="445" spans="1:12" ht="16.5" customHeight="1" x14ac:dyDescent="0.25">
      <c r="A445" s="1622"/>
      <c r="B445" s="1625"/>
      <c r="C445" s="1256" t="s">
        <v>270</v>
      </c>
      <c r="D445" s="28" t="s">
        <v>500</v>
      </c>
      <c r="E445" s="28"/>
      <c r="F445" s="263">
        <f>+F441/(F441+F439)*100</f>
        <v>21.666666666666668</v>
      </c>
      <c r="G445" s="263">
        <f t="shared" ref="G445:L446" si="46">+G441/(G441+G439)*100</f>
        <v>23.902439024390244</v>
      </c>
      <c r="H445" s="263">
        <f t="shared" si="46"/>
        <v>25.61307901907357</v>
      </c>
      <c r="I445" s="263">
        <f t="shared" si="46"/>
        <v>25.338491295938105</v>
      </c>
      <c r="J445" s="263">
        <f t="shared" si="46"/>
        <v>27.976190476190478</v>
      </c>
      <c r="K445" s="263">
        <f t="shared" si="46"/>
        <v>26.751592356687897</v>
      </c>
      <c r="L445" s="263">
        <f t="shared" si="46"/>
        <v>28.130360205831906</v>
      </c>
    </row>
    <row r="446" spans="1:12" ht="16.5" thickBot="1" x14ac:dyDescent="0.3">
      <c r="A446" s="1623"/>
      <c r="B446" s="1626"/>
      <c r="C446" s="1257"/>
      <c r="D446" s="33" t="s">
        <v>501</v>
      </c>
      <c r="E446" s="33"/>
      <c r="F446" s="230">
        <f>+F442/(F442+F440)*100</f>
        <v>68.493150684931507</v>
      </c>
      <c r="G446" s="230">
        <f t="shared" si="46"/>
        <v>63.636363636363633</v>
      </c>
      <c r="H446" s="230">
        <f t="shared" si="46"/>
        <v>67.692307692307693</v>
      </c>
      <c r="I446" s="230">
        <f t="shared" si="46"/>
        <v>55.752212389380531</v>
      </c>
      <c r="J446" s="230">
        <f t="shared" si="46"/>
        <v>51.2</v>
      </c>
      <c r="K446" s="230">
        <f>+K442/(K442+K440)*100</f>
        <v>54.819277108433738</v>
      </c>
      <c r="L446" s="230">
        <f>+L442/(L442+L440)*100</f>
        <v>55.345911949685537</v>
      </c>
    </row>
  </sheetData>
  <mergeCells count="222">
    <mergeCell ref="C445:C446"/>
    <mergeCell ref="B438:B446"/>
    <mergeCell ref="A438:A446"/>
    <mergeCell ref="A362:A427"/>
    <mergeCell ref="B362:B370"/>
    <mergeCell ref="C362:C364"/>
    <mergeCell ref="C365:C367"/>
    <mergeCell ref="C368:D368"/>
    <mergeCell ref="C369:D369"/>
    <mergeCell ref="C370:D370"/>
    <mergeCell ref="C372:D372"/>
    <mergeCell ref="C373:D373"/>
    <mergeCell ref="C374:D374"/>
    <mergeCell ref="C375:D375"/>
    <mergeCell ref="C392:D392"/>
    <mergeCell ref="C393:D393"/>
    <mergeCell ref="C394:D394"/>
    <mergeCell ref="C395:D395"/>
    <mergeCell ref="B420:B427"/>
    <mergeCell ref="C420:D420"/>
    <mergeCell ref="C421:D421"/>
    <mergeCell ref="C422:D422"/>
    <mergeCell ref="C439:C440"/>
    <mergeCell ref="C441:C442"/>
    <mergeCell ref="C425:D425"/>
    <mergeCell ref="C426:D426"/>
    <mergeCell ref="C427:D427"/>
    <mergeCell ref="B392:B418"/>
    <mergeCell ref="C358:D358"/>
    <mergeCell ref="C359:D359"/>
    <mergeCell ref="C360:D360"/>
    <mergeCell ref="C351:C353"/>
    <mergeCell ref="C380:C383"/>
    <mergeCell ref="C384:C387"/>
    <mergeCell ref="C376:C379"/>
    <mergeCell ref="C416:C418"/>
    <mergeCell ref="C388:C390"/>
    <mergeCell ref="C424:D424"/>
    <mergeCell ref="C361:D361"/>
    <mergeCell ref="C396:C399"/>
    <mergeCell ref="C400:C403"/>
    <mergeCell ref="C404:C407"/>
    <mergeCell ref="C412:C415"/>
    <mergeCell ref="C408:C411"/>
    <mergeCell ref="C391:D391"/>
    <mergeCell ref="C419:D419"/>
    <mergeCell ref="C357:D357"/>
    <mergeCell ref="C371:D371"/>
    <mergeCell ref="C438:D438"/>
    <mergeCell ref="C428:D428"/>
    <mergeCell ref="A429:A436"/>
    <mergeCell ref="B429:B433"/>
    <mergeCell ref="C429:D429"/>
    <mergeCell ref="C430:D430"/>
    <mergeCell ref="C431:D431"/>
    <mergeCell ref="C433:D433"/>
    <mergeCell ref="B434:B436"/>
    <mergeCell ref="C434:D434"/>
    <mergeCell ref="C436:D436"/>
    <mergeCell ref="C432:D432"/>
    <mergeCell ref="C437:D437"/>
    <mergeCell ref="C435:D435"/>
    <mergeCell ref="C443:C444"/>
    <mergeCell ref="C316:D316"/>
    <mergeCell ref="C341:D341"/>
    <mergeCell ref="A342:A349"/>
    <mergeCell ref="B342:B345"/>
    <mergeCell ref="C342:D342"/>
    <mergeCell ref="C343:D343"/>
    <mergeCell ref="C344:D344"/>
    <mergeCell ref="C345:D345"/>
    <mergeCell ref="B346:B349"/>
    <mergeCell ref="C346:D346"/>
    <mergeCell ref="C347:D347"/>
    <mergeCell ref="C348:D348"/>
    <mergeCell ref="C349:D349"/>
    <mergeCell ref="B326:B335"/>
    <mergeCell ref="C326:C330"/>
    <mergeCell ref="A317:A340"/>
    <mergeCell ref="B317:B321"/>
    <mergeCell ref="B372:B390"/>
    <mergeCell ref="C423:D423"/>
    <mergeCell ref="C317:D317"/>
    <mergeCell ref="A351:A360"/>
    <mergeCell ref="B351:B360"/>
    <mergeCell ref="C354:C356"/>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 ref="B336:B340"/>
    <mergeCell ref="C336:D336"/>
    <mergeCell ref="C337:D337"/>
    <mergeCell ref="C338:D338"/>
    <mergeCell ref="C339:D339"/>
    <mergeCell ref="C340:D340"/>
    <mergeCell ref="B322:B325"/>
    <mergeCell ref="C318:D318"/>
    <mergeCell ref="C319:D319"/>
    <mergeCell ref="C320:D320"/>
    <mergeCell ref="C321:D321"/>
    <mergeCell ref="C322:D322"/>
    <mergeCell ref="C323:D323"/>
    <mergeCell ref="C324:D324"/>
    <mergeCell ref="C325:D325"/>
    <mergeCell ref="C331:C335"/>
    <mergeCell ref="C293:C296"/>
    <mergeCell ref="C297:C300"/>
    <mergeCell ref="C301:C304"/>
    <mergeCell ref="C305:C308"/>
    <mergeCell ref="C309:C312"/>
    <mergeCell ref="C313:D313"/>
    <mergeCell ref="C314:D314"/>
    <mergeCell ref="C315:D315"/>
    <mergeCell ref="C350:D350"/>
  </mergeCells>
  <conditionalFormatting sqref="E349:F349">
    <cfRule type="cellIs" dxfId="198" priority="294" operator="greaterThan">
      <formula>0</formula>
    </cfRule>
    <cfRule type="cellIs" dxfId="197" priority="293" operator="lessThan">
      <formula>0</formula>
    </cfRule>
  </conditionalFormatting>
  <conditionalFormatting sqref="E39:L39">
    <cfRule type="cellIs" dxfId="196" priority="362" operator="greaterThan">
      <formula>1</formula>
    </cfRule>
    <cfRule type="cellIs" dxfId="195" priority="361" operator="lessThan">
      <formula>1</formula>
    </cfRule>
    <cfRule type="cellIs" dxfId="194" priority="360" operator="greaterThan">
      <formula>1</formula>
    </cfRule>
    <cfRule type="cellIs" dxfId="193" priority="359" operator="greaterThan">
      <formula>1</formula>
    </cfRule>
  </conditionalFormatting>
  <conditionalFormatting sqref="E40:L40">
    <cfRule type="cellIs" dxfId="192" priority="363" operator="lessThan">
      <formula>50</formula>
    </cfRule>
    <cfRule type="cellIs" dxfId="191" priority="358" operator="greaterThan">
      <formula>50</formula>
    </cfRule>
    <cfRule type="cellIs" dxfId="190" priority="364" operator="greaterThan">
      <formula>50</formula>
    </cfRule>
  </conditionalFormatting>
  <conditionalFormatting sqref="E44:L44">
    <cfRule type="cellIs" dxfId="189" priority="356" operator="lessThan">
      <formula>1</formula>
    </cfRule>
    <cfRule type="cellIs" dxfId="188" priority="355" operator="greaterThan">
      <formula>1</formula>
    </cfRule>
    <cfRule type="cellIs" dxfId="187" priority="354" operator="greaterThan">
      <formula>1</formula>
    </cfRule>
    <cfRule type="cellIs" dxfId="186" priority="357" operator="greaterThan">
      <formula>1</formula>
    </cfRule>
  </conditionalFormatting>
  <conditionalFormatting sqref="E45:L45">
    <cfRule type="cellIs" dxfId="185" priority="353" operator="greaterThan">
      <formula>50</formula>
    </cfRule>
    <cfRule type="cellIs" dxfId="184" priority="352" operator="lessThan">
      <formula>50</formula>
    </cfRule>
    <cfRule type="cellIs" dxfId="183" priority="351" operator="greaterThan">
      <formula>50</formula>
    </cfRule>
  </conditionalFormatting>
  <conditionalFormatting sqref="E50:L50">
    <cfRule type="cellIs" dxfId="182" priority="199" operator="greaterThan">
      <formula>1</formula>
    </cfRule>
    <cfRule type="cellIs" dxfId="181" priority="195" operator="lessThan">
      <formula>1</formula>
    </cfRule>
    <cfRule type="cellIs" dxfId="180" priority="198" operator="lessThan">
      <formula>1</formula>
    </cfRule>
    <cfRule type="cellIs" dxfId="179" priority="197" operator="greaterThan">
      <formula>1</formula>
    </cfRule>
    <cfRule type="cellIs" dxfId="178" priority="196" operator="greaterThan">
      <formula>1</formula>
    </cfRule>
  </conditionalFormatting>
  <conditionalFormatting sqref="E51:L51">
    <cfRule type="cellIs" dxfId="177" priority="207" operator="lessThan">
      <formula>50</formula>
    </cfRule>
    <cfRule type="cellIs" dxfId="176" priority="206" operator="greaterThan">
      <formula>50</formula>
    </cfRule>
  </conditionalFormatting>
  <conditionalFormatting sqref="F360">
    <cfRule type="cellIs" dxfId="175" priority="89" operator="greaterThan">
      <formula>0</formula>
    </cfRule>
    <cfRule type="cellIs" dxfId="174" priority="88" operator="lessThan">
      <formula>0</formula>
    </cfRule>
  </conditionalFormatting>
  <conditionalFormatting sqref="F370:K370">
    <cfRule type="cellIs" dxfId="173" priority="87" operator="lessThan">
      <formula>0</formula>
    </cfRule>
  </conditionalFormatting>
  <conditionalFormatting sqref="F320:L321">
    <cfRule type="cellIs" dxfId="172" priority="102" operator="lessThan">
      <formula>1</formula>
    </cfRule>
  </conditionalFormatting>
  <conditionalFormatting sqref="F443:L443">
    <cfRule type="cellIs" dxfId="171" priority="19" operator="lessThan">
      <formula>0</formula>
    </cfRule>
  </conditionalFormatting>
  <conditionalFormatting sqref="F444:L446">
    <cfRule type="cellIs" dxfId="170" priority="17" operator="greaterThan">
      <formula>0</formula>
    </cfRule>
  </conditionalFormatting>
  <conditionalFormatting sqref="F446:L446">
    <cfRule type="cellIs" dxfId="169" priority="21" operator="greaterThan">
      <formula>0</formula>
    </cfRule>
    <cfRule type="cellIs" dxfId="168" priority="22" operator="lessThan">
      <formula>0</formula>
    </cfRule>
  </conditionalFormatting>
  <conditionalFormatting sqref="G325:L325">
    <cfRule type="cellIs" dxfId="167" priority="107" operator="greaterThan">
      <formula>0</formula>
    </cfRule>
    <cfRule type="cellIs" dxfId="166" priority="108" operator="lessThan">
      <formula>1</formula>
    </cfRule>
  </conditionalFormatting>
  <conditionalFormatting sqref="H59:K59">
    <cfRule type="cellIs" dxfId="165" priority="202" operator="greaterThan">
      <formula>0</formula>
    </cfRule>
  </conditionalFormatting>
  <conditionalFormatting sqref="H60:K60">
    <cfRule type="cellIs" dxfId="164" priority="200" operator="lessThan">
      <formula>50</formula>
    </cfRule>
    <cfRule type="cellIs" dxfId="163" priority="201" operator="greaterThan">
      <formula>50</formula>
    </cfRule>
    <cfRule type="cellIs" dxfId="162" priority="203" operator="lessThan">
      <formula>50</formula>
    </cfRule>
    <cfRule type="cellIs" dxfId="161" priority="204" operator="greaterThan">
      <formula>50</formula>
    </cfRule>
  </conditionalFormatting>
  <conditionalFormatting sqref="H339:K339">
    <cfRule type="cellIs" dxfId="160" priority="116" operator="greaterThan">
      <formula>0</formula>
    </cfRule>
    <cfRule type="cellIs" dxfId="159" priority="110" operator="lessThan">
      <formula>0</formula>
    </cfRule>
    <cfRule type="cellIs" dxfId="158" priority="114" operator="greaterThan">
      <formula>0</formula>
    </cfRule>
    <cfRule type="cellIs" dxfId="157" priority="115" operator="lessThan">
      <formula>0</formula>
    </cfRule>
  </conditionalFormatting>
  <conditionalFormatting sqref="H340:K340">
    <cfRule type="cellIs" dxfId="156" priority="113" operator="greaterThan">
      <formula>50</formula>
    </cfRule>
    <cfRule type="cellIs" dxfId="155" priority="109" operator="lessThan">
      <formula>50</formula>
    </cfRule>
    <cfRule type="cellIs" dxfId="154" priority="91" operator="greaterThan">
      <formula>50</formula>
    </cfRule>
  </conditionalFormatting>
  <conditionalFormatting sqref="H360:K360">
    <cfRule type="cellIs" dxfId="153" priority="1" operator="lessThan">
      <formula>0</formula>
    </cfRule>
    <cfRule type="cellIs" dxfId="152" priority="2" operator="greaterThan">
      <formula>0</formula>
    </cfRule>
  </conditionalFormatting>
  <conditionalFormatting sqref="H423:K423">
    <cfRule type="cellIs" dxfId="151" priority="5" operator="greaterThan">
      <formula>0</formula>
    </cfRule>
    <cfRule type="cellIs" dxfId="150" priority="4" operator="lessThan">
      <formula>0</formula>
    </cfRule>
  </conditionalFormatting>
  <conditionalFormatting sqref="H55:L55">
    <cfRule type="cellIs" dxfId="149" priority="205" operator="greaterThan">
      <formula>0</formula>
    </cfRule>
  </conditionalFormatting>
  <conditionalFormatting sqref="I329:L329">
    <cfRule type="cellIs" dxfId="148" priority="104" operator="lessThan">
      <formula>0</formula>
    </cfRule>
    <cfRule type="cellIs" dxfId="147" priority="97" operator="greaterThan">
      <formula>0</formula>
    </cfRule>
  </conditionalFormatting>
  <conditionalFormatting sqref="I330:L330">
    <cfRule type="cellIs" dxfId="146" priority="105" operator="lessThan">
      <formula>50</formula>
    </cfRule>
    <cfRule type="cellIs" dxfId="145" priority="103" operator="greaterThan">
      <formula>50</formula>
    </cfRule>
    <cfRule type="cellIs" dxfId="144" priority="96" operator="greaterThan">
      <formula>50</formula>
    </cfRule>
  </conditionalFormatting>
  <conditionalFormatting sqref="I334:L334">
    <cfRule type="cellIs" dxfId="143" priority="112" operator="lessThan">
      <formula>1</formula>
    </cfRule>
    <cfRule type="cellIs" dxfId="142" priority="111" operator="greaterThan">
      <formula>0</formula>
    </cfRule>
    <cfRule type="cellIs" dxfId="141" priority="94" operator="greaterThan">
      <formula>0</formula>
    </cfRule>
  </conditionalFormatting>
  <conditionalFormatting sqref="I335:L335">
    <cfRule type="cellIs" dxfId="140" priority="92" operator="greaterThan">
      <formula>50</formula>
    </cfRule>
  </conditionalFormatting>
  <conditionalFormatting sqref="J424">
    <cfRule type="cellIs" dxfId="139" priority="3" operator="lessThan">
      <formula>50</formula>
    </cfRule>
  </conditionalFormatting>
  <conditionalFormatting sqref="K433">
    <cfRule type="cellIs" dxfId="138" priority="16" operator="greaterThan">
      <formula>50</formula>
    </cfRule>
    <cfRule type="cellIs" dxfId="137" priority="15" operator="lessThan">
      <formula>50</formula>
    </cfRule>
    <cfRule type="cellIs" dxfId="136" priority="14" operator="lessThan">
      <formula>50</formula>
    </cfRule>
  </conditionalFormatting>
  <hyperlinks>
    <hyperlink ref="M1" location="INDICADORES!A1" display="INDICADORES" xr:uid="{F05554A2-F951-4455-B21F-9DB4A2364995}"/>
    <hyperlink ref="O1" location="DISTRITOS!A1" display="DISTRITOS" xr:uid="{94622A66-D2E1-4518-A4A2-C4613F4B0D10}"/>
  </hyperlinks>
  <pageMargins left="0.7" right="0.7" top="0.75" bottom="0.75" header="0.3" footer="0.3"/>
  <pageSetup paperSize="9"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71D03-B823-4C41-9BB6-11C12632FD0B}">
  <sheetPr codeName="Hoja23">
    <tabColor theme="8" tint="-0.249977111117893"/>
  </sheetPr>
  <dimension ref="A1:O506"/>
  <sheetViews>
    <sheetView showGridLines="0" topLeftCell="C1" zoomScale="80" zoomScaleNormal="80" workbookViewId="0">
      <pane ySplit="2" topLeftCell="A483" activePane="bottomLeft" state="frozen"/>
      <selection activeCell="C3" activeCellId="1" sqref="K60 C3:K3"/>
      <selection pane="bottomLeft" activeCell="L493" sqref="L493"/>
    </sheetView>
  </sheetViews>
  <sheetFormatPr baseColWidth="10" defaultColWidth="11.42578125" defaultRowHeight="15.75" x14ac:dyDescent="0.25"/>
  <cols>
    <col min="1" max="1" width="26.5703125" style="11" customWidth="1"/>
    <col min="2" max="2" width="50.5703125" style="205" customWidth="1"/>
    <col min="3" max="3" width="30.5703125" style="205" customWidth="1"/>
    <col min="4" max="4" width="30.5703125" style="11" customWidth="1"/>
    <col min="5" max="12" width="13.5703125" style="11" customWidth="1"/>
    <col min="13" max="13" width="15" style="11" customWidth="1"/>
    <col min="14" max="14" width="5.5703125" style="11" customWidth="1"/>
    <col min="15" max="15" width="14.140625" style="11" customWidth="1"/>
    <col min="16" max="16384" width="11.42578125" style="11"/>
  </cols>
  <sheetData>
    <row r="1" spans="1:15" ht="30" customHeight="1" thickTop="1" thickBot="1" x14ac:dyDescent="0.3">
      <c r="A1" s="1020" t="s">
        <v>602</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c r="M2" s="482"/>
    </row>
    <row r="3" spans="1:15" x14ac:dyDescent="0.25">
      <c r="A3" s="1878" t="s">
        <v>26</v>
      </c>
      <c r="B3" s="1194" t="s">
        <v>568</v>
      </c>
      <c r="C3" s="1211" t="s">
        <v>251</v>
      </c>
      <c r="D3" s="1211"/>
      <c r="E3" s="81">
        <v>148960</v>
      </c>
      <c r="F3" s="81">
        <v>158311</v>
      </c>
      <c r="G3" s="81">
        <v>152447</v>
      </c>
      <c r="H3" s="81">
        <v>161222</v>
      </c>
      <c r="I3" s="81">
        <v>160258</v>
      </c>
      <c r="J3" s="81">
        <v>158783</v>
      </c>
      <c r="K3" s="81">
        <v>161219</v>
      </c>
      <c r="L3" s="82">
        <v>166583</v>
      </c>
    </row>
    <row r="4" spans="1:15" x14ac:dyDescent="0.25">
      <c r="A4" s="1817"/>
      <c r="B4" s="1195"/>
      <c r="C4" s="1213" t="s">
        <v>257</v>
      </c>
      <c r="D4" s="1213"/>
      <c r="E4" s="80">
        <v>72350</v>
      </c>
      <c r="F4" s="80">
        <v>76010</v>
      </c>
      <c r="G4" s="80">
        <v>72226</v>
      </c>
      <c r="H4" s="80">
        <v>76252</v>
      </c>
      <c r="I4" s="80">
        <v>75788</v>
      </c>
      <c r="J4" s="80">
        <v>75082</v>
      </c>
      <c r="K4" s="80">
        <v>76154</v>
      </c>
      <c r="L4" s="83">
        <v>78823</v>
      </c>
    </row>
    <row r="5" spans="1:15" x14ac:dyDescent="0.25">
      <c r="A5" s="1817"/>
      <c r="B5" s="1195"/>
      <c r="C5" s="1213" t="s">
        <v>263</v>
      </c>
      <c r="D5" s="1213"/>
      <c r="E5" s="80">
        <v>76610</v>
      </c>
      <c r="F5" s="80">
        <v>82301</v>
      </c>
      <c r="G5" s="80">
        <v>80221</v>
      </c>
      <c r="H5" s="80">
        <v>84970</v>
      </c>
      <c r="I5" s="80">
        <v>84470</v>
      </c>
      <c r="J5" s="80">
        <v>83701</v>
      </c>
      <c r="K5" s="80">
        <v>85065</v>
      </c>
      <c r="L5" s="83">
        <v>87760</v>
      </c>
    </row>
    <row r="6" spans="1:15" x14ac:dyDescent="0.25">
      <c r="A6" s="1817"/>
      <c r="B6" s="1196"/>
      <c r="C6" s="1215" t="s">
        <v>269</v>
      </c>
      <c r="D6" s="1215"/>
      <c r="E6" s="363">
        <f>+E5-E4</f>
        <v>4260</v>
      </c>
      <c r="F6" s="363">
        <f t="shared" ref="F6:L6" si="0">+F5-F4</f>
        <v>6291</v>
      </c>
      <c r="G6" s="363">
        <f t="shared" si="0"/>
        <v>7995</v>
      </c>
      <c r="H6" s="363">
        <f t="shared" si="0"/>
        <v>8718</v>
      </c>
      <c r="I6" s="363">
        <f t="shared" si="0"/>
        <v>8682</v>
      </c>
      <c r="J6" s="363">
        <f t="shared" si="0"/>
        <v>8619</v>
      </c>
      <c r="K6" s="363">
        <f t="shared" si="0"/>
        <v>8911</v>
      </c>
      <c r="L6" s="365">
        <f t="shared" si="0"/>
        <v>8937</v>
      </c>
    </row>
    <row r="7" spans="1:15" ht="16.5" thickBot="1" x14ac:dyDescent="0.3">
      <c r="A7" s="1817"/>
      <c r="B7" s="1197"/>
      <c r="C7" s="1126" t="s">
        <v>270</v>
      </c>
      <c r="D7" s="1126"/>
      <c r="E7" s="366">
        <f>E5/E3*100</f>
        <v>51.429914070891513</v>
      </c>
      <c r="F7" s="366">
        <f t="shared" ref="F7:L7" si="1">F5/F3*100</f>
        <v>51.98691183809084</v>
      </c>
      <c r="G7" s="366">
        <f t="shared" si="1"/>
        <v>52.622222805302833</v>
      </c>
      <c r="H7" s="366">
        <f t="shared" si="1"/>
        <v>52.703725298036254</v>
      </c>
      <c r="I7" s="366">
        <f t="shared" si="1"/>
        <v>52.708757129129282</v>
      </c>
      <c r="J7" s="366">
        <f t="shared" si="1"/>
        <v>52.714081482274558</v>
      </c>
      <c r="K7" s="366">
        <f t="shared" si="1"/>
        <v>52.763632078104941</v>
      </c>
      <c r="L7" s="367">
        <f t="shared" si="1"/>
        <v>52.682446588187268</v>
      </c>
    </row>
    <row r="8" spans="1:15" x14ac:dyDescent="0.25">
      <c r="A8" s="1817"/>
      <c r="B8" s="1787" t="s">
        <v>569</v>
      </c>
      <c r="C8" s="1306" t="s">
        <v>257</v>
      </c>
      <c r="D8" s="168" t="s">
        <v>272</v>
      </c>
      <c r="E8" s="81">
        <v>72350</v>
      </c>
      <c r="F8" s="81">
        <v>76010</v>
      </c>
      <c r="G8" s="81">
        <v>72226</v>
      </c>
      <c r="H8" s="81">
        <v>76252</v>
      </c>
      <c r="I8" s="81">
        <v>75788</v>
      </c>
      <c r="J8" s="81">
        <v>75082</v>
      </c>
      <c r="K8" s="81">
        <v>76154</v>
      </c>
      <c r="L8" s="82">
        <v>78823</v>
      </c>
    </row>
    <row r="9" spans="1:15" x14ac:dyDescent="0.25">
      <c r="A9" s="1817"/>
      <c r="B9" s="1788"/>
      <c r="C9" s="1307"/>
      <c r="D9" s="164" t="s">
        <v>275</v>
      </c>
      <c r="E9" s="80">
        <v>11909</v>
      </c>
      <c r="F9" s="80">
        <v>13632</v>
      </c>
      <c r="G9" s="80">
        <v>13071</v>
      </c>
      <c r="H9" s="80">
        <v>12373</v>
      </c>
      <c r="I9" s="80">
        <v>11870</v>
      </c>
      <c r="J9" s="80">
        <v>11371</v>
      </c>
      <c r="K9" s="80">
        <v>11118</v>
      </c>
      <c r="L9" s="83">
        <v>10197</v>
      </c>
    </row>
    <row r="10" spans="1:15" x14ac:dyDescent="0.25">
      <c r="A10" s="1817"/>
      <c r="B10" s="1788"/>
      <c r="C10" s="1307"/>
      <c r="D10" s="164" t="s">
        <v>282</v>
      </c>
      <c r="E10" s="80">
        <v>49618</v>
      </c>
      <c r="F10" s="80">
        <v>51892</v>
      </c>
      <c r="G10" s="80">
        <v>48544</v>
      </c>
      <c r="H10" s="80">
        <v>52842</v>
      </c>
      <c r="I10" s="80">
        <v>52999</v>
      </c>
      <c r="J10" s="80">
        <v>52643</v>
      </c>
      <c r="K10" s="80">
        <v>53672</v>
      </c>
      <c r="L10" s="83">
        <v>56711</v>
      </c>
    </row>
    <row r="11" spans="1:15" x14ac:dyDescent="0.25">
      <c r="A11" s="1817"/>
      <c r="B11" s="1788"/>
      <c r="C11" s="1307"/>
      <c r="D11" s="164" t="s">
        <v>288</v>
      </c>
      <c r="E11" s="80">
        <v>10823</v>
      </c>
      <c r="F11" s="80">
        <v>10486</v>
      </c>
      <c r="G11" s="80">
        <v>10611</v>
      </c>
      <c r="H11" s="80">
        <v>11037</v>
      </c>
      <c r="I11" s="80">
        <v>10919</v>
      </c>
      <c r="J11" s="80">
        <v>11068</v>
      </c>
      <c r="K11" s="80">
        <v>11364</v>
      </c>
      <c r="L11" s="83">
        <v>11915</v>
      </c>
    </row>
    <row r="12" spans="1:15" x14ac:dyDescent="0.25">
      <c r="A12" s="1817"/>
      <c r="B12" s="1788"/>
      <c r="C12" s="1307"/>
      <c r="D12" s="164" t="s">
        <v>295</v>
      </c>
      <c r="E12" s="96">
        <v>2031</v>
      </c>
      <c r="F12" s="96">
        <v>2785</v>
      </c>
      <c r="G12" s="96">
        <v>3644</v>
      </c>
      <c r="H12" s="96">
        <v>3629</v>
      </c>
      <c r="I12" s="96">
        <v>3456</v>
      </c>
      <c r="J12" s="96">
        <v>3348</v>
      </c>
      <c r="K12" s="96">
        <v>3303</v>
      </c>
      <c r="L12" s="83">
        <v>3367</v>
      </c>
    </row>
    <row r="13" spans="1:15" ht="16.5" thickBot="1" x14ac:dyDescent="0.3">
      <c r="A13" s="1817"/>
      <c r="B13" s="1788"/>
      <c r="C13" s="1308"/>
      <c r="D13" s="169" t="s">
        <v>296</v>
      </c>
      <c r="E13" s="190">
        <v>0</v>
      </c>
      <c r="F13" s="190">
        <v>0</v>
      </c>
      <c r="G13" s="190">
        <v>0</v>
      </c>
      <c r="H13" s="190">
        <v>0</v>
      </c>
      <c r="I13" s="190">
        <v>0</v>
      </c>
      <c r="J13" s="190">
        <v>0</v>
      </c>
      <c r="K13" s="190">
        <v>0</v>
      </c>
      <c r="L13" s="268">
        <v>0</v>
      </c>
    </row>
    <row r="14" spans="1:15" x14ac:dyDescent="0.25">
      <c r="A14" s="1817"/>
      <c r="B14" s="1788"/>
      <c r="C14" s="1306" t="s">
        <v>263</v>
      </c>
      <c r="D14" s="168" t="s">
        <v>272</v>
      </c>
      <c r="E14" s="81">
        <v>76610</v>
      </c>
      <c r="F14" s="81">
        <v>82301</v>
      </c>
      <c r="G14" s="81">
        <v>80221</v>
      </c>
      <c r="H14" s="81">
        <v>84970</v>
      </c>
      <c r="I14" s="81">
        <v>84470</v>
      </c>
      <c r="J14" s="81">
        <v>83701</v>
      </c>
      <c r="K14" s="81">
        <v>85065</v>
      </c>
      <c r="L14" s="82">
        <v>87760</v>
      </c>
    </row>
    <row r="15" spans="1:15" x14ac:dyDescent="0.25">
      <c r="A15" s="1817"/>
      <c r="B15" s="1788"/>
      <c r="C15" s="1307"/>
      <c r="D15" s="164" t="s">
        <v>275</v>
      </c>
      <c r="E15" s="80">
        <v>11311</v>
      </c>
      <c r="F15" s="80">
        <v>13053</v>
      </c>
      <c r="G15" s="80">
        <v>12572</v>
      </c>
      <c r="H15" s="80">
        <v>11813</v>
      </c>
      <c r="I15" s="80">
        <v>11341</v>
      </c>
      <c r="J15" s="80">
        <v>10815</v>
      </c>
      <c r="K15" s="80">
        <v>10618</v>
      </c>
      <c r="L15" s="83">
        <v>9805</v>
      </c>
    </row>
    <row r="16" spans="1:15" x14ac:dyDescent="0.25">
      <c r="A16" s="1817"/>
      <c r="B16" s="1788"/>
      <c r="C16" s="1307"/>
      <c r="D16" s="164" t="s">
        <v>282</v>
      </c>
      <c r="E16" s="80">
        <v>48836</v>
      </c>
      <c r="F16" s="80">
        <v>52807</v>
      </c>
      <c r="G16" s="80">
        <v>51091</v>
      </c>
      <c r="H16" s="80">
        <v>56160</v>
      </c>
      <c r="I16" s="80">
        <v>56265</v>
      </c>
      <c r="J16" s="80">
        <v>55927</v>
      </c>
      <c r="K16" s="80">
        <v>57144</v>
      </c>
      <c r="L16" s="83">
        <v>60135</v>
      </c>
    </row>
    <row r="17" spans="1:13" x14ac:dyDescent="0.25">
      <c r="A17" s="1817"/>
      <c r="B17" s="1788"/>
      <c r="C17" s="1307"/>
      <c r="D17" s="164" t="s">
        <v>288</v>
      </c>
      <c r="E17" s="80">
        <v>16461</v>
      </c>
      <c r="F17" s="80">
        <v>16440</v>
      </c>
      <c r="G17" s="80">
        <v>16558</v>
      </c>
      <c r="H17" s="80">
        <v>16997</v>
      </c>
      <c r="I17" s="80">
        <v>16864</v>
      </c>
      <c r="J17" s="80">
        <v>16959</v>
      </c>
      <c r="K17" s="80">
        <v>17303</v>
      </c>
      <c r="L17" s="83">
        <v>17820</v>
      </c>
    </row>
    <row r="18" spans="1:13" x14ac:dyDescent="0.25">
      <c r="A18" s="1817"/>
      <c r="B18" s="1788"/>
      <c r="C18" s="1307"/>
      <c r="D18" s="164" t="s">
        <v>295</v>
      </c>
      <c r="E18" s="96">
        <v>4104</v>
      </c>
      <c r="F18" s="96">
        <v>5495</v>
      </c>
      <c r="G18" s="96">
        <v>6968</v>
      </c>
      <c r="H18" s="96">
        <v>7313</v>
      </c>
      <c r="I18" s="96">
        <v>7175</v>
      </c>
      <c r="J18" s="96">
        <v>7007</v>
      </c>
      <c r="K18" s="96">
        <v>6858</v>
      </c>
      <c r="L18" s="83">
        <v>6869</v>
      </c>
    </row>
    <row r="19" spans="1:13" ht="16.5" thickBot="1" x14ac:dyDescent="0.3">
      <c r="A19" s="1817"/>
      <c r="B19" s="1788"/>
      <c r="C19" s="1308"/>
      <c r="D19" s="169" t="s">
        <v>296</v>
      </c>
      <c r="E19" s="190">
        <v>2</v>
      </c>
      <c r="F19" s="190">
        <v>1</v>
      </c>
      <c r="G19" s="190">
        <v>0</v>
      </c>
      <c r="H19" s="190">
        <v>0</v>
      </c>
      <c r="I19" s="190">
        <v>0</v>
      </c>
      <c r="J19" s="190">
        <v>0</v>
      </c>
      <c r="K19" s="190">
        <v>0</v>
      </c>
      <c r="L19" s="268">
        <v>0</v>
      </c>
    </row>
    <row r="20" spans="1:13" x14ac:dyDescent="0.25">
      <c r="A20" s="1817"/>
      <c r="B20" s="1788"/>
      <c r="C20" s="1306" t="s">
        <v>269</v>
      </c>
      <c r="D20" s="535" t="s">
        <v>272</v>
      </c>
      <c r="E20" s="375">
        <f>E14-E8</f>
        <v>4260</v>
      </c>
      <c r="F20" s="375">
        <f t="shared" ref="F20:L20" si="2">F14-F8</f>
        <v>6291</v>
      </c>
      <c r="G20" s="375">
        <f t="shared" si="2"/>
        <v>7995</v>
      </c>
      <c r="H20" s="375">
        <f t="shared" si="2"/>
        <v>8718</v>
      </c>
      <c r="I20" s="375">
        <f t="shared" si="2"/>
        <v>8682</v>
      </c>
      <c r="J20" s="375">
        <f t="shared" si="2"/>
        <v>8619</v>
      </c>
      <c r="K20" s="375">
        <f t="shared" si="2"/>
        <v>8911</v>
      </c>
      <c r="L20" s="376">
        <f t="shared" si="2"/>
        <v>8937</v>
      </c>
    </row>
    <row r="21" spans="1:13" x14ac:dyDescent="0.25">
      <c r="A21" s="1817"/>
      <c r="B21" s="1788"/>
      <c r="C21" s="1307"/>
      <c r="D21" s="527" t="s">
        <v>275</v>
      </c>
      <c r="E21" s="157">
        <f t="shared" ref="E21:L24" si="3">E15-E9</f>
        <v>-598</v>
      </c>
      <c r="F21" s="157">
        <f t="shared" si="3"/>
        <v>-579</v>
      </c>
      <c r="G21" s="157">
        <f t="shared" si="3"/>
        <v>-499</v>
      </c>
      <c r="H21" s="157">
        <f t="shared" si="3"/>
        <v>-560</v>
      </c>
      <c r="I21" s="157">
        <f t="shared" si="3"/>
        <v>-529</v>
      </c>
      <c r="J21" s="157">
        <f t="shared" si="3"/>
        <v>-556</v>
      </c>
      <c r="K21" s="157">
        <f t="shared" si="3"/>
        <v>-500</v>
      </c>
      <c r="L21" s="160">
        <f t="shared" si="3"/>
        <v>-392</v>
      </c>
    </row>
    <row r="22" spans="1:13" x14ac:dyDescent="0.25">
      <c r="A22" s="1817"/>
      <c r="B22" s="1788"/>
      <c r="C22" s="1307"/>
      <c r="D22" s="527" t="s">
        <v>282</v>
      </c>
      <c r="E22" s="157">
        <f t="shared" si="3"/>
        <v>-782</v>
      </c>
      <c r="F22" s="363">
        <f t="shared" si="3"/>
        <v>915</v>
      </c>
      <c r="G22" s="363">
        <f t="shared" si="3"/>
        <v>2547</v>
      </c>
      <c r="H22" s="363">
        <f t="shared" si="3"/>
        <v>3318</v>
      </c>
      <c r="I22" s="363">
        <f t="shared" si="3"/>
        <v>3266</v>
      </c>
      <c r="J22" s="363">
        <f t="shared" si="3"/>
        <v>3284</v>
      </c>
      <c r="K22" s="363">
        <f t="shared" si="3"/>
        <v>3472</v>
      </c>
      <c r="L22" s="365">
        <f t="shared" si="3"/>
        <v>3424</v>
      </c>
    </row>
    <row r="23" spans="1:13" x14ac:dyDescent="0.25">
      <c r="A23" s="1817"/>
      <c r="B23" s="1788"/>
      <c r="C23" s="1307"/>
      <c r="D23" s="527" t="s">
        <v>288</v>
      </c>
      <c r="E23" s="363">
        <f t="shared" si="3"/>
        <v>5638</v>
      </c>
      <c r="F23" s="363">
        <f t="shared" si="3"/>
        <v>5954</v>
      </c>
      <c r="G23" s="363">
        <f t="shared" si="3"/>
        <v>5947</v>
      </c>
      <c r="H23" s="363">
        <f t="shared" si="3"/>
        <v>5960</v>
      </c>
      <c r="I23" s="363">
        <f t="shared" si="3"/>
        <v>5945</v>
      </c>
      <c r="J23" s="363">
        <f t="shared" si="3"/>
        <v>5891</v>
      </c>
      <c r="K23" s="363">
        <f t="shared" si="3"/>
        <v>5939</v>
      </c>
      <c r="L23" s="365">
        <f t="shared" si="3"/>
        <v>5905</v>
      </c>
    </row>
    <row r="24" spans="1:13" ht="16.5" thickBot="1" x14ac:dyDescent="0.3">
      <c r="A24" s="1817"/>
      <c r="B24" s="1788"/>
      <c r="C24" s="1540"/>
      <c r="D24" s="545" t="s">
        <v>295</v>
      </c>
      <c r="E24" s="459">
        <f t="shared" si="3"/>
        <v>2073</v>
      </c>
      <c r="F24" s="459">
        <f t="shared" si="3"/>
        <v>2710</v>
      </c>
      <c r="G24" s="459">
        <f t="shared" si="3"/>
        <v>3324</v>
      </c>
      <c r="H24" s="459">
        <f t="shared" si="3"/>
        <v>3684</v>
      </c>
      <c r="I24" s="459">
        <f t="shared" si="3"/>
        <v>3719</v>
      </c>
      <c r="J24" s="459">
        <f t="shared" si="3"/>
        <v>3659</v>
      </c>
      <c r="K24" s="459">
        <f t="shared" si="3"/>
        <v>3555</v>
      </c>
      <c r="L24" s="460">
        <f t="shared" si="3"/>
        <v>3502</v>
      </c>
    </row>
    <row r="25" spans="1:13" ht="15" customHeight="1" x14ac:dyDescent="0.25">
      <c r="A25" s="1817"/>
      <c r="B25" s="1788"/>
      <c r="C25" s="1265" t="s">
        <v>270</v>
      </c>
      <c r="D25" s="535" t="s">
        <v>272</v>
      </c>
      <c r="E25" s="384">
        <f>E14/E3*100</f>
        <v>51.429914070891513</v>
      </c>
      <c r="F25" s="384">
        <f t="shared" ref="F25:L25" si="4">F14/F3*100</f>
        <v>51.98691183809084</v>
      </c>
      <c r="G25" s="384">
        <f t="shared" si="4"/>
        <v>52.622222805302833</v>
      </c>
      <c r="H25" s="384">
        <f t="shared" si="4"/>
        <v>52.703725298036254</v>
      </c>
      <c r="I25" s="384">
        <f t="shared" si="4"/>
        <v>52.708757129129282</v>
      </c>
      <c r="J25" s="384">
        <f t="shared" si="4"/>
        <v>52.714081482274558</v>
      </c>
      <c r="K25" s="384">
        <f t="shared" si="4"/>
        <v>52.763632078104941</v>
      </c>
      <c r="L25" s="385">
        <f t="shared" si="4"/>
        <v>52.682446588187268</v>
      </c>
    </row>
    <row r="26" spans="1:13" x14ac:dyDescent="0.25">
      <c r="A26" s="1817"/>
      <c r="B26" s="1788"/>
      <c r="C26" s="1360"/>
      <c r="D26" s="527" t="s">
        <v>275</v>
      </c>
      <c r="E26" s="158">
        <f>(E15/(E15+E9))*100</f>
        <v>48.712316968130921</v>
      </c>
      <c r="F26" s="158">
        <f t="shared" ref="F26:L27" si="5">(F15/(F15+F9))*100</f>
        <v>48.915120854412592</v>
      </c>
      <c r="G26" s="158">
        <f t="shared" si="5"/>
        <v>49.027024919081228</v>
      </c>
      <c r="H26" s="158">
        <f t="shared" si="5"/>
        <v>48.842305465972053</v>
      </c>
      <c r="I26" s="158">
        <f t="shared" si="5"/>
        <v>48.860454095041142</v>
      </c>
      <c r="J26" s="158">
        <f t="shared" si="5"/>
        <v>48.746957540791492</v>
      </c>
      <c r="K26" s="158">
        <f t="shared" si="5"/>
        <v>48.849834376150163</v>
      </c>
      <c r="L26" s="330">
        <f t="shared" si="5"/>
        <v>49.020097990200981</v>
      </c>
    </row>
    <row r="27" spans="1:13" x14ac:dyDescent="0.25">
      <c r="A27" s="1817"/>
      <c r="B27" s="1788"/>
      <c r="C27" s="1360"/>
      <c r="D27" s="527" t="s">
        <v>282</v>
      </c>
      <c r="E27" s="158">
        <f>(E16/(E16+E10))*100</f>
        <v>49.602860218985519</v>
      </c>
      <c r="F27" s="364">
        <f t="shared" si="5"/>
        <v>50.436966924230411</v>
      </c>
      <c r="G27" s="364">
        <f t="shared" si="5"/>
        <v>51.278165303357262</v>
      </c>
      <c r="H27" s="364">
        <f t="shared" si="5"/>
        <v>51.521990422194087</v>
      </c>
      <c r="I27" s="364">
        <f t="shared" si="5"/>
        <v>51.494545321423345</v>
      </c>
      <c r="J27" s="364">
        <f t="shared" si="5"/>
        <v>51.512388320898964</v>
      </c>
      <c r="K27" s="364">
        <f t="shared" si="5"/>
        <v>51.56656078544615</v>
      </c>
      <c r="L27" s="386">
        <f t="shared" si="5"/>
        <v>51.465176386012359</v>
      </c>
    </row>
    <row r="28" spans="1:13" x14ac:dyDescent="0.25">
      <c r="A28" s="1817"/>
      <c r="B28" s="1788"/>
      <c r="C28" s="1360"/>
      <c r="D28" s="527" t="s">
        <v>288</v>
      </c>
      <c r="E28" s="364">
        <f t="shared" ref="E28:L29" si="6">(E17/(E17+E11))*100</f>
        <v>60.332062747397742</v>
      </c>
      <c r="F28" s="364">
        <f t="shared" si="6"/>
        <v>61.056228180940352</v>
      </c>
      <c r="G28" s="364">
        <f t="shared" si="6"/>
        <v>60.944458758143469</v>
      </c>
      <c r="H28" s="364">
        <f t="shared" si="6"/>
        <v>60.629949347221235</v>
      </c>
      <c r="I28" s="364">
        <f t="shared" si="6"/>
        <v>60.698988590145056</v>
      </c>
      <c r="J28" s="364">
        <f t="shared" si="6"/>
        <v>60.509508688050808</v>
      </c>
      <c r="K28" s="364">
        <f t="shared" si="6"/>
        <v>60.358600481389743</v>
      </c>
      <c r="L28" s="386">
        <f t="shared" si="6"/>
        <v>59.929376156045066</v>
      </c>
    </row>
    <row r="29" spans="1:13" ht="16.5" thickBot="1" x14ac:dyDescent="0.3">
      <c r="A29" s="1817"/>
      <c r="B29" s="1789"/>
      <c r="C29" s="1361"/>
      <c r="D29" s="538" t="s">
        <v>295</v>
      </c>
      <c r="E29" s="366">
        <f t="shared" si="6"/>
        <v>66.894865525672373</v>
      </c>
      <c r="F29" s="366">
        <f t="shared" si="6"/>
        <v>66.364734299516897</v>
      </c>
      <c r="G29" s="366">
        <f t="shared" si="6"/>
        <v>65.661515265736909</v>
      </c>
      <c r="H29" s="366">
        <f t="shared" si="6"/>
        <v>66.834216779382189</v>
      </c>
      <c r="I29" s="366">
        <f t="shared" si="6"/>
        <v>67.491299031135355</v>
      </c>
      <c r="J29" s="366">
        <f t="shared" si="6"/>
        <v>67.667793336552393</v>
      </c>
      <c r="K29" s="366">
        <f t="shared" si="6"/>
        <v>67.493356953055809</v>
      </c>
      <c r="L29" s="367">
        <f t="shared" si="6"/>
        <v>67.106291520125055</v>
      </c>
    </row>
    <row r="30" spans="1:13" ht="17.25" thickTop="1" thickBot="1" x14ac:dyDescent="0.3">
      <c r="A30" s="1783"/>
      <c r="B30" s="823" t="s">
        <v>249</v>
      </c>
      <c r="C30" s="1675"/>
      <c r="D30" s="1675"/>
      <c r="E30" s="112">
        <v>2005</v>
      </c>
      <c r="F30" s="112">
        <v>2010</v>
      </c>
      <c r="G30" s="112">
        <v>2015</v>
      </c>
      <c r="H30" s="112">
        <v>2020</v>
      </c>
      <c r="I30" s="112">
        <v>2021</v>
      </c>
      <c r="J30" s="112">
        <v>2022</v>
      </c>
      <c r="K30" s="112">
        <v>2023</v>
      </c>
      <c r="L30" s="112">
        <v>2024</v>
      </c>
      <c r="M30" s="482"/>
    </row>
    <row r="31" spans="1:13" x14ac:dyDescent="0.25">
      <c r="A31" s="1817"/>
      <c r="B31" s="1194" t="s">
        <v>570</v>
      </c>
      <c r="C31" s="1211" t="s">
        <v>272</v>
      </c>
      <c r="D31" s="1211"/>
      <c r="E31" s="919">
        <v>15858</v>
      </c>
      <c r="F31" s="919">
        <v>23064</v>
      </c>
      <c r="G31" s="919">
        <v>14958</v>
      </c>
      <c r="H31" s="919">
        <v>22171</v>
      </c>
      <c r="I31" s="919">
        <v>22907</v>
      </c>
      <c r="J31" s="919">
        <v>22713</v>
      </c>
      <c r="K31" s="919">
        <v>25935</v>
      </c>
      <c r="L31" s="82">
        <f>L32+L33</f>
        <v>30127</v>
      </c>
    </row>
    <row r="32" spans="1:13" x14ac:dyDescent="0.25">
      <c r="A32" s="1817"/>
      <c r="B32" s="1195"/>
      <c r="C32" s="1124" t="s">
        <v>257</v>
      </c>
      <c r="D32" s="1124"/>
      <c r="E32" s="181">
        <v>8418</v>
      </c>
      <c r="F32" s="181">
        <v>11553</v>
      </c>
      <c r="G32" s="181">
        <v>7080</v>
      </c>
      <c r="H32" s="181">
        <v>10365</v>
      </c>
      <c r="I32" s="181">
        <v>10739</v>
      </c>
      <c r="J32" s="181">
        <v>10620</v>
      </c>
      <c r="K32" s="181">
        <v>12162</v>
      </c>
      <c r="L32" s="199">
        <v>14291</v>
      </c>
    </row>
    <row r="33" spans="1:12" x14ac:dyDescent="0.25">
      <c r="A33" s="1817"/>
      <c r="B33" s="1195"/>
      <c r="C33" s="1124" t="s">
        <v>263</v>
      </c>
      <c r="D33" s="1124"/>
      <c r="E33" s="181">
        <v>7440</v>
      </c>
      <c r="F33" s="181">
        <v>11511</v>
      </c>
      <c r="G33" s="181">
        <v>7878</v>
      </c>
      <c r="H33" s="181">
        <v>11806</v>
      </c>
      <c r="I33" s="181">
        <v>12168</v>
      </c>
      <c r="J33" s="181">
        <v>12093</v>
      </c>
      <c r="K33" s="181">
        <v>13773</v>
      </c>
      <c r="L33" s="199">
        <v>15836</v>
      </c>
    </row>
    <row r="34" spans="1:12" x14ac:dyDescent="0.25">
      <c r="A34" s="1817"/>
      <c r="B34" s="1195"/>
      <c r="C34" s="1112" t="s">
        <v>269</v>
      </c>
      <c r="D34" s="1112"/>
      <c r="E34" s="157">
        <f>+E33-E32</f>
        <v>-978</v>
      </c>
      <c r="F34" s="157">
        <f t="shared" ref="F34:L34" si="7">+F33-F32</f>
        <v>-42</v>
      </c>
      <c r="G34" s="157">
        <f t="shared" si="7"/>
        <v>798</v>
      </c>
      <c r="H34" s="157">
        <f t="shared" si="7"/>
        <v>1441</v>
      </c>
      <c r="I34" s="157">
        <f t="shared" si="7"/>
        <v>1429</v>
      </c>
      <c r="J34" s="157">
        <f t="shared" si="7"/>
        <v>1473</v>
      </c>
      <c r="K34" s="157">
        <f t="shared" si="7"/>
        <v>1611</v>
      </c>
      <c r="L34" s="160">
        <f t="shared" si="7"/>
        <v>1545</v>
      </c>
    </row>
    <row r="35" spans="1:12" ht="16.5" thickBot="1" x14ac:dyDescent="0.3">
      <c r="A35" s="1817"/>
      <c r="B35" s="1595"/>
      <c r="C35" s="1126" t="s">
        <v>270</v>
      </c>
      <c r="D35" s="1126"/>
      <c r="E35" s="161">
        <f>E33/E31*100</f>
        <v>46.91638289822172</v>
      </c>
      <c r="F35" s="161">
        <f t="shared" ref="F35:L35" si="8">F33/F31*100</f>
        <v>49.90894901144641</v>
      </c>
      <c r="G35" s="366">
        <f t="shared" si="8"/>
        <v>52.667468912956274</v>
      </c>
      <c r="H35" s="366">
        <f t="shared" si="8"/>
        <v>53.249740652203329</v>
      </c>
      <c r="I35" s="366">
        <f t="shared" si="8"/>
        <v>53.119133889204171</v>
      </c>
      <c r="J35" s="366">
        <f t="shared" si="8"/>
        <v>53.242636375643905</v>
      </c>
      <c r="K35" s="366">
        <f t="shared" si="8"/>
        <v>53.10584152689416</v>
      </c>
      <c r="L35" s="367">
        <f t="shared" si="8"/>
        <v>52.564145118996251</v>
      </c>
    </row>
    <row r="36" spans="1:12" ht="15" customHeight="1" x14ac:dyDescent="0.25">
      <c r="A36" s="1817"/>
      <c r="B36" s="1194" t="s">
        <v>342</v>
      </c>
      <c r="C36" s="1147" t="s">
        <v>343</v>
      </c>
      <c r="D36" s="1147"/>
      <c r="E36" s="195">
        <f t="shared" ref="E36:L36" si="9">E37+E38</f>
        <v>5629</v>
      </c>
      <c r="F36" s="195">
        <f t="shared" si="9"/>
        <v>6125</v>
      </c>
      <c r="G36" s="195">
        <f t="shared" si="9"/>
        <v>6607</v>
      </c>
      <c r="H36" s="195">
        <f t="shared" si="9"/>
        <v>6844</v>
      </c>
      <c r="I36" s="195">
        <f t="shared" si="9"/>
        <v>6971</v>
      </c>
      <c r="J36" s="195">
        <f t="shared" si="9"/>
        <v>7094</v>
      </c>
      <c r="K36" s="195">
        <f t="shared" si="9"/>
        <v>7119</v>
      </c>
      <c r="L36" s="196">
        <f t="shared" si="9"/>
        <v>7347</v>
      </c>
    </row>
    <row r="37" spans="1:12" ht="15" customHeight="1" x14ac:dyDescent="0.25">
      <c r="A37" s="1817"/>
      <c r="B37" s="1195"/>
      <c r="C37" s="1110" t="s">
        <v>344</v>
      </c>
      <c r="D37" s="1110"/>
      <c r="E37" s="157">
        <v>1047</v>
      </c>
      <c r="F37" s="157">
        <v>1202</v>
      </c>
      <c r="G37" s="79">
        <v>1371</v>
      </c>
      <c r="H37" s="157">
        <v>1579</v>
      </c>
      <c r="I37" s="157">
        <v>1602</v>
      </c>
      <c r="J37" s="157">
        <v>1656</v>
      </c>
      <c r="K37" s="157">
        <v>1662</v>
      </c>
      <c r="L37" s="160">
        <v>1813</v>
      </c>
    </row>
    <row r="38" spans="1:12" x14ac:dyDescent="0.25">
      <c r="A38" s="1817"/>
      <c r="B38" s="1195"/>
      <c r="C38" s="1110" t="s">
        <v>345</v>
      </c>
      <c r="D38" s="1110"/>
      <c r="E38" s="157">
        <v>4582</v>
      </c>
      <c r="F38" s="157">
        <v>4923</v>
      </c>
      <c r="G38" s="157">
        <v>5236</v>
      </c>
      <c r="H38" s="157">
        <v>5265</v>
      </c>
      <c r="I38" s="157">
        <v>5369</v>
      </c>
      <c r="J38" s="157">
        <v>5438</v>
      </c>
      <c r="K38" s="157">
        <v>5457</v>
      </c>
      <c r="L38" s="160">
        <v>5534</v>
      </c>
    </row>
    <row r="39" spans="1:12" x14ac:dyDescent="0.25">
      <c r="A39" s="1817"/>
      <c r="B39" s="1195"/>
      <c r="C39" s="1112" t="s">
        <v>269</v>
      </c>
      <c r="D39" s="1112"/>
      <c r="E39" s="157">
        <f>E38-E37</f>
        <v>3535</v>
      </c>
      <c r="F39" s="157">
        <f t="shared" ref="F39:L39" si="10">F38-F37</f>
        <v>3721</v>
      </c>
      <c r="G39" s="157">
        <f t="shared" si="10"/>
        <v>3865</v>
      </c>
      <c r="H39" s="157">
        <f t="shared" si="10"/>
        <v>3686</v>
      </c>
      <c r="I39" s="157">
        <f t="shared" si="10"/>
        <v>3767</v>
      </c>
      <c r="J39" s="157">
        <f t="shared" si="10"/>
        <v>3782</v>
      </c>
      <c r="K39" s="157">
        <f t="shared" si="10"/>
        <v>3795</v>
      </c>
      <c r="L39" s="160">
        <f t="shared" si="10"/>
        <v>3721</v>
      </c>
    </row>
    <row r="40" spans="1:12" ht="16.5" thickBot="1" x14ac:dyDescent="0.3">
      <c r="A40" s="1817"/>
      <c r="B40" s="1755"/>
      <c r="C40" s="1178" t="s">
        <v>346</v>
      </c>
      <c r="D40" s="1178"/>
      <c r="E40" s="165">
        <f t="shared" ref="E40:L40" si="11">E38/E36*100</f>
        <v>81.39989340913128</v>
      </c>
      <c r="F40" s="165">
        <f t="shared" si="11"/>
        <v>80.375510204081635</v>
      </c>
      <c r="G40" s="165">
        <f t="shared" si="11"/>
        <v>79.24928106553655</v>
      </c>
      <c r="H40" s="165">
        <f t="shared" si="11"/>
        <v>76.928696668614847</v>
      </c>
      <c r="I40" s="165">
        <f t="shared" si="11"/>
        <v>77.019079041744362</v>
      </c>
      <c r="J40" s="165">
        <f t="shared" si="11"/>
        <v>76.656329292359743</v>
      </c>
      <c r="K40" s="165">
        <f t="shared" si="11"/>
        <v>76.654024441635059</v>
      </c>
      <c r="L40" s="166">
        <f t="shared" si="11"/>
        <v>75.323261195045603</v>
      </c>
    </row>
    <row r="41" spans="1:12" ht="15" customHeight="1" x14ac:dyDescent="0.25">
      <c r="A41" s="1817"/>
      <c r="B41" s="1194" t="s">
        <v>134</v>
      </c>
      <c r="C41" s="1206" t="s">
        <v>348</v>
      </c>
      <c r="D41" s="1206"/>
      <c r="E41" s="195">
        <f t="shared" ref="E41:L41" si="12">E42+E43</f>
        <v>1068</v>
      </c>
      <c r="F41" s="195">
        <f t="shared" si="12"/>
        <v>1547</v>
      </c>
      <c r="G41" s="195">
        <f t="shared" si="12"/>
        <v>1859</v>
      </c>
      <c r="H41" s="195">
        <f t="shared" si="12"/>
        <v>1695</v>
      </c>
      <c r="I41" s="195">
        <f t="shared" si="12"/>
        <v>1653</v>
      </c>
      <c r="J41" s="195">
        <f t="shared" si="12"/>
        <v>1671</v>
      </c>
      <c r="K41" s="195">
        <f t="shared" si="12"/>
        <v>1667</v>
      </c>
      <c r="L41" s="196">
        <f t="shared" si="12"/>
        <v>1646</v>
      </c>
    </row>
    <row r="42" spans="1:12" x14ac:dyDescent="0.25">
      <c r="A42" s="1817"/>
      <c r="B42" s="1195"/>
      <c r="C42" s="1110" t="s">
        <v>349</v>
      </c>
      <c r="D42" s="1110"/>
      <c r="E42" s="44">
        <v>201</v>
      </c>
      <c r="F42" s="44">
        <v>286</v>
      </c>
      <c r="G42" s="44">
        <v>307</v>
      </c>
      <c r="H42" s="44">
        <v>249</v>
      </c>
      <c r="I42" s="44">
        <v>243</v>
      </c>
      <c r="J42" s="44">
        <v>253</v>
      </c>
      <c r="K42" s="44">
        <v>264</v>
      </c>
      <c r="L42" s="317">
        <v>258</v>
      </c>
    </row>
    <row r="43" spans="1:12" x14ac:dyDescent="0.25">
      <c r="A43" s="1817"/>
      <c r="B43" s="1195"/>
      <c r="C43" s="1110" t="s">
        <v>350</v>
      </c>
      <c r="D43" s="1110"/>
      <c r="E43" s="44">
        <v>867</v>
      </c>
      <c r="F43" s="44">
        <v>1261</v>
      </c>
      <c r="G43" s="157">
        <v>1552</v>
      </c>
      <c r="H43" s="44">
        <v>1446</v>
      </c>
      <c r="I43" s="44">
        <v>1410</v>
      </c>
      <c r="J43" s="44">
        <v>1418</v>
      </c>
      <c r="K43" s="44">
        <v>1403</v>
      </c>
      <c r="L43" s="317">
        <v>1388</v>
      </c>
    </row>
    <row r="44" spans="1:12" x14ac:dyDescent="0.25">
      <c r="A44" s="1817"/>
      <c r="B44" s="1195"/>
      <c r="C44" s="1112" t="s">
        <v>269</v>
      </c>
      <c r="D44" s="1112"/>
      <c r="E44" s="157">
        <f>E43-E42</f>
        <v>666</v>
      </c>
      <c r="F44" s="157">
        <f t="shared" ref="F44:L44" si="13">F43-F42</f>
        <v>975</v>
      </c>
      <c r="G44" s="157">
        <f t="shared" si="13"/>
        <v>1245</v>
      </c>
      <c r="H44" s="157">
        <f t="shared" si="13"/>
        <v>1197</v>
      </c>
      <c r="I44" s="157">
        <f t="shared" si="13"/>
        <v>1167</v>
      </c>
      <c r="J44" s="157">
        <f t="shared" si="13"/>
        <v>1165</v>
      </c>
      <c r="K44" s="157">
        <f t="shared" si="13"/>
        <v>1139</v>
      </c>
      <c r="L44" s="160">
        <f t="shared" si="13"/>
        <v>1130</v>
      </c>
    </row>
    <row r="45" spans="1:12" x14ac:dyDescent="0.25">
      <c r="A45" s="1818"/>
      <c r="B45" s="1755"/>
      <c r="C45" s="1178" t="s">
        <v>351</v>
      </c>
      <c r="D45" s="1178"/>
      <c r="E45" s="165">
        <f t="shared" ref="E45:L45" si="14">E43/E41*100</f>
        <v>81.17977528089888</v>
      </c>
      <c r="F45" s="165">
        <f t="shared" si="14"/>
        <v>81.512605042016801</v>
      </c>
      <c r="G45" s="165">
        <f t="shared" si="14"/>
        <v>83.485745024206565</v>
      </c>
      <c r="H45" s="165">
        <f t="shared" si="14"/>
        <v>85.309734513274336</v>
      </c>
      <c r="I45" s="165">
        <f t="shared" si="14"/>
        <v>85.299455535390194</v>
      </c>
      <c r="J45" s="165">
        <f t="shared" si="14"/>
        <v>84.859365649311798</v>
      </c>
      <c r="K45" s="165">
        <f t="shared" si="14"/>
        <v>84.163167366526693</v>
      </c>
      <c r="L45" s="166">
        <f t="shared" si="14"/>
        <v>84.325637910085049</v>
      </c>
    </row>
    <row r="46" spans="1:12" ht="16.5" thickBot="1" x14ac:dyDescent="0.3">
      <c r="A46" s="338" t="s">
        <v>248</v>
      </c>
      <c r="B46" s="463" t="s">
        <v>249</v>
      </c>
      <c r="C46" s="1422"/>
      <c r="D46" s="1422"/>
      <c r="E46" s="616">
        <v>2005</v>
      </c>
      <c r="F46" s="616">
        <v>2010</v>
      </c>
      <c r="G46" s="616">
        <v>2015</v>
      </c>
      <c r="H46" s="616">
        <v>2020</v>
      </c>
      <c r="I46" s="616">
        <v>2021</v>
      </c>
      <c r="J46" s="616">
        <v>2022</v>
      </c>
      <c r="K46" s="616">
        <v>2023</v>
      </c>
      <c r="L46" s="616">
        <v>2024</v>
      </c>
    </row>
    <row r="47" spans="1:12" ht="15" customHeight="1" x14ac:dyDescent="0.25">
      <c r="A47" s="1906" t="s">
        <v>38</v>
      </c>
      <c r="B47" s="1683" t="s">
        <v>352</v>
      </c>
      <c r="C47" s="1147" t="s">
        <v>251</v>
      </c>
      <c r="D47" s="1147"/>
      <c r="E47" s="195">
        <v>5211</v>
      </c>
      <c r="F47" s="195">
        <v>10618</v>
      </c>
      <c r="G47" s="195">
        <v>11221</v>
      </c>
      <c r="H47" s="195">
        <v>10459</v>
      </c>
      <c r="I47" s="195">
        <v>10830</v>
      </c>
      <c r="J47" s="195">
        <v>7673</v>
      </c>
      <c r="K47" s="195">
        <v>7675</v>
      </c>
      <c r="L47" s="82">
        <v>7413</v>
      </c>
    </row>
    <row r="48" spans="1:12" x14ac:dyDescent="0.25">
      <c r="A48" s="1907"/>
      <c r="B48" s="1684"/>
      <c r="C48" s="1124" t="s">
        <v>257</v>
      </c>
      <c r="D48" s="1124"/>
      <c r="E48" s="96">
        <v>2061</v>
      </c>
      <c r="F48" s="96">
        <v>5311</v>
      </c>
      <c r="G48" s="96">
        <v>5312</v>
      </c>
      <c r="H48" s="96">
        <v>4594</v>
      </c>
      <c r="I48" s="96">
        <v>4648</v>
      </c>
      <c r="J48" s="96">
        <v>3132</v>
      </c>
      <c r="K48" s="96">
        <v>3146</v>
      </c>
      <c r="L48" s="83">
        <v>3046</v>
      </c>
    </row>
    <row r="49" spans="1:12" x14ac:dyDescent="0.25">
      <c r="A49" s="1907"/>
      <c r="B49" s="1684"/>
      <c r="C49" s="1124" t="s">
        <v>263</v>
      </c>
      <c r="D49" s="1124"/>
      <c r="E49" s="96">
        <v>3150</v>
      </c>
      <c r="F49" s="96">
        <v>5307</v>
      </c>
      <c r="G49" s="96">
        <v>5909</v>
      </c>
      <c r="H49" s="96">
        <v>5865</v>
      </c>
      <c r="I49" s="96">
        <v>6182</v>
      </c>
      <c r="J49" s="96">
        <v>4541</v>
      </c>
      <c r="K49" s="96">
        <v>4529</v>
      </c>
      <c r="L49" s="83">
        <v>4367</v>
      </c>
    </row>
    <row r="50" spans="1:12" x14ac:dyDescent="0.25">
      <c r="A50" s="1907"/>
      <c r="B50" s="1684"/>
      <c r="C50" s="1112" t="s">
        <v>353</v>
      </c>
      <c r="D50" s="1112"/>
      <c r="E50" s="157">
        <f t="shared" ref="E50:L50" si="15">+E49-E48</f>
        <v>1089</v>
      </c>
      <c r="F50" s="363">
        <f t="shared" si="15"/>
        <v>-4</v>
      </c>
      <c r="G50" s="157">
        <f t="shared" si="15"/>
        <v>597</v>
      </c>
      <c r="H50" s="157">
        <f t="shared" si="15"/>
        <v>1271</v>
      </c>
      <c r="I50" s="157">
        <f t="shared" si="15"/>
        <v>1534</v>
      </c>
      <c r="J50" s="157">
        <f t="shared" si="15"/>
        <v>1409</v>
      </c>
      <c r="K50" s="157">
        <f t="shared" si="15"/>
        <v>1383</v>
      </c>
      <c r="L50" s="160">
        <f t="shared" si="15"/>
        <v>1321</v>
      </c>
    </row>
    <row r="51" spans="1:12" ht="16.5" thickBot="1" x14ac:dyDescent="0.3">
      <c r="A51" s="1907"/>
      <c r="B51" s="1754"/>
      <c r="C51" s="1126" t="s">
        <v>270</v>
      </c>
      <c r="D51" s="1126"/>
      <c r="E51" s="161">
        <f>E49/E47*100</f>
        <v>60.449050086355783</v>
      </c>
      <c r="F51" s="366">
        <f t="shared" ref="F51:L51" si="16">F49/F47*100</f>
        <v>49.981164061028444</v>
      </c>
      <c r="G51" s="161">
        <f t="shared" si="16"/>
        <v>52.660190713840116</v>
      </c>
      <c r="H51" s="161">
        <f t="shared" si="16"/>
        <v>56.076106702361606</v>
      </c>
      <c r="I51" s="161">
        <f t="shared" si="16"/>
        <v>57.082179132040622</v>
      </c>
      <c r="J51" s="161">
        <f t="shared" si="16"/>
        <v>59.181545679655933</v>
      </c>
      <c r="K51" s="161">
        <f t="shared" si="16"/>
        <v>59.009771986970684</v>
      </c>
      <c r="L51" s="162">
        <f t="shared" si="16"/>
        <v>58.910022932685827</v>
      </c>
    </row>
    <row r="52" spans="1:12" x14ac:dyDescent="0.25">
      <c r="A52" s="1907"/>
      <c r="B52" s="1683" t="s">
        <v>146</v>
      </c>
      <c r="C52" s="1147" t="s">
        <v>251</v>
      </c>
      <c r="D52" s="1147"/>
      <c r="E52" s="40"/>
      <c r="F52" s="40"/>
      <c r="G52" s="40"/>
      <c r="H52" s="40">
        <v>10.02</v>
      </c>
      <c r="I52" s="40">
        <v>8.35</v>
      </c>
      <c r="J52" s="40">
        <v>6.97</v>
      </c>
      <c r="K52" s="40">
        <v>6.56</v>
      </c>
      <c r="L52" s="325">
        <v>6.08</v>
      </c>
    </row>
    <row r="53" spans="1:12" x14ac:dyDescent="0.25">
      <c r="A53" s="1907"/>
      <c r="B53" s="1684"/>
      <c r="C53" s="1124" t="s">
        <v>257</v>
      </c>
      <c r="D53" s="1124"/>
      <c r="E53" s="28"/>
      <c r="F53" s="28"/>
      <c r="G53" s="28"/>
      <c r="H53" s="28">
        <v>9.0299999999999994</v>
      </c>
      <c r="I53" s="28">
        <v>7.37</v>
      </c>
      <c r="J53" s="28">
        <v>5.9</v>
      </c>
      <c r="K53" s="28">
        <v>5.61</v>
      </c>
      <c r="L53" s="21">
        <v>5.4</v>
      </c>
    </row>
    <row r="54" spans="1:12" x14ac:dyDescent="0.25">
      <c r="A54" s="1907"/>
      <c r="B54" s="1684"/>
      <c r="C54" s="1223" t="s">
        <v>263</v>
      </c>
      <c r="D54" s="1223"/>
      <c r="E54" s="28"/>
      <c r="F54" s="28"/>
      <c r="G54" s="28"/>
      <c r="H54" s="44">
        <v>10.96</v>
      </c>
      <c r="I54" s="44">
        <v>9.2799999999999994</v>
      </c>
      <c r="J54" s="44">
        <v>7.97</v>
      </c>
      <c r="K54" s="44">
        <v>7.46</v>
      </c>
      <c r="L54" s="317">
        <v>6.73</v>
      </c>
    </row>
    <row r="55" spans="1:12" ht="16.5" thickBot="1" x14ac:dyDescent="0.3">
      <c r="A55" s="1907"/>
      <c r="B55" s="1754"/>
      <c r="C55" s="1225" t="s">
        <v>354</v>
      </c>
      <c r="D55" s="1225"/>
      <c r="E55" s="33"/>
      <c r="F55" s="33"/>
      <c r="G55" s="33"/>
      <c r="H55" s="34">
        <f>+H54-H53</f>
        <v>1.9300000000000015</v>
      </c>
      <c r="I55" s="34">
        <f>+I54-I53</f>
        <v>1.9099999999999993</v>
      </c>
      <c r="J55" s="34">
        <f>+J54-J53</f>
        <v>2.0699999999999994</v>
      </c>
      <c r="K55" s="34">
        <f>+K54-K53</f>
        <v>1.8499999999999996</v>
      </c>
      <c r="L55" s="35">
        <f>+L54-L53</f>
        <v>1.33</v>
      </c>
    </row>
    <row r="56" spans="1:12" x14ac:dyDescent="0.25">
      <c r="A56" s="1907"/>
      <c r="B56" s="1683" t="s">
        <v>151</v>
      </c>
      <c r="C56" s="1317" t="s">
        <v>251</v>
      </c>
      <c r="D56" s="1317"/>
      <c r="E56" s="36"/>
      <c r="F56" s="36"/>
      <c r="G56" s="36"/>
      <c r="H56" s="195">
        <v>589</v>
      </c>
      <c r="I56" s="195">
        <v>613</v>
      </c>
      <c r="J56" s="195">
        <v>750</v>
      </c>
      <c r="K56" s="195">
        <v>857</v>
      </c>
      <c r="L56" s="20"/>
    </row>
    <row r="57" spans="1:12" x14ac:dyDescent="0.25">
      <c r="A57" s="1907"/>
      <c r="B57" s="1684"/>
      <c r="C57" s="1230" t="s">
        <v>257</v>
      </c>
      <c r="D57" s="1230"/>
      <c r="E57" s="28"/>
      <c r="F57" s="28"/>
      <c r="G57" s="28"/>
      <c r="H57" s="96">
        <v>216</v>
      </c>
      <c r="I57" s="96">
        <v>203</v>
      </c>
      <c r="J57" s="96">
        <v>249</v>
      </c>
      <c r="K57" s="96">
        <v>328</v>
      </c>
      <c r="L57" s="21"/>
    </row>
    <row r="58" spans="1:12" x14ac:dyDescent="0.25">
      <c r="A58" s="1907"/>
      <c r="B58" s="1684"/>
      <c r="C58" s="1124" t="s">
        <v>263</v>
      </c>
      <c r="D58" s="1124"/>
      <c r="E58" s="28"/>
      <c r="F58" s="28"/>
      <c r="G58" s="28"/>
      <c r="H58" s="96">
        <v>373</v>
      </c>
      <c r="I58" s="96">
        <v>410</v>
      </c>
      <c r="J58" s="96">
        <v>501</v>
      </c>
      <c r="K58" s="96">
        <v>529</v>
      </c>
      <c r="L58" s="21"/>
    </row>
    <row r="59" spans="1:12" x14ac:dyDescent="0.25">
      <c r="A59" s="1907"/>
      <c r="B59" s="1684"/>
      <c r="C59" s="1112" t="s">
        <v>353</v>
      </c>
      <c r="D59" s="1112"/>
      <c r="E59" s="28"/>
      <c r="F59" s="28"/>
      <c r="G59" s="28"/>
      <c r="H59" s="44">
        <f>+H58-H57</f>
        <v>157</v>
      </c>
      <c r="I59" s="44">
        <f>+I58-I57</f>
        <v>207</v>
      </c>
      <c r="J59" s="44">
        <f>+J58-J57</f>
        <v>252</v>
      </c>
      <c r="K59" s="44">
        <f>+K58-K57</f>
        <v>201</v>
      </c>
      <c r="L59" s="21"/>
    </row>
    <row r="60" spans="1:12" ht="16.5" thickBot="1" x14ac:dyDescent="0.3">
      <c r="A60" s="1907"/>
      <c r="B60" s="1754"/>
      <c r="C60" s="1126" t="s">
        <v>270</v>
      </c>
      <c r="D60" s="1126"/>
      <c r="E60" s="33"/>
      <c r="F60" s="33"/>
      <c r="G60" s="33"/>
      <c r="H60" s="161">
        <f>H58/H56*100</f>
        <v>63.327674023769099</v>
      </c>
      <c r="I60" s="161">
        <f>I58/I56*100</f>
        <v>66.884176182707989</v>
      </c>
      <c r="J60" s="161">
        <f>J58/J56*100</f>
        <v>66.8</v>
      </c>
      <c r="K60" s="161">
        <f>K58/K56*100</f>
        <v>61.726954492415395</v>
      </c>
      <c r="L60" s="22"/>
    </row>
    <row r="61" spans="1:12" ht="16.5" thickBot="1" x14ac:dyDescent="0.3">
      <c r="A61" s="1220"/>
      <c r="B61" s="823" t="s">
        <v>249</v>
      </c>
      <c r="C61" s="1675"/>
      <c r="D61" s="1675"/>
      <c r="E61" s="112"/>
      <c r="F61" s="112">
        <v>2011</v>
      </c>
      <c r="G61" s="112"/>
      <c r="H61" s="112"/>
      <c r="I61" s="112">
        <v>2021</v>
      </c>
      <c r="J61" s="112"/>
      <c r="K61" s="112"/>
      <c r="L61" s="616">
        <v>2024</v>
      </c>
    </row>
    <row r="62" spans="1:12" x14ac:dyDescent="0.25">
      <c r="A62" s="1907"/>
      <c r="B62" s="1906" t="s">
        <v>156</v>
      </c>
      <c r="C62" s="1347" t="s">
        <v>355</v>
      </c>
      <c r="D62" s="207" t="s">
        <v>251</v>
      </c>
      <c r="E62" s="612"/>
      <c r="F62" s="81">
        <v>65570</v>
      </c>
      <c r="G62" s="103"/>
      <c r="H62" s="103"/>
      <c r="I62" s="81">
        <v>68949</v>
      </c>
      <c r="J62" s="36"/>
      <c r="K62" s="36"/>
      <c r="L62" s="20"/>
    </row>
    <row r="63" spans="1:12" ht="15" customHeight="1" x14ac:dyDescent="0.25">
      <c r="A63" s="1907"/>
      <c r="B63" s="1907"/>
      <c r="C63" s="1348"/>
      <c r="D63" s="28" t="s">
        <v>257</v>
      </c>
      <c r="E63" s="94"/>
      <c r="F63" s="80">
        <v>34140</v>
      </c>
      <c r="G63" s="95"/>
      <c r="H63" s="95"/>
      <c r="I63" s="80">
        <v>34710</v>
      </c>
      <c r="J63" s="28"/>
      <c r="K63" s="28"/>
      <c r="L63" s="21"/>
    </row>
    <row r="64" spans="1:12" ht="16.5" thickBot="1" x14ac:dyDescent="0.3">
      <c r="A64" s="1907"/>
      <c r="B64" s="1907"/>
      <c r="C64" s="1349"/>
      <c r="D64" s="33" t="s">
        <v>263</v>
      </c>
      <c r="E64" s="104"/>
      <c r="F64" s="267">
        <v>31430</v>
      </c>
      <c r="G64" s="468"/>
      <c r="H64" s="468"/>
      <c r="I64" s="267">
        <v>34239</v>
      </c>
      <c r="J64" s="33"/>
      <c r="K64" s="33"/>
      <c r="L64" s="22"/>
    </row>
    <row r="65" spans="1:12" hidden="1" x14ac:dyDescent="0.25">
      <c r="A65" s="1907"/>
      <c r="B65" s="1220"/>
      <c r="C65" s="1535" t="s">
        <v>356</v>
      </c>
      <c r="D65" s="241" t="s">
        <v>251</v>
      </c>
      <c r="E65" s="242"/>
      <c r="F65" s="243">
        <v>395</v>
      </c>
      <c r="G65" s="467"/>
      <c r="H65" s="467"/>
      <c r="I65" s="220"/>
      <c r="J65" s="122"/>
      <c r="K65" s="122"/>
      <c r="L65" s="122"/>
    </row>
    <row r="66" spans="1:12" hidden="1" x14ac:dyDescent="0.25">
      <c r="A66" s="1907"/>
      <c r="B66" s="1220"/>
      <c r="C66" s="1117"/>
      <c r="D66" s="28" t="s">
        <v>257</v>
      </c>
      <c r="E66" s="94"/>
      <c r="F66" s="80">
        <v>355</v>
      </c>
      <c r="G66" s="95"/>
      <c r="H66" s="95"/>
      <c r="I66" s="96"/>
      <c r="J66" s="28"/>
      <c r="K66" s="28"/>
      <c r="L66" s="28"/>
    </row>
    <row r="67" spans="1:12" hidden="1" x14ac:dyDescent="0.25">
      <c r="A67" s="1907"/>
      <c r="B67" s="1220"/>
      <c r="C67" s="1117"/>
      <c r="D67" s="28" t="s">
        <v>263</v>
      </c>
      <c r="E67" s="94"/>
      <c r="F67" s="80">
        <v>45</v>
      </c>
      <c r="G67" s="95"/>
      <c r="H67" s="95"/>
      <c r="I67" s="96"/>
      <c r="J67" s="28"/>
      <c r="K67" s="28"/>
      <c r="L67" s="28"/>
    </row>
    <row r="68" spans="1:12" hidden="1" x14ac:dyDescent="0.25">
      <c r="A68" s="1907"/>
      <c r="B68" s="1220"/>
      <c r="C68" s="1117"/>
      <c r="D68" s="28" t="s">
        <v>357</v>
      </c>
      <c r="E68" s="94"/>
      <c r="F68" s="97">
        <f>F67/F65*100</f>
        <v>11.39240506329114</v>
      </c>
      <c r="G68" s="94"/>
      <c r="H68" s="94"/>
      <c r="I68" s="28"/>
      <c r="J68" s="28"/>
      <c r="K68" s="28"/>
      <c r="L68" s="28"/>
    </row>
    <row r="69" spans="1:12" ht="14.85" hidden="1" customHeight="1" x14ac:dyDescent="0.25">
      <c r="A69" s="1907"/>
      <c r="B69" s="1220"/>
      <c r="C69" s="1117" t="s">
        <v>358</v>
      </c>
      <c r="D69" s="144" t="s">
        <v>251</v>
      </c>
      <c r="E69" s="94"/>
      <c r="F69" s="80">
        <v>635</v>
      </c>
      <c r="G69" s="80"/>
      <c r="H69" s="80"/>
      <c r="I69" s="80">
        <v>198</v>
      </c>
      <c r="J69" s="28"/>
      <c r="K69" s="28"/>
      <c r="L69" s="28"/>
    </row>
    <row r="70" spans="1:12" hidden="1" x14ac:dyDescent="0.25">
      <c r="A70" s="1907"/>
      <c r="B70" s="1220"/>
      <c r="C70" s="1117"/>
      <c r="D70" s="28" t="s">
        <v>257</v>
      </c>
      <c r="E70" s="94"/>
      <c r="F70" s="80">
        <v>470</v>
      </c>
      <c r="G70" s="80"/>
      <c r="H70" s="80"/>
      <c r="I70" s="80">
        <v>138</v>
      </c>
      <c r="J70" s="28"/>
      <c r="K70" s="28"/>
      <c r="L70" s="28"/>
    </row>
    <row r="71" spans="1:12" hidden="1" x14ac:dyDescent="0.25">
      <c r="A71" s="1907"/>
      <c r="B71" s="1220"/>
      <c r="C71" s="1117"/>
      <c r="D71" s="28" t="s">
        <v>263</v>
      </c>
      <c r="E71" s="94"/>
      <c r="F71" s="80">
        <v>165</v>
      </c>
      <c r="G71" s="80"/>
      <c r="H71" s="80"/>
      <c r="I71" s="80">
        <v>60</v>
      </c>
      <c r="J71" s="28"/>
      <c r="K71" s="28"/>
      <c r="L71" s="28"/>
    </row>
    <row r="72" spans="1:12" hidden="1" x14ac:dyDescent="0.25">
      <c r="A72" s="1907"/>
      <c r="B72" s="1220"/>
      <c r="C72" s="1117"/>
      <c r="D72" s="28" t="s">
        <v>357</v>
      </c>
      <c r="E72" s="94"/>
      <c r="F72" s="97">
        <f>F71/F69*100</f>
        <v>25.984251968503933</v>
      </c>
      <c r="G72" s="94"/>
      <c r="H72" s="94"/>
      <c r="I72" s="97">
        <f>I71/I69*100</f>
        <v>30.303030303030305</v>
      </c>
      <c r="J72" s="28"/>
      <c r="K72" s="28"/>
      <c r="L72" s="28"/>
    </row>
    <row r="73" spans="1:12" ht="14.85" hidden="1" customHeight="1" x14ac:dyDescent="0.25">
      <c r="A73" s="1907"/>
      <c r="B73" s="1220"/>
      <c r="C73" s="1117" t="s">
        <v>359</v>
      </c>
      <c r="D73" s="144" t="s">
        <v>251</v>
      </c>
      <c r="E73" s="94"/>
      <c r="F73" s="80">
        <v>1605</v>
      </c>
      <c r="G73" s="80"/>
      <c r="H73" s="80"/>
      <c r="I73" s="80">
        <v>1347</v>
      </c>
      <c r="J73" s="28"/>
      <c r="K73" s="28"/>
      <c r="L73" s="28"/>
    </row>
    <row r="74" spans="1:12" hidden="1" x14ac:dyDescent="0.25">
      <c r="A74" s="1907"/>
      <c r="B74" s="1220"/>
      <c r="C74" s="1117"/>
      <c r="D74" s="28" t="s">
        <v>257</v>
      </c>
      <c r="E74" s="94"/>
      <c r="F74" s="80">
        <v>995</v>
      </c>
      <c r="G74" s="80"/>
      <c r="H74" s="80"/>
      <c r="I74" s="80">
        <v>867</v>
      </c>
      <c r="J74" s="28"/>
      <c r="K74" s="28"/>
      <c r="L74" s="28"/>
    </row>
    <row r="75" spans="1:12" hidden="1" x14ac:dyDescent="0.25">
      <c r="A75" s="1907"/>
      <c r="B75" s="1220"/>
      <c r="C75" s="1117"/>
      <c r="D75" s="28" t="s">
        <v>263</v>
      </c>
      <c r="E75" s="94"/>
      <c r="F75" s="80">
        <v>610</v>
      </c>
      <c r="G75" s="80"/>
      <c r="H75" s="80"/>
      <c r="I75" s="80">
        <v>477</v>
      </c>
      <c r="J75" s="28"/>
      <c r="K75" s="28"/>
      <c r="L75" s="28"/>
    </row>
    <row r="76" spans="1:12" hidden="1" x14ac:dyDescent="0.25">
      <c r="A76" s="1907"/>
      <c r="B76" s="1220"/>
      <c r="C76" s="1117"/>
      <c r="D76" s="28" t="s">
        <v>357</v>
      </c>
      <c r="E76" s="94"/>
      <c r="F76" s="97">
        <f>F75/F73*100</f>
        <v>38.006230529595015</v>
      </c>
      <c r="G76" s="94"/>
      <c r="H76" s="94"/>
      <c r="I76" s="97">
        <f>I75/I73*100</f>
        <v>35.412026726057903</v>
      </c>
      <c r="J76" s="28"/>
      <c r="K76" s="28"/>
      <c r="L76" s="28"/>
    </row>
    <row r="77" spans="1:12" ht="14.85" hidden="1" customHeight="1" x14ac:dyDescent="0.25">
      <c r="A77" s="1907"/>
      <c r="B77" s="1220"/>
      <c r="C77" s="1117" t="s">
        <v>360</v>
      </c>
      <c r="D77" s="144" t="s">
        <v>251</v>
      </c>
      <c r="E77" s="94"/>
      <c r="F77" s="80">
        <v>2025</v>
      </c>
      <c r="G77" s="80"/>
      <c r="H77" s="80"/>
      <c r="I77" s="80">
        <v>444</v>
      </c>
      <c r="J77" s="28"/>
      <c r="K77" s="28"/>
      <c r="L77" s="28"/>
    </row>
    <row r="78" spans="1:12" hidden="1" x14ac:dyDescent="0.25">
      <c r="A78" s="1907"/>
      <c r="B78" s="1220"/>
      <c r="C78" s="1117"/>
      <c r="D78" s="28" t="s">
        <v>257</v>
      </c>
      <c r="E78" s="94"/>
      <c r="F78" s="80">
        <v>1460</v>
      </c>
      <c r="G78" s="80"/>
      <c r="H78" s="80"/>
      <c r="I78" s="80">
        <v>324</v>
      </c>
      <c r="J78" s="28"/>
      <c r="K78" s="28"/>
      <c r="L78" s="28"/>
    </row>
    <row r="79" spans="1:12" hidden="1" x14ac:dyDescent="0.25">
      <c r="A79" s="1907"/>
      <c r="B79" s="1220"/>
      <c r="C79" s="1117"/>
      <c r="D79" s="28" t="s">
        <v>263</v>
      </c>
      <c r="E79" s="94"/>
      <c r="F79" s="80">
        <v>565</v>
      </c>
      <c r="G79" s="80"/>
      <c r="H79" s="80"/>
      <c r="I79" s="80">
        <v>120</v>
      </c>
      <c r="J79" s="28"/>
      <c r="K79" s="28"/>
      <c r="L79" s="28"/>
    </row>
    <row r="80" spans="1:12" hidden="1" x14ac:dyDescent="0.25">
      <c r="A80" s="1907"/>
      <c r="B80" s="1220"/>
      <c r="C80" s="1117"/>
      <c r="D80" s="28" t="s">
        <v>357</v>
      </c>
      <c r="E80" s="94"/>
      <c r="F80" s="97">
        <f>F79/F77*100</f>
        <v>27.901234567901234</v>
      </c>
      <c r="G80" s="94"/>
      <c r="H80" s="94"/>
      <c r="I80" s="97">
        <f>I79/I77*100</f>
        <v>27.027027027027028</v>
      </c>
      <c r="J80" s="28"/>
      <c r="K80" s="28"/>
      <c r="L80" s="28"/>
    </row>
    <row r="81" spans="1:12" ht="14.85" hidden="1" customHeight="1" x14ac:dyDescent="0.25">
      <c r="A81" s="1907"/>
      <c r="B81" s="1220"/>
      <c r="C81" s="1117" t="s">
        <v>361</v>
      </c>
      <c r="D81" s="144" t="s">
        <v>251</v>
      </c>
      <c r="E81" s="94"/>
      <c r="F81" s="80">
        <v>315</v>
      </c>
      <c r="G81" s="80"/>
      <c r="H81" s="80"/>
      <c r="I81" s="80">
        <v>375</v>
      </c>
      <c r="J81" s="28"/>
      <c r="K81" s="28"/>
      <c r="L81" s="28"/>
    </row>
    <row r="82" spans="1:12" hidden="1" x14ac:dyDescent="0.25">
      <c r="A82" s="1907"/>
      <c r="B82" s="1220"/>
      <c r="C82" s="1117"/>
      <c r="D82" s="28" t="s">
        <v>257</v>
      </c>
      <c r="E82" s="94"/>
      <c r="F82" s="80">
        <v>240</v>
      </c>
      <c r="G82" s="80"/>
      <c r="H82" s="80"/>
      <c r="I82" s="80">
        <v>246</v>
      </c>
      <c r="J82" s="28"/>
      <c r="K82" s="28"/>
      <c r="L82" s="28"/>
    </row>
    <row r="83" spans="1:12" hidden="1" x14ac:dyDescent="0.25">
      <c r="A83" s="1907"/>
      <c r="B83" s="1220"/>
      <c r="C83" s="1117"/>
      <c r="D83" s="28" t="s">
        <v>263</v>
      </c>
      <c r="E83" s="94"/>
      <c r="F83" s="80">
        <v>70</v>
      </c>
      <c r="G83" s="80"/>
      <c r="H83" s="80"/>
      <c r="I83" s="80">
        <v>129</v>
      </c>
      <c r="J83" s="28"/>
      <c r="K83" s="28"/>
      <c r="L83" s="28"/>
    </row>
    <row r="84" spans="1:12" hidden="1" x14ac:dyDescent="0.25">
      <c r="A84" s="1907"/>
      <c r="B84" s="1220"/>
      <c r="C84" s="1117"/>
      <c r="D84" s="28" t="s">
        <v>357</v>
      </c>
      <c r="E84" s="94"/>
      <c r="F84" s="97">
        <f>(F83/F81)*100</f>
        <v>22.222222222222221</v>
      </c>
      <c r="G84" s="94"/>
      <c r="H84" s="94"/>
      <c r="I84" s="97">
        <f>I83/I81*100</f>
        <v>34.4</v>
      </c>
      <c r="J84" s="28"/>
      <c r="K84" s="28"/>
      <c r="L84" s="28"/>
    </row>
    <row r="85" spans="1:12" ht="14.85" hidden="1" customHeight="1" x14ac:dyDescent="0.25">
      <c r="A85" s="1907"/>
      <c r="B85" s="1220"/>
      <c r="C85" s="1117" t="s">
        <v>362</v>
      </c>
      <c r="D85" s="144" t="s">
        <v>251</v>
      </c>
      <c r="E85" s="94"/>
      <c r="F85" s="80">
        <v>230</v>
      </c>
      <c r="G85" s="80"/>
      <c r="H85" s="80"/>
      <c r="I85" s="80">
        <v>420</v>
      </c>
      <c r="J85" s="28"/>
      <c r="K85" s="28"/>
      <c r="L85" s="28"/>
    </row>
    <row r="86" spans="1:12" ht="15" hidden="1" customHeight="1" x14ac:dyDescent="0.25">
      <c r="A86" s="1907"/>
      <c r="B86" s="1220"/>
      <c r="C86" s="1117"/>
      <c r="D86" s="28" t="s">
        <v>257</v>
      </c>
      <c r="E86" s="94"/>
      <c r="F86" s="80">
        <v>160</v>
      </c>
      <c r="G86" s="80"/>
      <c r="H86" s="80"/>
      <c r="I86" s="80">
        <v>276</v>
      </c>
      <c r="J86" s="28"/>
      <c r="K86" s="28"/>
      <c r="L86" s="28"/>
    </row>
    <row r="87" spans="1:12" hidden="1" x14ac:dyDescent="0.25">
      <c r="A87" s="1907"/>
      <c r="B87" s="1220"/>
      <c r="C87" s="1117"/>
      <c r="D87" s="28" t="s">
        <v>263</v>
      </c>
      <c r="E87" s="94"/>
      <c r="F87" s="80">
        <v>70</v>
      </c>
      <c r="G87" s="80"/>
      <c r="H87" s="80"/>
      <c r="I87" s="80">
        <v>141</v>
      </c>
      <c r="J87" s="28"/>
      <c r="K87" s="28"/>
      <c r="L87" s="28"/>
    </row>
    <row r="88" spans="1:12" hidden="1" x14ac:dyDescent="0.25">
      <c r="A88" s="1907"/>
      <c r="B88" s="1220"/>
      <c r="C88" s="1117"/>
      <c r="D88" s="28" t="s">
        <v>357</v>
      </c>
      <c r="E88" s="94"/>
      <c r="F88" s="97">
        <f>(F87/F85)*100</f>
        <v>30.434782608695656</v>
      </c>
      <c r="G88" s="94"/>
      <c r="H88" s="94"/>
      <c r="I88" s="97">
        <f>I87/I85*100</f>
        <v>33.571428571428569</v>
      </c>
      <c r="J88" s="28"/>
      <c r="K88" s="28"/>
      <c r="L88" s="28"/>
    </row>
    <row r="89" spans="1:12" hidden="1" x14ac:dyDescent="0.25">
      <c r="A89" s="1907"/>
      <c r="B89" s="1220"/>
      <c r="C89" s="1117" t="s">
        <v>363</v>
      </c>
      <c r="D89" s="144" t="s">
        <v>251</v>
      </c>
      <c r="E89" s="94"/>
      <c r="F89" s="80">
        <v>1840</v>
      </c>
      <c r="G89" s="80"/>
      <c r="H89" s="80"/>
      <c r="I89" s="80">
        <v>2361</v>
      </c>
      <c r="J89" s="28"/>
      <c r="K89" s="28"/>
      <c r="L89" s="28"/>
    </row>
    <row r="90" spans="1:12" hidden="1" x14ac:dyDescent="0.25">
      <c r="A90" s="1907"/>
      <c r="B90" s="1220"/>
      <c r="C90" s="1117"/>
      <c r="D90" s="28" t="s">
        <v>257</v>
      </c>
      <c r="E90" s="94"/>
      <c r="F90" s="80">
        <v>345</v>
      </c>
      <c r="G90" s="80"/>
      <c r="H90" s="80"/>
      <c r="I90" s="80">
        <v>534</v>
      </c>
      <c r="J90" s="28"/>
      <c r="K90" s="28"/>
      <c r="L90" s="28"/>
    </row>
    <row r="91" spans="1:12" hidden="1" x14ac:dyDescent="0.25">
      <c r="A91" s="1907"/>
      <c r="B91" s="1220"/>
      <c r="C91" s="1117"/>
      <c r="D91" s="28" t="s">
        <v>263</v>
      </c>
      <c r="E91" s="94"/>
      <c r="F91" s="80">
        <v>1500</v>
      </c>
      <c r="G91" s="80"/>
      <c r="H91" s="80"/>
      <c r="I91" s="80">
        <v>1827</v>
      </c>
      <c r="J91" s="28"/>
      <c r="K91" s="28"/>
      <c r="L91" s="28"/>
    </row>
    <row r="92" spans="1:12" hidden="1" x14ac:dyDescent="0.25">
      <c r="A92" s="1907"/>
      <c r="B92" s="1220"/>
      <c r="C92" s="1117"/>
      <c r="D92" s="28" t="s">
        <v>357</v>
      </c>
      <c r="E92" s="94"/>
      <c r="F92" s="99">
        <f>(F91/F89)*100</f>
        <v>81.521739130434781</v>
      </c>
      <c r="G92" s="94"/>
      <c r="H92" s="94"/>
      <c r="I92" s="99">
        <f>I91/I89*100</f>
        <v>77.382465057179161</v>
      </c>
      <c r="J92" s="28"/>
      <c r="K92" s="28"/>
      <c r="L92" s="28"/>
    </row>
    <row r="93" spans="1:12" ht="14.85" hidden="1" customHeight="1" x14ac:dyDescent="0.25">
      <c r="A93" s="1907"/>
      <c r="B93" s="1220"/>
      <c r="C93" s="1117" t="s">
        <v>364</v>
      </c>
      <c r="D93" s="144" t="s">
        <v>251</v>
      </c>
      <c r="E93" s="94"/>
      <c r="F93" s="80">
        <v>2740</v>
      </c>
      <c r="G93" s="80"/>
      <c r="H93" s="80"/>
      <c r="I93" s="80">
        <v>2622</v>
      </c>
      <c r="J93" s="28"/>
      <c r="K93" s="28"/>
      <c r="L93" s="28"/>
    </row>
    <row r="94" spans="1:12" ht="14.85" hidden="1" customHeight="1" x14ac:dyDescent="0.25">
      <c r="A94" s="1907"/>
      <c r="B94" s="1220"/>
      <c r="C94" s="1117"/>
      <c r="D94" s="28" t="s">
        <v>257</v>
      </c>
      <c r="E94" s="94"/>
      <c r="F94" s="80">
        <v>915</v>
      </c>
      <c r="G94" s="80"/>
      <c r="H94" s="80"/>
      <c r="I94" s="80">
        <v>795</v>
      </c>
      <c r="J94" s="28"/>
      <c r="K94" s="28"/>
      <c r="L94" s="28"/>
    </row>
    <row r="95" spans="1:12" hidden="1" x14ac:dyDescent="0.25">
      <c r="A95" s="1907"/>
      <c r="B95" s="1220"/>
      <c r="C95" s="1117"/>
      <c r="D95" s="28" t="s">
        <v>263</v>
      </c>
      <c r="E95" s="94"/>
      <c r="F95" s="80">
        <v>1825</v>
      </c>
      <c r="G95" s="80"/>
      <c r="H95" s="80"/>
      <c r="I95" s="80">
        <v>1827</v>
      </c>
      <c r="J95" s="28"/>
      <c r="K95" s="28"/>
      <c r="L95" s="28"/>
    </row>
    <row r="96" spans="1:12" hidden="1" x14ac:dyDescent="0.25">
      <c r="A96" s="1907"/>
      <c r="B96" s="1220"/>
      <c r="C96" s="1117"/>
      <c r="D96" s="28" t="s">
        <v>357</v>
      </c>
      <c r="E96" s="94"/>
      <c r="F96" s="99">
        <f>(F95/F93)*100</f>
        <v>66.605839416058402</v>
      </c>
      <c r="G96" s="94"/>
      <c r="H96" s="94"/>
      <c r="I96" s="99">
        <f>I95/I93*100</f>
        <v>69.679633867276891</v>
      </c>
      <c r="J96" s="28"/>
      <c r="K96" s="28"/>
      <c r="L96" s="28"/>
    </row>
    <row r="97" spans="1:12" ht="14.85" hidden="1" customHeight="1" x14ac:dyDescent="0.25">
      <c r="A97" s="1907"/>
      <c r="B97" s="1220"/>
      <c r="C97" s="1117" t="s">
        <v>365</v>
      </c>
      <c r="D97" s="144" t="s">
        <v>251</v>
      </c>
      <c r="E97" s="94"/>
      <c r="F97" s="80">
        <v>310</v>
      </c>
      <c r="G97" s="80"/>
      <c r="H97" s="80"/>
      <c r="I97" s="80">
        <v>702</v>
      </c>
      <c r="J97" s="28"/>
      <c r="K97" s="28"/>
      <c r="L97" s="28"/>
    </row>
    <row r="98" spans="1:12" hidden="1" x14ac:dyDescent="0.25">
      <c r="A98" s="1907"/>
      <c r="B98" s="1220"/>
      <c r="C98" s="1117"/>
      <c r="D98" s="28" t="s">
        <v>257</v>
      </c>
      <c r="E98" s="94"/>
      <c r="F98" s="80">
        <v>150</v>
      </c>
      <c r="G98" s="80"/>
      <c r="H98" s="80"/>
      <c r="I98" s="80">
        <v>270</v>
      </c>
      <c r="J98" s="28"/>
      <c r="K98" s="28"/>
      <c r="L98" s="28"/>
    </row>
    <row r="99" spans="1:12" hidden="1" x14ac:dyDescent="0.25">
      <c r="A99" s="1907"/>
      <c r="B99" s="1220"/>
      <c r="C99" s="1117"/>
      <c r="D99" s="28" t="s">
        <v>263</v>
      </c>
      <c r="E99" s="94"/>
      <c r="F99" s="80">
        <v>160</v>
      </c>
      <c r="G99" s="80"/>
      <c r="H99" s="80"/>
      <c r="I99" s="80">
        <v>432</v>
      </c>
      <c r="J99" s="28"/>
      <c r="K99" s="28"/>
      <c r="L99" s="28"/>
    </row>
    <row r="100" spans="1:12" hidden="1" x14ac:dyDescent="0.25">
      <c r="A100" s="1907"/>
      <c r="B100" s="1220"/>
      <c r="C100" s="1117"/>
      <c r="D100" s="28" t="s">
        <v>357</v>
      </c>
      <c r="E100" s="94"/>
      <c r="F100" s="98">
        <f>F99/F97*100</f>
        <v>51.612903225806448</v>
      </c>
      <c r="G100" s="94"/>
      <c r="H100" s="94"/>
      <c r="I100" s="99">
        <f>I99/I97*100</f>
        <v>61.53846153846154</v>
      </c>
      <c r="J100" s="28"/>
      <c r="K100" s="28"/>
      <c r="L100" s="28"/>
    </row>
    <row r="101" spans="1:12" ht="14.85" hidden="1" customHeight="1" x14ac:dyDescent="0.25">
      <c r="A101" s="1907"/>
      <c r="B101" s="1220"/>
      <c r="C101" s="1117" t="s">
        <v>366</v>
      </c>
      <c r="D101" s="144" t="s">
        <v>251</v>
      </c>
      <c r="E101" s="94"/>
      <c r="F101" s="80">
        <v>2980</v>
      </c>
      <c r="G101" s="80"/>
      <c r="H101" s="80"/>
      <c r="I101" s="80">
        <v>2538</v>
      </c>
      <c r="J101" s="28"/>
      <c r="K101" s="28"/>
      <c r="L101" s="28"/>
    </row>
    <row r="102" spans="1:12" hidden="1" x14ac:dyDescent="0.25">
      <c r="A102" s="1907"/>
      <c r="B102" s="1220"/>
      <c r="C102" s="1117"/>
      <c r="D102" s="28" t="s">
        <v>257</v>
      </c>
      <c r="E102" s="94"/>
      <c r="F102" s="80">
        <v>2100</v>
      </c>
      <c r="G102" s="80"/>
      <c r="H102" s="80"/>
      <c r="I102" s="80">
        <v>1704</v>
      </c>
      <c r="J102" s="28"/>
      <c r="K102" s="28"/>
      <c r="L102" s="28"/>
    </row>
    <row r="103" spans="1:12" hidden="1" x14ac:dyDescent="0.25">
      <c r="A103" s="1907"/>
      <c r="B103" s="1220"/>
      <c r="C103" s="1117"/>
      <c r="D103" s="28" t="s">
        <v>263</v>
      </c>
      <c r="E103" s="94"/>
      <c r="F103" s="80">
        <v>875</v>
      </c>
      <c r="G103" s="80"/>
      <c r="H103" s="80"/>
      <c r="I103" s="80">
        <v>831</v>
      </c>
      <c r="J103" s="28"/>
      <c r="K103" s="28"/>
      <c r="L103" s="28"/>
    </row>
    <row r="104" spans="1:12" hidden="1" x14ac:dyDescent="0.25">
      <c r="A104" s="1907"/>
      <c r="B104" s="1220"/>
      <c r="C104" s="1117"/>
      <c r="D104" s="28" t="s">
        <v>357</v>
      </c>
      <c r="E104" s="94"/>
      <c r="F104" s="97">
        <f>(F103/F101)*100</f>
        <v>29.36241610738255</v>
      </c>
      <c r="G104" s="94"/>
      <c r="H104" s="94"/>
      <c r="I104" s="97">
        <f>I103/I101*100</f>
        <v>32.742316784869971</v>
      </c>
      <c r="J104" s="28"/>
      <c r="K104" s="28"/>
      <c r="L104" s="28"/>
    </row>
    <row r="105" spans="1:12" hidden="1" x14ac:dyDescent="0.25">
      <c r="A105" s="1907"/>
      <c r="B105" s="1220"/>
      <c r="C105" s="1117" t="s">
        <v>367</v>
      </c>
      <c r="D105" s="144" t="s">
        <v>251</v>
      </c>
      <c r="E105" s="94"/>
      <c r="F105" s="80">
        <v>485</v>
      </c>
      <c r="G105" s="80"/>
      <c r="H105" s="80"/>
      <c r="I105" s="80">
        <v>678</v>
      </c>
      <c r="J105" s="96"/>
      <c r="K105" s="28"/>
      <c r="L105" s="28"/>
    </row>
    <row r="106" spans="1:12" hidden="1" x14ac:dyDescent="0.25">
      <c r="A106" s="1907"/>
      <c r="B106" s="1220"/>
      <c r="C106" s="1117"/>
      <c r="D106" s="28" t="s">
        <v>257</v>
      </c>
      <c r="E106" s="94"/>
      <c r="F106" s="80">
        <v>245</v>
      </c>
      <c r="G106" s="80"/>
      <c r="H106" s="80"/>
      <c r="I106" s="80">
        <v>279</v>
      </c>
      <c r="J106" s="96"/>
      <c r="K106" s="28"/>
      <c r="L106" s="28"/>
    </row>
    <row r="107" spans="1:12" hidden="1" x14ac:dyDescent="0.25">
      <c r="A107" s="1907"/>
      <c r="B107" s="1220"/>
      <c r="C107" s="1117"/>
      <c r="D107" s="28" t="s">
        <v>263</v>
      </c>
      <c r="E107" s="94"/>
      <c r="F107" s="80">
        <v>240</v>
      </c>
      <c r="G107" s="80"/>
      <c r="H107" s="80"/>
      <c r="I107" s="80">
        <v>402</v>
      </c>
      <c r="J107" s="96"/>
      <c r="K107" s="28"/>
      <c r="L107" s="28"/>
    </row>
    <row r="108" spans="1:12" hidden="1" x14ac:dyDescent="0.25">
      <c r="A108" s="1907"/>
      <c r="B108" s="1220"/>
      <c r="C108" s="1117"/>
      <c r="D108" s="28" t="s">
        <v>357</v>
      </c>
      <c r="E108" s="94"/>
      <c r="F108" s="98">
        <f>(F107/F105)*100</f>
        <v>49.484536082474229</v>
      </c>
      <c r="G108" s="94"/>
      <c r="H108" s="94"/>
      <c r="I108" s="98">
        <f>I107/I105*100</f>
        <v>59.292035398230091</v>
      </c>
      <c r="J108" s="96"/>
      <c r="K108" s="28"/>
      <c r="L108" s="28"/>
    </row>
    <row r="109" spans="1:12" ht="14.85" hidden="1" customHeight="1" x14ac:dyDescent="0.25">
      <c r="A109" s="1907"/>
      <c r="B109" s="1220"/>
      <c r="C109" s="1117" t="s">
        <v>368</v>
      </c>
      <c r="D109" s="144" t="s">
        <v>251</v>
      </c>
      <c r="E109" s="94"/>
      <c r="F109" s="80">
        <v>1610</v>
      </c>
      <c r="G109" s="80"/>
      <c r="H109" s="80"/>
      <c r="I109" s="80">
        <v>2703</v>
      </c>
      <c r="J109" s="96"/>
      <c r="K109" s="28"/>
      <c r="L109" s="28"/>
    </row>
    <row r="110" spans="1:12" hidden="1" x14ac:dyDescent="0.25">
      <c r="A110" s="1907"/>
      <c r="B110" s="1220"/>
      <c r="C110" s="1117"/>
      <c r="D110" s="28" t="s">
        <v>257</v>
      </c>
      <c r="E110" s="94"/>
      <c r="F110" s="80">
        <v>650</v>
      </c>
      <c r="G110" s="80"/>
      <c r="H110" s="80"/>
      <c r="I110" s="80">
        <v>1257</v>
      </c>
      <c r="J110" s="96"/>
      <c r="K110" s="28"/>
      <c r="L110" s="28"/>
    </row>
    <row r="111" spans="1:12" hidden="1" x14ac:dyDescent="0.25">
      <c r="A111" s="1907"/>
      <c r="B111" s="1220"/>
      <c r="C111" s="1117"/>
      <c r="D111" s="28" t="s">
        <v>263</v>
      </c>
      <c r="E111" s="94"/>
      <c r="F111" s="80">
        <v>960</v>
      </c>
      <c r="G111" s="80"/>
      <c r="H111" s="80"/>
      <c r="I111" s="80">
        <v>1446</v>
      </c>
      <c r="J111" s="96"/>
      <c r="K111" s="28"/>
      <c r="L111" s="28"/>
    </row>
    <row r="112" spans="1:12" hidden="1" x14ac:dyDescent="0.25">
      <c r="A112" s="1907"/>
      <c r="B112" s="1220"/>
      <c r="C112" s="1117"/>
      <c r="D112" s="28" t="s">
        <v>357</v>
      </c>
      <c r="E112" s="94"/>
      <c r="F112" s="98">
        <f>(F111/F109)*100</f>
        <v>59.627329192546583</v>
      </c>
      <c r="G112" s="94"/>
      <c r="H112" s="94"/>
      <c r="I112" s="98">
        <f>I111/I109*100</f>
        <v>53.496115427302996</v>
      </c>
      <c r="J112" s="96"/>
      <c r="K112" s="28"/>
      <c r="L112" s="28"/>
    </row>
    <row r="113" spans="1:12" ht="14.85" hidden="1" customHeight="1" x14ac:dyDescent="0.25">
      <c r="A113" s="1907"/>
      <c r="B113" s="1220"/>
      <c r="C113" s="1117" t="s">
        <v>369</v>
      </c>
      <c r="D113" s="144" t="s">
        <v>251</v>
      </c>
      <c r="E113" s="94"/>
      <c r="F113" s="80">
        <v>1270</v>
      </c>
      <c r="G113" s="80"/>
      <c r="H113" s="80"/>
      <c r="I113" s="80">
        <v>2094</v>
      </c>
      <c r="J113" s="96"/>
      <c r="K113" s="28"/>
      <c r="L113" s="28"/>
    </row>
    <row r="114" spans="1:12" hidden="1" x14ac:dyDescent="0.25">
      <c r="A114" s="1907"/>
      <c r="B114" s="1220"/>
      <c r="C114" s="1117"/>
      <c r="D114" s="28" t="s">
        <v>257</v>
      </c>
      <c r="E114" s="94"/>
      <c r="F114" s="80">
        <v>915</v>
      </c>
      <c r="G114" s="80"/>
      <c r="H114" s="80"/>
      <c r="I114" s="80">
        <v>1500</v>
      </c>
      <c r="J114" s="96"/>
      <c r="K114" s="28"/>
      <c r="L114" s="28"/>
    </row>
    <row r="115" spans="1:12" hidden="1" x14ac:dyDescent="0.25">
      <c r="A115" s="1907"/>
      <c r="B115" s="1220"/>
      <c r="C115" s="1117"/>
      <c r="D115" s="28" t="s">
        <v>263</v>
      </c>
      <c r="E115" s="94"/>
      <c r="F115" s="80">
        <v>355</v>
      </c>
      <c r="G115" s="80"/>
      <c r="H115" s="80"/>
      <c r="I115" s="80">
        <v>594</v>
      </c>
      <c r="J115" s="96"/>
      <c r="K115" s="28"/>
      <c r="L115" s="28"/>
    </row>
    <row r="116" spans="1:12" hidden="1" x14ac:dyDescent="0.25">
      <c r="A116" s="1907"/>
      <c r="B116" s="1220"/>
      <c r="C116" s="1117"/>
      <c r="D116" s="28" t="s">
        <v>357</v>
      </c>
      <c r="E116" s="94"/>
      <c r="F116" s="97">
        <f>(F115/F113)*100</f>
        <v>27.952755905511811</v>
      </c>
      <c r="G116" s="94"/>
      <c r="H116" s="94"/>
      <c r="I116" s="97">
        <f>I115/I113*100</f>
        <v>28.366762177650429</v>
      </c>
      <c r="J116" s="96"/>
      <c r="K116" s="28"/>
      <c r="L116" s="28"/>
    </row>
    <row r="117" spans="1:12" ht="14.85" hidden="1" customHeight="1" x14ac:dyDescent="0.25">
      <c r="A117" s="1907"/>
      <c r="B117" s="1220"/>
      <c r="C117" s="1117" t="s">
        <v>370</v>
      </c>
      <c r="D117" s="144" t="s">
        <v>251</v>
      </c>
      <c r="E117" s="94"/>
      <c r="F117" s="80">
        <v>1040</v>
      </c>
      <c r="G117" s="80"/>
      <c r="H117" s="80"/>
      <c r="I117" s="80">
        <v>675</v>
      </c>
      <c r="J117" s="96"/>
      <c r="K117" s="28"/>
      <c r="L117" s="28"/>
    </row>
    <row r="118" spans="1:12" hidden="1" x14ac:dyDescent="0.25">
      <c r="A118" s="1907"/>
      <c r="B118" s="1220"/>
      <c r="C118" s="1117"/>
      <c r="D118" s="28" t="s">
        <v>257</v>
      </c>
      <c r="E118" s="94"/>
      <c r="F118" s="80">
        <v>430</v>
      </c>
      <c r="G118" s="80"/>
      <c r="H118" s="80"/>
      <c r="I118" s="80">
        <v>180</v>
      </c>
      <c r="J118" s="96"/>
      <c r="K118" s="28"/>
      <c r="L118" s="28"/>
    </row>
    <row r="119" spans="1:12" hidden="1" x14ac:dyDescent="0.25">
      <c r="A119" s="1907"/>
      <c r="B119" s="1220"/>
      <c r="C119" s="1117"/>
      <c r="D119" s="28" t="s">
        <v>263</v>
      </c>
      <c r="E119" s="94"/>
      <c r="F119" s="80">
        <v>610</v>
      </c>
      <c r="G119" s="80"/>
      <c r="H119" s="80"/>
      <c r="I119" s="80">
        <v>498</v>
      </c>
      <c r="J119" s="96"/>
      <c r="K119" s="28"/>
      <c r="L119" s="28"/>
    </row>
    <row r="120" spans="1:12" hidden="1" x14ac:dyDescent="0.25">
      <c r="A120" s="1907"/>
      <c r="B120" s="1220"/>
      <c r="C120" s="1117"/>
      <c r="D120" s="28" t="s">
        <v>357</v>
      </c>
      <c r="E120" s="94"/>
      <c r="F120" s="98">
        <f>(F119/F117)*100</f>
        <v>58.653846153846153</v>
      </c>
      <c r="G120" s="94"/>
      <c r="H120" s="94"/>
      <c r="I120" s="99">
        <f>I119/I117*100</f>
        <v>73.777777777777771</v>
      </c>
      <c r="J120" s="96"/>
      <c r="K120" s="28"/>
      <c r="L120" s="28"/>
    </row>
    <row r="121" spans="1:12" ht="14.85" hidden="1" customHeight="1" x14ac:dyDescent="0.25">
      <c r="A121" s="1907"/>
      <c r="B121" s="1220"/>
      <c r="C121" s="1117" t="s">
        <v>371</v>
      </c>
      <c r="D121" s="144" t="s">
        <v>251</v>
      </c>
      <c r="E121" s="94"/>
      <c r="F121" s="80">
        <v>15</v>
      </c>
      <c r="G121" s="80"/>
      <c r="H121" s="80"/>
      <c r="I121" s="80">
        <v>765</v>
      </c>
      <c r="J121" s="96"/>
      <c r="K121" s="28"/>
      <c r="L121" s="28"/>
    </row>
    <row r="122" spans="1:12" hidden="1" x14ac:dyDescent="0.25">
      <c r="A122" s="1907"/>
      <c r="B122" s="1220"/>
      <c r="C122" s="1117"/>
      <c r="D122" s="28" t="s">
        <v>257</v>
      </c>
      <c r="E122" s="94"/>
      <c r="F122" s="80">
        <v>0</v>
      </c>
      <c r="G122" s="80"/>
      <c r="H122" s="80"/>
      <c r="I122" s="80">
        <v>372</v>
      </c>
      <c r="J122" s="96"/>
      <c r="K122" s="28"/>
      <c r="L122" s="28"/>
    </row>
    <row r="123" spans="1:12" hidden="1" x14ac:dyDescent="0.25">
      <c r="A123" s="1907"/>
      <c r="B123" s="1220"/>
      <c r="C123" s="1117"/>
      <c r="D123" s="28" t="s">
        <v>263</v>
      </c>
      <c r="E123" s="94"/>
      <c r="F123" s="80">
        <v>15</v>
      </c>
      <c r="G123" s="80"/>
      <c r="H123" s="80"/>
      <c r="I123" s="80">
        <v>393</v>
      </c>
      <c r="J123" s="96"/>
      <c r="K123" s="28"/>
      <c r="L123" s="28"/>
    </row>
    <row r="124" spans="1:12" hidden="1" x14ac:dyDescent="0.25">
      <c r="A124" s="1907"/>
      <c r="B124" s="1220"/>
      <c r="C124" s="1117"/>
      <c r="D124" s="28" t="s">
        <v>357</v>
      </c>
      <c r="E124" s="94"/>
      <c r="F124" s="99">
        <f>(F123/F121)*100</f>
        <v>100</v>
      </c>
      <c r="G124" s="94"/>
      <c r="H124" s="94"/>
      <c r="I124" s="98">
        <f>I123/I121*100</f>
        <v>51.372549019607838</v>
      </c>
      <c r="J124" s="96"/>
      <c r="K124" s="28"/>
      <c r="L124" s="28"/>
    </row>
    <row r="125" spans="1:12" ht="14.85" hidden="1" customHeight="1" x14ac:dyDescent="0.25">
      <c r="A125" s="1907"/>
      <c r="B125" s="1220"/>
      <c r="C125" s="1117" t="s">
        <v>372</v>
      </c>
      <c r="D125" s="144" t="s">
        <v>251</v>
      </c>
      <c r="E125" s="94"/>
      <c r="F125" s="80">
        <v>1860</v>
      </c>
      <c r="G125" s="80"/>
      <c r="H125" s="80"/>
      <c r="I125" s="80">
        <v>1257</v>
      </c>
      <c r="J125" s="96"/>
      <c r="K125" s="28"/>
      <c r="L125" s="28"/>
    </row>
    <row r="126" spans="1:12" ht="14.85" hidden="1" customHeight="1" x14ac:dyDescent="0.25">
      <c r="A126" s="1907"/>
      <c r="B126" s="1220"/>
      <c r="C126" s="1117"/>
      <c r="D126" s="28" t="s">
        <v>257</v>
      </c>
      <c r="E126" s="94"/>
      <c r="F126" s="80">
        <v>1375</v>
      </c>
      <c r="G126" s="80"/>
      <c r="H126" s="80"/>
      <c r="I126" s="80">
        <v>918</v>
      </c>
      <c r="J126" s="96"/>
      <c r="K126" s="28"/>
      <c r="L126" s="28"/>
    </row>
    <row r="127" spans="1:12" hidden="1" x14ac:dyDescent="0.25">
      <c r="A127" s="1907"/>
      <c r="B127" s="1220"/>
      <c r="C127" s="1117"/>
      <c r="D127" s="28" t="s">
        <v>263</v>
      </c>
      <c r="E127" s="94"/>
      <c r="F127" s="80">
        <v>480</v>
      </c>
      <c r="G127" s="80"/>
      <c r="H127" s="80"/>
      <c r="I127" s="80">
        <v>339</v>
      </c>
      <c r="J127" s="96"/>
      <c r="K127" s="28"/>
      <c r="L127" s="28"/>
    </row>
    <row r="128" spans="1:12" hidden="1" x14ac:dyDescent="0.25">
      <c r="A128" s="1907"/>
      <c r="B128" s="1220"/>
      <c r="C128" s="1117"/>
      <c r="D128" s="28" t="s">
        <v>357</v>
      </c>
      <c r="E128" s="94"/>
      <c r="F128" s="97">
        <f>(F127/F125)*100</f>
        <v>25.806451612903224</v>
      </c>
      <c r="G128" s="94"/>
      <c r="H128" s="94"/>
      <c r="I128" s="97">
        <f>I127/I125*100</f>
        <v>26.968973747016705</v>
      </c>
      <c r="J128" s="96"/>
      <c r="K128" s="28"/>
      <c r="L128" s="28"/>
    </row>
    <row r="129" spans="1:12" ht="14.85" hidden="1" customHeight="1" x14ac:dyDescent="0.25">
      <c r="A129" s="1907"/>
      <c r="B129" s="1220"/>
      <c r="C129" s="1117" t="s">
        <v>373</v>
      </c>
      <c r="D129" s="144" t="s">
        <v>251</v>
      </c>
      <c r="E129" s="94"/>
      <c r="F129" s="80">
        <v>510</v>
      </c>
      <c r="G129" s="80"/>
      <c r="H129" s="80"/>
      <c r="I129" s="80">
        <v>210</v>
      </c>
      <c r="J129" s="96"/>
      <c r="K129" s="28"/>
      <c r="L129" s="28"/>
    </row>
    <row r="130" spans="1:12" hidden="1" x14ac:dyDescent="0.25">
      <c r="A130" s="1907"/>
      <c r="B130" s="1220"/>
      <c r="C130" s="1117"/>
      <c r="D130" s="28" t="s">
        <v>257</v>
      </c>
      <c r="E130" s="94"/>
      <c r="F130" s="80">
        <v>475</v>
      </c>
      <c r="G130" s="80"/>
      <c r="H130" s="80"/>
      <c r="I130" s="80">
        <v>186</v>
      </c>
      <c r="J130" s="96"/>
      <c r="K130" s="28"/>
      <c r="L130" s="28"/>
    </row>
    <row r="131" spans="1:12" hidden="1" x14ac:dyDescent="0.25">
      <c r="A131" s="1907"/>
      <c r="B131" s="1220"/>
      <c r="C131" s="1117"/>
      <c r="D131" s="28" t="s">
        <v>263</v>
      </c>
      <c r="E131" s="94"/>
      <c r="F131" s="80">
        <v>35</v>
      </c>
      <c r="G131" s="80"/>
      <c r="H131" s="80"/>
      <c r="I131" s="80">
        <v>27</v>
      </c>
      <c r="J131" s="96"/>
      <c r="K131" s="28"/>
      <c r="L131" s="28"/>
    </row>
    <row r="132" spans="1:12" hidden="1" x14ac:dyDescent="0.25">
      <c r="A132" s="1907"/>
      <c r="B132" s="1220"/>
      <c r="C132" s="1117"/>
      <c r="D132" s="28" t="s">
        <v>357</v>
      </c>
      <c r="E132" s="94"/>
      <c r="F132" s="97">
        <f>(F131/F129)*100</f>
        <v>6.8627450980392162</v>
      </c>
      <c r="G132" s="94"/>
      <c r="H132" s="94"/>
      <c r="I132" s="97">
        <f>I131/I129*100</f>
        <v>12.857142857142856</v>
      </c>
      <c r="J132" s="96"/>
      <c r="K132" s="28"/>
      <c r="L132" s="28"/>
    </row>
    <row r="133" spans="1:12" ht="14.85" hidden="1" customHeight="1" x14ac:dyDescent="0.25">
      <c r="A133" s="1907"/>
      <c r="B133" s="1220"/>
      <c r="C133" s="1117" t="s">
        <v>374</v>
      </c>
      <c r="D133" s="144" t="s">
        <v>251</v>
      </c>
      <c r="E133" s="94"/>
      <c r="F133" s="80">
        <v>255</v>
      </c>
      <c r="G133" s="80"/>
      <c r="H133" s="80"/>
      <c r="I133" s="80">
        <v>522</v>
      </c>
      <c r="J133" s="96"/>
      <c r="K133" s="28"/>
      <c r="L133" s="28"/>
    </row>
    <row r="134" spans="1:12" hidden="1" x14ac:dyDescent="0.25">
      <c r="A134" s="1907"/>
      <c r="B134" s="1220"/>
      <c r="C134" s="1117"/>
      <c r="D134" s="28" t="s">
        <v>257</v>
      </c>
      <c r="E134" s="94"/>
      <c r="F134" s="80">
        <v>40</v>
      </c>
      <c r="G134" s="80"/>
      <c r="H134" s="80"/>
      <c r="I134" s="80">
        <v>201</v>
      </c>
      <c r="J134" s="96"/>
      <c r="K134" s="28"/>
      <c r="L134" s="28"/>
    </row>
    <row r="135" spans="1:12" hidden="1" x14ac:dyDescent="0.25">
      <c r="A135" s="1907"/>
      <c r="B135" s="1220"/>
      <c r="C135" s="1117"/>
      <c r="D135" s="28" t="s">
        <v>263</v>
      </c>
      <c r="E135" s="94"/>
      <c r="F135" s="80">
        <v>215</v>
      </c>
      <c r="G135" s="80"/>
      <c r="H135" s="80"/>
      <c r="I135" s="80">
        <v>324</v>
      </c>
      <c r="J135" s="96"/>
      <c r="K135" s="28"/>
      <c r="L135" s="28"/>
    </row>
    <row r="136" spans="1:12" hidden="1" x14ac:dyDescent="0.25">
      <c r="A136" s="1907"/>
      <c r="B136" s="1220"/>
      <c r="C136" s="1117"/>
      <c r="D136" s="28" t="s">
        <v>357</v>
      </c>
      <c r="E136" s="94"/>
      <c r="F136" s="99">
        <f>(F135/F133)*100</f>
        <v>84.313725490196077</v>
      </c>
      <c r="G136" s="94"/>
      <c r="H136" s="94"/>
      <c r="I136" s="99">
        <f>I135/I133*100</f>
        <v>62.068965517241381</v>
      </c>
      <c r="J136" s="96"/>
      <c r="K136" s="28"/>
      <c r="L136" s="28"/>
    </row>
    <row r="137" spans="1:12" ht="14.85" hidden="1" customHeight="1" x14ac:dyDescent="0.25">
      <c r="A137" s="1907"/>
      <c r="B137" s="1220"/>
      <c r="C137" s="1117" t="s">
        <v>375</v>
      </c>
      <c r="D137" s="144" t="s">
        <v>251</v>
      </c>
      <c r="E137" s="94"/>
      <c r="F137" s="80">
        <v>150</v>
      </c>
      <c r="G137" s="80"/>
      <c r="H137" s="80"/>
      <c r="I137" s="80">
        <v>147</v>
      </c>
      <c r="J137" s="96"/>
      <c r="K137" s="28"/>
      <c r="L137" s="28"/>
    </row>
    <row r="138" spans="1:12" ht="14.85" hidden="1" customHeight="1" x14ac:dyDescent="0.25">
      <c r="A138" s="1907"/>
      <c r="B138" s="1220"/>
      <c r="C138" s="1117"/>
      <c r="D138" s="28" t="s">
        <v>257</v>
      </c>
      <c r="E138" s="94"/>
      <c r="F138" s="80">
        <v>75</v>
      </c>
      <c r="G138" s="80"/>
      <c r="H138" s="80"/>
      <c r="I138" s="80">
        <v>57</v>
      </c>
      <c r="J138" s="96"/>
      <c r="K138" s="28"/>
      <c r="L138" s="28"/>
    </row>
    <row r="139" spans="1:12" hidden="1" x14ac:dyDescent="0.25">
      <c r="A139" s="1907"/>
      <c r="B139" s="1220"/>
      <c r="C139" s="1117"/>
      <c r="D139" s="28" t="s">
        <v>263</v>
      </c>
      <c r="E139" s="94"/>
      <c r="F139" s="80">
        <v>75</v>
      </c>
      <c r="G139" s="80"/>
      <c r="H139" s="80"/>
      <c r="I139" s="80">
        <v>93</v>
      </c>
      <c r="J139" s="96"/>
      <c r="K139" s="28"/>
      <c r="L139" s="28"/>
    </row>
    <row r="140" spans="1:12" hidden="1" x14ac:dyDescent="0.25">
      <c r="A140" s="1907"/>
      <c r="B140" s="1220"/>
      <c r="C140" s="1117"/>
      <c r="D140" s="28" t="s">
        <v>357</v>
      </c>
      <c r="E140" s="94"/>
      <c r="F140" s="98">
        <f>(F139/F137)*100</f>
        <v>50</v>
      </c>
      <c r="G140" s="94"/>
      <c r="H140" s="94"/>
      <c r="I140" s="99">
        <f>I139/I137*100</f>
        <v>63.265306122448983</v>
      </c>
      <c r="J140" s="96"/>
      <c r="K140" s="28"/>
      <c r="L140" s="28"/>
    </row>
    <row r="141" spans="1:12" ht="14.85" hidden="1" customHeight="1" x14ac:dyDescent="0.25">
      <c r="A141" s="1907"/>
      <c r="B141" s="1220"/>
      <c r="C141" s="1117" t="s">
        <v>376</v>
      </c>
      <c r="D141" s="144" t="s">
        <v>251</v>
      </c>
      <c r="E141" s="94"/>
      <c r="F141" s="80">
        <v>1665</v>
      </c>
      <c r="G141" s="80"/>
      <c r="H141" s="80"/>
      <c r="I141" s="80">
        <v>2241</v>
      </c>
      <c r="J141" s="96"/>
      <c r="K141" s="28"/>
      <c r="L141" s="28"/>
    </row>
    <row r="142" spans="1:12" ht="14.85" hidden="1" customHeight="1" x14ac:dyDescent="0.25">
      <c r="A142" s="1907"/>
      <c r="B142" s="1220"/>
      <c r="C142" s="1117"/>
      <c r="D142" s="28" t="s">
        <v>257</v>
      </c>
      <c r="E142" s="94"/>
      <c r="F142" s="80">
        <v>1155</v>
      </c>
      <c r="G142" s="80"/>
      <c r="H142" s="80"/>
      <c r="I142" s="80">
        <v>1287</v>
      </c>
      <c r="J142" s="96"/>
      <c r="K142" s="28"/>
      <c r="L142" s="28"/>
    </row>
    <row r="143" spans="1:12" hidden="1" x14ac:dyDescent="0.25">
      <c r="A143" s="1907"/>
      <c r="B143" s="1220"/>
      <c r="C143" s="1117"/>
      <c r="D143" s="28" t="s">
        <v>263</v>
      </c>
      <c r="E143" s="94"/>
      <c r="F143" s="80">
        <v>510</v>
      </c>
      <c r="G143" s="80"/>
      <c r="H143" s="80"/>
      <c r="I143" s="80">
        <v>954</v>
      </c>
      <c r="J143" s="96"/>
      <c r="K143" s="28"/>
      <c r="L143" s="28"/>
    </row>
    <row r="144" spans="1:12" hidden="1" x14ac:dyDescent="0.25">
      <c r="A144" s="1907"/>
      <c r="B144" s="1220"/>
      <c r="C144" s="1117"/>
      <c r="D144" s="28" t="s">
        <v>357</v>
      </c>
      <c r="E144" s="94"/>
      <c r="F144" s="97">
        <f>(F143/F141)*100</f>
        <v>30.630630630630627</v>
      </c>
      <c r="G144" s="94"/>
      <c r="H144" s="94"/>
      <c r="I144" s="98">
        <f>I143/I141*100</f>
        <v>42.570281124497996</v>
      </c>
      <c r="J144" s="96"/>
      <c r="K144" s="28"/>
      <c r="L144" s="28"/>
    </row>
    <row r="145" spans="1:12" ht="14.85" hidden="1" customHeight="1" x14ac:dyDescent="0.25">
      <c r="A145" s="1907"/>
      <c r="B145" s="1220"/>
      <c r="C145" s="1117" t="s">
        <v>377</v>
      </c>
      <c r="D145" s="144" t="s">
        <v>251</v>
      </c>
      <c r="E145" s="94"/>
      <c r="F145" s="80">
        <v>1740</v>
      </c>
      <c r="G145" s="80"/>
      <c r="H145" s="80"/>
      <c r="I145" s="80">
        <v>1818</v>
      </c>
      <c r="J145" s="96"/>
      <c r="K145" s="28"/>
      <c r="L145" s="28"/>
    </row>
    <row r="146" spans="1:12" hidden="1" x14ac:dyDescent="0.25">
      <c r="A146" s="1907"/>
      <c r="B146" s="1220"/>
      <c r="C146" s="1117"/>
      <c r="D146" s="28" t="s">
        <v>257</v>
      </c>
      <c r="E146" s="94"/>
      <c r="F146" s="80">
        <v>300</v>
      </c>
      <c r="G146" s="80"/>
      <c r="H146" s="80"/>
      <c r="I146" s="80">
        <v>516</v>
      </c>
      <c r="J146" s="96"/>
      <c r="K146" s="28"/>
      <c r="L146" s="28"/>
    </row>
    <row r="147" spans="1:12" hidden="1" x14ac:dyDescent="0.25">
      <c r="A147" s="1907"/>
      <c r="B147" s="1220"/>
      <c r="C147" s="1117"/>
      <c r="D147" s="28" t="s">
        <v>263</v>
      </c>
      <c r="E147" s="94"/>
      <c r="F147" s="80">
        <v>1440</v>
      </c>
      <c r="G147" s="80"/>
      <c r="H147" s="80"/>
      <c r="I147" s="80">
        <v>1299</v>
      </c>
      <c r="J147" s="96"/>
      <c r="K147" s="28"/>
      <c r="L147" s="28"/>
    </row>
    <row r="148" spans="1:12" hidden="1" x14ac:dyDescent="0.25">
      <c r="A148" s="1907"/>
      <c r="B148" s="1220"/>
      <c r="C148" s="1117"/>
      <c r="D148" s="28" t="s">
        <v>357</v>
      </c>
      <c r="E148" s="94"/>
      <c r="F148" s="99">
        <f>(F147/F145)*100</f>
        <v>82.758620689655174</v>
      </c>
      <c r="G148" s="94"/>
      <c r="H148" s="94"/>
      <c r="I148" s="99">
        <f>I147/I145*100</f>
        <v>71.452145214521451</v>
      </c>
      <c r="J148" s="96"/>
      <c r="K148" s="28"/>
      <c r="L148" s="28"/>
    </row>
    <row r="149" spans="1:12" ht="14.85" hidden="1" customHeight="1" x14ac:dyDescent="0.25">
      <c r="A149" s="1907"/>
      <c r="B149" s="1220"/>
      <c r="C149" s="1117" t="s">
        <v>378</v>
      </c>
      <c r="D149" s="144" t="s">
        <v>251</v>
      </c>
      <c r="E149" s="94"/>
      <c r="F149" s="80">
        <v>1030</v>
      </c>
      <c r="G149" s="80"/>
      <c r="H149" s="80"/>
      <c r="I149" s="80">
        <v>1026</v>
      </c>
      <c r="J149" s="96"/>
      <c r="K149" s="28"/>
      <c r="L149" s="28"/>
    </row>
    <row r="150" spans="1:12" hidden="1" x14ac:dyDescent="0.25">
      <c r="A150" s="1907"/>
      <c r="B150" s="1220"/>
      <c r="C150" s="1117"/>
      <c r="D150" s="28" t="s">
        <v>257</v>
      </c>
      <c r="E150" s="94"/>
      <c r="F150" s="80">
        <v>505</v>
      </c>
      <c r="G150" s="80"/>
      <c r="H150" s="80"/>
      <c r="I150" s="80">
        <v>516</v>
      </c>
      <c r="J150" s="96"/>
      <c r="K150" s="28"/>
      <c r="L150" s="28"/>
    </row>
    <row r="151" spans="1:12" hidden="1" x14ac:dyDescent="0.25">
      <c r="A151" s="1907"/>
      <c r="B151" s="1220"/>
      <c r="C151" s="1117"/>
      <c r="D151" s="28" t="s">
        <v>263</v>
      </c>
      <c r="E151" s="94"/>
      <c r="F151" s="80">
        <v>525</v>
      </c>
      <c r="G151" s="80"/>
      <c r="H151" s="80"/>
      <c r="I151" s="80">
        <v>507</v>
      </c>
      <c r="J151" s="96"/>
      <c r="K151" s="28"/>
      <c r="L151" s="28"/>
    </row>
    <row r="152" spans="1:12" hidden="1" x14ac:dyDescent="0.25">
      <c r="A152" s="1907"/>
      <c r="B152" s="1220"/>
      <c r="C152" s="1117"/>
      <c r="D152" s="28" t="s">
        <v>357</v>
      </c>
      <c r="E152" s="94"/>
      <c r="F152" s="98">
        <f>(F151/F149)*100</f>
        <v>50.970873786407765</v>
      </c>
      <c r="G152" s="94"/>
      <c r="H152" s="94"/>
      <c r="I152" s="98">
        <f>I151/I149*100</f>
        <v>49.415204678362571</v>
      </c>
      <c r="J152" s="96"/>
      <c r="K152" s="28"/>
      <c r="L152" s="28"/>
    </row>
    <row r="153" spans="1:12" ht="14.85" hidden="1" customHeight="1" x14ac:dyDescent="0.25">
      <c r="A153" s="1907"/>
      <c r="B153" s="1220"/>
      <c r="C153" s="1117" t="s">
        <v>379</v>
      </c>
      <c r="D153" s="144" t="s">
        <v>251</v>
      </c>
      <c r="E153" s="94"/>
      <c r="F153" s="80">
        <v>2280</v>
      </c>
      <c r="G153" s="80"/>
      <c r="H153" s="80"/>
      <c r="I153" s="80">
        <v>1725</v>
      </c>
      <c r="J153" s="96"/>
      <c r="K153" s="28"/>
      <c r="L153" s="28"/>
    </row>
    <row r="154" spans="1:12" hidden="1" x14ac:dyDescent="0.25">
      <c r="A154" s="1907"/>
      <c r="B154" s="1220"/>
      <c r="C154" s="1117"/>
      <c r="D154" s="28" t="s">
        <v>257</v>
      </c>
      <c r="E154" s="94"/>
      <c r="F154" s="80">
        <v>1805</v>
      </c>
      <c r="G154" s="80"/>
      <c r="H154" s="80"/>
      <c r="I154" s="80">
        <v>1287</v>
      </c>
      <c r="J154" s="96"/>
      <c r="K154" s="28"/>
      <c r="L154" s="28"/>
    </row>
    <row r="155" spans="1:12" hidden="1" x14ac:dyDescent="0.25">
      <c r="A155" s="1907"/>
      <c r="B155" s="1220"/>
      <c r="C155" s="1117"/>
      <c r="D155" s="28" t="s">
        <v>263</v>
      </c>
      <c r="E155" s="94"/>
      <c r="F155" s="80">
        <v>475</v>
      </c>
      <c r="G155" s="80"/>
      <c r="H155" s="80"/>
      <c r="I155" s="80">
        <v>438</v>
      </c>
      <c r="J155" s="96"/>
      <c r="K155" s="28"/>
      <c r="L155" s="28"/>
    </row>
    <row r="156" spans="1:12" hidden="1" x14ac:dyDescent="0.25">
      <c r="A156" s="1907"/>
      <c r="B156" s="1220"/>
      <c r="C156" s="1117"/>
      <c r="D156" s="28" t="s">
        <v>357</v>
      </c>
      <c r="E156" s="94"/>
      <c r="F156" s="97">
        <f>(F155/F153)*100</f>
        <v>20.833333333333336</v>
      </c>
      <c r="G156" s="94"/>
      <c r="H156" s="94"/>
      <c r="I156" s="97">
        <f>I155/I153*100</f>
        <v>25.39130434782609</v>
      </c>
      <c r="J156" s="96"/>
      <c r="K156" s="28"/>
      <c r="L156" s="28"/>
    </row>
    <row r="157" spans="1:12" ht="14.85" hidden="1" customHeight="1" x14ac:dyDescent="0.25">
      <c r="A157" s="1907"/>
      <c r="B157" s="1220"/>
      <c r="C157" s="1117" t="s">
        <v>380</v>
      </c>
      <c r="D157" s="144" t="s">
        <v>251</v>
      </c>
      <c r="E157" s="94"/>
      <c r="F157" s="80">
        <v>3360</v>
      </c>
      <c r="G157" s="80"/>
      <c r="H157" s="80"/>
      <c r="I157" s="80">
        <v>1959</v>
      </c>
      <c r="J157" s="96"/>
      <c r="K157" s="28"/>
      <c r="L157" s="28"/>
    </row>
    <row r="158" spans="1:12" hidden="1" x14ac:dyDescent="0.25">
      <c r="A158" s="1907"/>
      <c r="B158" s="1220"/>
      <c r="C158" s="1117"/>
      <c r="D158" s="28" t="s">
        <v>257</v>
      </c>
      <c r="E158" s="94"/>
      <c r="F158" s="80">
        <v>1420</v>
      </c>
      <c r="G158" s="80"/>
      <c r="H158" s="80"/>
      <c r="I158" s="80">
        <v>975</v>
      </c>
      <c r="J158" s="96"/>
      <c r="K158" s="28"/>
      <c r="L158" s="28"/>
    </row>
    <row r="159" spans="1:12" hidden="1" x14ac:dyDescent="0.25">
      <c r="A159" s="1907"/>
      <c r="B159" s="1220"/>
      <c r="C159" s="1117"/>
      <c r="D159" s="28" t="s">
        <v>263</v>
      </c>
      <c r="E159" s="94"/>
      <c r="F159" s="80">
        <v>1935</v>
      </c>
      <c r="G159" s="80"/>
      <c r="H159" s="80"/>
      <c r="I159" s="80">
        <v>984</v>
      </c>
      <c r="J159" s="96"/>
      <c r="K159" s="28"/>
      <c r="L159" s="28"/>
    </row>
    <row r="160" spans="1:12" hidden="1" x14ac:dyDescent="0.25">
      <c r="A160" s="1907"/>
      <c r="B160" s="1220"/>
      <c r="C160" s="1117"/>
      <c r="D160" s="28" t="s">
        <v>357</v>
      </c>
      <c r="E160" s="94"/>
      <c r="F160" s="98">
        <f>(F159/F157)*100</f>
        <v>57.589285714285708</v>
      </c>
      <c r="G160" s="94"/>
      <c r="H160" s="94"/>
      <c r="I160" s="98">
        <f>I159/I157*100</f>
        <v>50.229709035222051</v>
      </c>
      <c r="J160" s="96"/>
      <c r="K160" s="28"/>
      <c r="L160" s="28"/>
    </row>
    <row r="161" spans="1:12" ht="14.85" hidden="1" customHeight="1" x14ac:dyDescent="0.25">
      <c r="A161" s="1907"/>
      <c r="B161" s="1220"/>
      <c r="C161" s="1117" t="s">
        <v>381</v>
      </c>
      <c r="D161" s="144" t="s">
        <v>251</v>
      </c>
      <c r="E161" s="94"/>
      <c r="F161" s="80">
        <v>275</v>
      </c>
      <c r="G161" s="80"/>
      <c r="H161" s="80"/>
      <c r="I161" s="80">
        <v>438</v>
      </c>
      <c r="J161" s="28"/>
      <c r="K161" s="28"/>
      <c r="L161" s="28"/>
    </row>
    <row r="162" spans="1:12" ht="14.85" hidden="1" customHeight="1" x14ac:dyDescent="0.25">
      <c r="A162" s="1907"/>
      <c r="B162" s="1220"/>
      <c r="C162" s="1117"/>
      <c r="D162" s="28" t="s">
        <v>257</v>
      </c>
      <c r="E162" s="94"/>
      <c r="F162" s="80">
        <v>155</v>
      </c>
      <c r="G162" s="80"/>
      <c r="H162" s="80"/>
      <c r="I162" s="80">
        <v>228</v>
      </c>
      <c r="J162" s="28"/>
      <c r="K162" s="28"/>
      <c r="L162" s="28"/>
    </row>
    <row r="163" spans="1:12" hidden="1" x14ac:dyDescent="0.25">
      <c r="A163" s="1907"/>
      <c r="B163" s="1220"/>
      <c r="C163" s="1117"/>
      <c r="D163" s="28" t="s">
        <v>263</v>
      </c>
      <c r="E163" s="94"/>
      <c r="F163" s="80">
        <v>115</v>
      </c>
      <c r="G163" s="80"/>
      <c r="H163" s="80"/>
      <c r="I163" s="80">
        <v>207</v>
      </c>
      <c r="J163" s="28"/>
      <c r="K163" s="28"/>
      <c r="L163" s="28"/>
    </row>
    <row r="164" spans="1:12" hidden="1" x14ac:dyDescent="0.25">
      <c r="A164" s="1907"/>
      <c r="B164" s="1220"/>
      <c r="C164" s="1117"/>
      <c r="D164" s="28" t="s">
        <v>357</v>
      </c>
      <c r="E164" s="94"/>
      <c r="F164" s="98">
        <f>(F163/F161)*100</f>
        <v>41.818181818181813</v>
      </c>
      <c r="G164" s="94"/>
      <c r="H164" s="94"/>
      <c r="I164" s="98">
        <f>I163/I161*100</f>
        <v>47.260273972602739</v>
      </c>
      <c r="J164" s="28"/>
      <c r="K164" s="28"/>
      <c r="L164" s="28"/>
    </row>
    <row r="165" spans="1:12" ht="14.85" hidden="1" customHeight="1" x14ac:dyDescent="0.25">
      <c r="A165" s="1907"/>
      <c r="B165" s="1220"/>
      <c r="C165" s="1218" t="s">
        <v>382</v>
      </c>
      <c r="D165" s="145" t="s">
        <v>251</v>
      </c>
      <c r="E165" s="95"/>
      <c r="F165" s="80">
        <v>3185</v>
      </c>
      <c r="G165" s="80"/>
      <c r="H165" s="80"/>
      <c r="I165" s="80">
        <v>3216</v>
      </c>
      <c r="J165" s="96"/>
      <c r="K165" s="96"/>
      <c r="L165" s="96"/>
    </row>
    <row r="166" spans="1:12" hidden="1" x14ac:dyDescent="0.25">
      <c r="A166" s="1907"/>
      <c r="B166" s="1220"/>
      <c r="C166" s="1218"/>
      <c r="D166" s="96" t="s">
        <v>257</v>
      </c>
      <c r="E166" s="95"/>
      <c r="F166" s="80">
        <v>870</v>
      </c>
      <c r="G166" s="80"/>
      <c r="H166" s="80"/>
      <c r="I166" s="80">
        <v>969</v>
      </c>
      <c r="J166" s="96"/>
      <c r="K166" s="96"/>
      <c r="L166" s="96"/>
    </row>
    <row r="167" spans="1:12" hidden="1" x14ac:dyDescent="0.25">
      <c r="A167" s="1907"/>
      <c r="B167" s="1220"/>
      <c r="C167" s="1218"/>
      <c r="D167" s="96" t="s">
        <v>263</v>
      </c>
      <c r="E167" s="95"/>
      <c r="F167" s="80">
        <v>2310</v>
      </c>
      <c r="G167" s="80"/>
      <c r="H167" s="80"/>
      <c r="I167" s="80">
        <v>2250</v>
      </c>
      <c r="J167" s="96"/>
      <c r="K167" s="96"/>
      <c r="L167" s="96"/>
    </row>
    <row r="168" spans="1:12" hidden="1" x14ac:dyDescent="0.25">
      <c r="A168" s="1907"/>
      <c r="B168" s="1220"/>
      <c r="C168" s="1218"/>
      <c r="D168" s="96" t="s">
        <v>357</v>
      </c>
      <c r="E168" s="95"/>
      <c r="F168" s="99">
        <f>(F167/F165)*100</f>
        <v>72.527472527472526</v>
      </c>
      <c r="G168" s="94"/>
      <c r="H168" s="94"/>
      <c r="I168" s="99">
        <f>I167/I165*100</f>
        <v>69.962686567164184</v>
      </c>
      <c r="J168" s="96"/>
      <c r="K168" s="96"/>
      <c r="L168" s="96"/>
    </row>
    <row r="169" spans="1:12" ht="14.85" hidden="1" customHeight="1" x14ac:dyDescent="0.25">
      <c r="A169" s="1907"/>
      <c r="B169" s="1220"/>
      <c r="C169" s="1218" t="s">
        <v>383</v>
      </c>
      <c r="D169" s="145" t="s">
        <v>251</v>
      </c>
      <c r="E169" s="95"/>
      <c r="F169" s="80">
        <v>2275</v>
      </c>
      <c r="G169" s="80"/>
      <c r="H169" s="80"/>
      <c r="I169" s="80">
        <v>2271</v>
      </c>
      <c r="J169" s="96"/>
      <c r="K169" s="96"/>
      <c r="L169" s="96"/>
    </row>
    <row r="170" spans="1:12" hidden="1" x14ac:dyDescent="0.25">
      <c r="A170" s="1907"/>
      <c r="B170" s="1220"/>
      <c r="C170" s="1218"/>
      <c r="D170" s="96" t="s">
        <v>257</v>
      </c>
      <c r="E170" s="95"/>
      <c r="F170" s="80">
        <v>760</v>
      </c>
      <c r="G170" s="80"/>
      <c r="H170" s="80"/>
      <c r="I170" s="80">
        <v>630</v>
      </c>
      <c r="J170" s="96"/>
      <c r="K170" s="96"/>
      <c r="L170" s="96"/>
    </row>
    <row r="171" spans="1:12" hidden="1" x14ac:dyDescent="0.25">
      <c r="A171" s="1907"/>
      <c r="B171" s="1220"/>
      <c r="C171" s="1218"/>
      <c r="D171" s="96" t="s">
        <v>263</v>
      </c>
      <c r="E171" s="95"/>
      <c r="F171" s="80">
        <v>1515</v>
      </c>
      <c r="G171" s="80"/>
      <c r="H171" s="80"/>
      <c r="I171" s="80">
        <v>1638</v>
      </c>
      <c r="J171" s="96"/>
      <c r="K171" s="96"/>
      <c r="L171" s="96"/>
    </row>
    <row r="172" spans="1:12" hidden="1" x14ac:dyDescent="0.25">
      <c r="A172" s="1907"/>
      <c r="B172" s="1220"/>
      <c r="C172" s="1218"/>
      <c r="D172" s="96" t="s">
        <v>357</v>
      </c>
      <c r="E172" s="95"/>
      <c r="F172" s="99">
        <f>(F171/F169)*100</f>
        <v>66.593406593406584</v>
      </c>
      <c r="G172" s="94"/>
      <c r="H172" s="94"/>
      <c r="I172" s="99">
        <f>I171/I169*100</f>
        <v>72.126816380449142</v>
      </c>
      <c r="J172" s="96"/>
      <c r="K172" s="96"/>
      <c r="L172" s="96"/>
    </row>
    <row r="173" spans="1:12" ht="14.85" hidden="1" customHeight="1" x14ac:dyDescent="0.25">
      <c r="A173" s="1907"/>
      <c r="B173" s="1220"/>
      <c r="C173" s="1218" t="s">
        <v>384</v>
      </c>
      <c r="D173" s="145" t="s">
        <v>251</v>
      </c>
      <c r="E173" s="95"/>
      <c r="F173" s="80">
        <v>2820</v>
      </c>
      <c r="G173" s="80"/>
      <c r="H173" s="80"/>
      <c r="I173" s="80">
        <v>1830</v>
      </c>
      <c r="J173" s="96"/>
      <c r="K173" s="96"/>
      <c r="L173" s="96"/>
    </row>
    <row r="174" spans="1:12" hidden="1" x14ac:dyDescent="0.25">
      <c r="A174" s="1907"/>
      <c r="B174" s="1220"/>
      <c r="C174" s="1218"/>
      <c r="D174" s="96" t="s">
        <v>257</v>
      </c>
      <c r="E174" s="95"/>
      <c r="F174" s="80">
        <v>705</v>
      </c>
      <c r="G174" s="80"/>
      <c r="H174" s="80"/>
      <c r="I174" s="80">
        <v>519</v>
      </c>
      <c r="J174" s="96"/>
      <c r="K174" s="96"/>
      <c r="L174" s="96"/>
    </row>
    <row r="175" spans="1:12" hidden="1" x14ac:dyDescent="0.25">
      <c r="A175" s="1907"/>
      <c r="B175" s="1220"/>
      <c r="C175" s="1218"/>
      <c r="D175" s="96" t="s">
        <v>263</v>
      </c>
      <c r="E175" s="95"/>
      <c r="F175" s="80">
        <v>2115</v>
      </c>
      <c r="G175" s="80"/>
      <c r="H175" s="80"/>
      <c r="I175" s="80">
        <v>1308</v>
      </c>
      <c r="J175" s="96"/>
      <c r="K175" s="96"/>
      <c r="L175" s="96"/>
    </row>
    <row r="176" spans="1:12" hidden="1" x14ac:dyDescent="0.25">
      <c r="A176" s="1907"/>
      <c r="B176" s="1220"/>
      <c r="C176" s="1218"/>
      <c r="D176" s="96" t="s">
        <v>357</v>
      </c>
      <c r="E176" s="95"/>
      <c r="F176" s="99">
        <f>(F175/F173)*100</f>
        <v>75</v>
      </c>
      <c r="G176" s="94"/>
      <c r="H176" s="94"/>
      <c r="I176" s="99">
        <f>I175/I173*100</f>
        <v>71.47540983606558</v>
      </c>
      <c r="J176" s="96"/>
      <c r="K176" s="96"/>
      <c r="L176" s="96"/>
    </row>
    <row r="177" spans="1:12" ht="14.85" hidden="1" customHeight="1" x14ac:dyDescent="0.25">
      <c r="A177" s="1907"/>
      <c r="B177" s="1220"/>
      <c r="C177" s="1218" t="s">
        <v>385</v>
      </c>
      <c r="D177" s="145" t="s">
        <v>251</v>
      </c>
      <c r="E177" s="95"/>
      <c r="F177" s="80">
        <v>205</v>
      </c>
      <c r="G177" s="80"/>
      <c r="H177" s="80"/>
      <c r="I177" s="80">
        <v>543</v>
      </c>
      <c r="J177" s="96"/>
      <c r="K177" s="96"/>
      <c r="L177" s="96"/>
    </row>
    <row r="178" spans="1:12" ht="14.85" hidden="1" customHeight="1" x14ac:dyDescent="0.25">
      <c r="A178" s="1907"/>
      <c r="B178" s="1220"/>
      <c r="C178" s="1218"/>
      <c r="D178" s="96" t="s">
        <v>257</v>
      </c>
      <c r="E178" s="95"/>
      <c r="F178" s="80">
        <v>185</v>
      </c>
      <c r="G178" s="80"/>
      <c r="H178" s="80"/>
      <c r="I178" s="80">
        <v>333</v>
      </c>
      <c r="J178" s="96"/>
      <c r="K178" s="96"/>
      <c r="L178" s="96"/>
    </row>
    <row r="179" spans="1:12" hidden="1" x14ac:dyDescent="0.25">
      <c r="A179" s="1907"/>
      <c r="B179" s="1220"/>
      <c r="C179" s="1218"/>
      <c r="D179" s="96" t="s">
        <v>263</v>
      </c>
      <c r="E179" s="95"/>
      <c r="F179" s="80">
        <v>20</v>
      </c>
      <c r="G179" s="80"/>
      <c r="H179" s="80"/>
      <c r="I179" s="80">
        <v>207</v>
      </c>
      <c r="J179" s="96"/>
      <c r="K179" s="96"/>
      <c r="L179" s="96"/>
    </row>
    <row r="180" spans="1:12" hidden="1" x14ac:dyDescent="0.25">
      <c r="A180" s="1907"/>
      <c r="B180" s="1220"/>
      <c r="C180" s="1218"/>
      <c r="D180" s="96" t="s">
        <v>357</v>
      </c>
      <c r="E180" s="95"/>
      <c r="F180" s="97">
        <f>(F179/F177)*100</f>
        <v>9.7560975609756095</v>
      </c>
      <c r="G180" s="94"/>
      <c r="H180" s="94"/>
      <c r="I180" s="97">
        <f>I179/I177*100</f>
        <v>38.121546961325969</v>
      </c>
      <c r="J180" s="96"/>
      <c r="K180" s="96"/>
      <c r="L180" s="96"/>
    </row>
    <row r="181" spans="1:12" ht="14.85" hidden="1" customHeight="1" x14ac:dyDescent="0.25">
      <c r="A181" s="1907"/>
      <c r="B181" s="1220"/>
      <c r="C181" s="1218" t="s">
        <v>386</v>
      </c>
      <c r="D181" s="145" t="s">
        <v>251</v>
      </c>
      <c r="E181" s="95"/>
      <c r="F181" s="80">
        <v>1910</v>
      </c>
      <c r="G181" s="80"/>
      <c r="H181" s="80"/>
      <c r="I181" s="80">
        <v>2667</v>
      </c>
      <c r="J181" s="96"/>
      <c r="K181" s="96"/>
      <c r="L181" s="96"/>
    </row>
    <row r="182" spans="1:12" hidden="1" x14ac:dyDescent="0.25">
      <c r="A182" s="1907"/>
      <c r="B182" s="1220"/>
      <c r="C182" s="1218"/>
      <c r="D182" s="96" t="s">
        <v>257</v>
      </c>
      <c r="E182" s="95"/>
      <c r="F182" s="80">
        <v>1205</v>
      </c>
      <c r="G182" s="80"/>
      <c r="H182" s="80"/>
      <c r="I182" s="80">
        <v>1305</v>
      </c>
      <c r="J182" s="96"/>
      <c r="K182" s="96"/>
      <c r="L182" s="96"/>
    </row>
    <row r="183" spans="1:12" hidden="1" x14ac:dyDescent="0.25">
      <c r="A183" s="1907"/>
      <c r="B183" s="1220"/>
      <c r="C183" s="1218"/>
      <c r="D183" s="96" t="s">
        <v>263</v>
      </c>
      <c r="E183" s="95"/>
      <c r="F183" s="80">
        <v>700</v>
      </c>
      <c r="G183" s="80"/>
      <c r="H183" s="80"/>
      <c r="I183" s="80">
        <v>1365</v>
      </c>
      <c r="J183" s="96"/>
      <c r="K183" s="96"/>
      <c r="L183" s="96"/>
    </row>
    <row r="184" spans="1:12" hidden="1" x14ac:dyDescent="0.25">
      <c r="A184" s="1907"/>
      <c r="B184" s="1220"/>
      <c r="C184" s="1218"/>
      <c r="D184" s="96" t="s">
        <v>357</v>
      </c>
      <c r="E184" s="95"/>
      <c r="F184" s="97">
        <f>(F183/F181)*100</f>
        <v>36.64921465968586</v>
      </c>
      <c r="G184" s="94"/>
      <c r="H184" s="94"/>
      <c r="I184" s="98">
        <f>I183/I181*100</f>
        <v>51.181102362204726</v>
      </c>
      <c r="J184" s="96"/>
      <c r="K184" s="96"/>
      <c r="L184" s="96"/>
    </row>
    <row r="185" spans="1:12" ht="14.85" hidden="1" customHeight="1" x14ac:dyDescent="0.25">
      <c r="A185" s="1907"/>
      <c r="B185" s="1220"/>
      <c r="C185" s="1218" t="s">
        <v>387</v>
      </c>
      <c r="D185" s="145" t="s">
        <v>251</v>
      </c>
      <c r="E185" s="95"/>
      <c r="F185" s="80">
        <v>3115</v>
      </c>
      <c r="G185" s="80"/>
      <c r="H185" s="80"/>
      <c r="I185" s="80">
        <v>3252</v>
      </c>
      <c r="J185" s="96"/>
      <c r="K185" s="96"/>
      <c r="L185" s="96"/>
    </row>
    <row r="186" spans="1:12" hidden="1" x14ac:dyDescent="0.25">
      <c r="A186" s="1907"/>
      <c r="B186" s="1220"/>
      <c r="C186" s="1218"/>
      <c r="D186" s="96" t="s">
        <v>257</v>
      </c>
      <c r="E186" s="95"/>
      <c r="F186" s="80">
        <v>1405</v>
      </c>
      <c r="G186" s="80"/>
      <c r="H186" s="80"/>
      <c r="I186" s="80">
        <v>1389</v>
      </c>
      <c r="J186" s="96"/>
      <c r="K186" s="96"/>
      <c r="L186" s="96"/>
    </row>
    <row r="187" spans="1:12" hidden="1" x14ac:dyDescent="0.25">
      <c r="A187" s="1907"/>
      <c r="B187" s="1220"/>
      <c r="C187" s="1218"/>
      <c r="D187" s="96" t="s">
        <v>263</v>
      </c>
      <c r="E187" s="95"/>
      <c r="F187" s="80">
        <v>1710</v>
      </c>
      <c r="G187" s="80"/>
      <c r="H187" s="80"/>
      <c r="I187" s="80">
        <v>1863</v>
      </c>
      <c r="J187" s="96"/>
      <c r="K187" s="96"/>
      <c r="L187" s="96"/>
    </row>
    <row r="188" spans="1:12" hidden="1" x14ac:dyDescent="0.25">
      <c r="A188" s="1907"/>
      <c r="B188" s="1220"/>
      <c r="C188" s="1218"/>
      <c r="D188" s="96" t="s">
        <v>357</v>
      </c>
      <c r="E188" s="95"/>
      <c r="F188" s="98">
        <f>(F187/F185)*100</f>
        <v>54.895666131621191</v>
      </c>
      <c r="G188" s="94"/>
      <c r="H188" s="94"/>
      <c r="I188" s="98">
        <f>I187/I185*100</f>
        <v>57.287822878228781</v>
      </c>
      <c r="J188" s="96"/>
      <c r="K188" s="96"/>
      <c r="L188" s="96"/>
    </row>
    <row r="189" spans="1:12" ht="14.85" hidden="1" customHeight="1" x14ac:dyDescent="0.25">
      <c r="A189" s="1907"/>
      <c r="B189" s="1220"/>
      <c r="C189" s="1218" t="s">
        <v>388</v>
      </c>
      <c r="D189" s="145" t="s">
        <v>251</v>
      </c>
      <c r="E189" s="95"/>
      <c r="F189" s="80"/>
      <c r="G189" s="80"/>
      <c r="H189" s="80"/>
      <c r="I189" s="80">
        <v>756</v>
      </c>
      <c r="J189" s="96"/>
      <c r="K189" s="96"/>
      <c r="L189" s="96"/>
    </row>
    <row r="190" spans="1:12" hidden="1" x14ac:dyDescent="0.25">
      <c r="A190" s="1907"/>
      <c r="B190" s="1220"/>
      <c r="C190" s="1218"/>
      <c r="D190" s="96" t="s">
        <v>257</v>
      </c>
      <c r="E190" s="95"/>
      <c r="F190" s="80"/>
      <c r="G190" s="80"/>
      <c r="H190" s="80"/>
      <c r="I190" s="80">
        <v>429</v>
      </c>
      <c r="J190" s="96"/>
      <c r="K190" s="96"/>
      <c r="L190" s="96"/>
    </row>
    <row r="191" spans="1:12" hidden="1" x14ac:dyDescent="0.25">
      <c r="A191" s="1907"/>
      <c r="B191" s="1220"/>
      <c r="C191" s="1218"/>
      <c r="D191" s="96" t="s">
        <v>263</v>
      </c>
      <c r="E191" s="95"/>
      <c r="F191" s="80"/>
      <c r="G191" s="80"/>
      <c r="H191" s="80"/>
      <c r="I191" s="80">
        <v>324</v>
      </c>
      <c r="J191" s="96"/>
      <c r="K191" s="96"/>
      <c r="L191" s="96"/>
    </row>
    <row r="192" spans="1:12" hidden="1" x14ac:dyDescent="0.25">
      <c r="A192" s="1907"/>
      <c r="B192" s="1220"/>
      <c r="C192" s="1218"/>
      <c r="D192" s="96" t="s">
        <v>357</v>
      </c>
      <c r="E192" s="95"/>
      <c r="F192" s="206"/>
      <c r="G192" s="94"/>
      <c r="H192" s="94"/>
      <c r="I192" s="98">
        <f>I191/I189*100</f>
        <v>42.857142857142854</v>
      </c>
      <c r="J192" s="96"/>
      <c r="K192" s="96"/>
      <c r="L192" s="96"/>
    </row>
    <row r="193" spans="1:12" ht="14.85" hidden="1" customHeight="1" x14ac:dyDescent="0.25">
      <c r="A193" s="1907"/>
      <c r="B193" s="1220"/>
      <c r="C193" s="1117" t="s">
        <v>389</v>
      </c>
      <c r="D193" s="144" t="s">
        <v>251</v>
      </c>
      <c r="E193" s="94"/>
      <c r="F193" s="80">
        <v>545</v>
      </c>
      <c r="G193" s="80"/>
      <c r="H193" s="80"/>
      <c r="I193" s="80">
        <v>636</v>
      </c>
      <c r="J193" s="28"/>
      <c r="K193" s="28"/>
      <c r="L193" s="28"/>
    </row>
    <row r="194" spans="1:12" hidden="1" x14ac:dyDescent="0.25">
      <c r="A194" s="1907"/>
      <c r="B194" s="1220"/>
      <c r="C194" s="1117"/>
      <c r="D194" s="28" t="s">
        <v>257</v>
      </c>
      <c r="E194" s="94"/>
      <c r="F194" s="80">
        <v>255</v>
      </c>
      <c r="G194" s="80"/>
      <c r="H194" s="80"/>
      <c r="I194" s="80">
        <v>270</v>
      </c>
      <c r="J194" s="28"/>
      <c r="K194" s="28"/>
      <c r="L194" s="28"/>
    </row>
    <row r="195" spans="1:12" hidden="1" x14ac:dyDescent="0.25">
      <c r="A195" s="1907"/>
      <c r="B195" s="1220"/>
      <c r="C195" s="1117"/>
      <c r="D195" s="28" t="s">
        <v>263</v>
      </c>
      <c r="E195" s="94"/>
      <c r="F195" s="80">
        <v>290</v>
      </c>
      <c r="G195" s="80"/>
      <c r="H195" s="80"/>
      <c r="I195" s="80">
        <v>366</v>
      </c>
      <c r="J195" s="28"/>
      <c r="K195" s="28"/>
      <c r="L195" s="28"/>
    </row>
    <row r="196" spans="1:12" hidden="1" x14ac:dyDescent="0.25">
      <c r="A196" s="1907"/>
      <c r="B196" s="1220"/>
      <c r="C196" s="1117"/>
      <c r="D196" s="28" t="s">
        <v>357</v>
      </c>
      <c r="E196" s="94"/>
      <c r="F196" s="98">
        <f>(F195/F193)*100</f>
        <v>53.211009174311933</v>
      </c>
      <c r="G196" s="94"/>
      <c r="H196" s="94"/>
      <c r="I196" s="98">
        <f>I195/I193*100</f>
        <v>57.547169811320757</v>
      </c>
      <c r="J196" s="28"/>
      <c r="K196" s="28"/>
      <c r="L196" s="28"/>
    </row>
    <row r="197" spans="1:12" ht="14.85" hidden="1" customHeight="1" x14ac:dyDescent="0.25">
      <c r="A197" s="1907"/>
      <c r="B197" s="1220"/>
      <c r="C197" s="1117" t="s">
        <v>390</v>
      </c>
      <c r="D197" s="144" t="s">
        <v>251</v>
      </c>
      <c r="E197" s="94"/>
      <c r="F197" s="80">
        <v>490</v>
      </c>
      <c r="G197" s="80"/>
      <c r="H197" s="80"/>
      <c r="I197" s="80">
        <v>546</v>
      </c>
      <c r="J197" s="28"/>
      <c r="K197" s="28"/>
      <c r="L197" s="28"/>
    </row>
    <row r="198" spans="1:12" ht="14.85" hidden="1" customHeight="1" x14ac:dyDescent="0.25">
      <c r="A198" s="1907"/>
      <c r="B198" s="1220"/>
      <c r="C198" s="1117"/>
      <c r="D198" s="28" t="s">
        <v>257</v>
      </c>
      <c r="E198" s="94"/>
      <c r="F198" s="80">
        <v>105</v>
      </c>
      <c r="G198" s="80"/>
      <c r="H198" s="80"/>
      <c r="I198" s="80">
        <v>147</v>
      </c>
      <c r="J198" s="28"/>
      <c r="K198" s="28"/>
      <c r="L198" s="28"/>
    </row>
    <row r="199" spans="1:12" hidden="1" x14ac:dyDescent="0.25">
      <c r="A199" s="1907"/>
      <c r="B199" s="1220"/>
      <c r="C199" s="1117"/>
      <c r="D199" s="28" t="s">
        <v>263</v>
      </c>
      <c r="E199" s="94"/>
      <c r="F199" s="80">
        <v>385</v>
      </c>
      <c r="G199" s="80"/>
      <c r="H199" s="80"/>
      <c r="I199" s="80">
        <v>402</v>
      </c>
      <c r="J199" s="28"/>
      <c r="K199" s="28"/>
      <c r="L199" s="28"/>
    </row>
    <row r="200" spans="1:12" hidden="1" x14ac:dyDescent="0.25">
      <c r="A200" s="1907"/>
      <c r="B200" s="1220"/>
      <c r="C200" s="1117"/>
      <c r="D200" s="28" t="s">
        <v>357</v>
      </c>
      <c r="E200" s="94"/>
      <c r="F200" s="99">
        <f>(F199/F197)*100</f>
        <v>78.571428571428569</v>
      </c>
      <c r="G200" s="94"/>
      <c r="H200" s="94"/>
      <c r="I200" s="99">
        <f>I199/I197*100</f>
        <v>73.626373626373635</v>
      </c>
      <c r="J200" s="28"/>
      <c r="K200" s="28"/>
      <c r="L200" s="28"/>
    </row>
    <row r="201" spans="1:12" ht="14.85" hidden="1" customHeight="1" x14ac:dyDescent="0.25">
      <c r="A201" s="1907"/>
      <c r="B201" s="1220"/>
      <c r="C201" s="1117" t="s">
        <v>391</v>
      </c>
      <c r="D201" s="144" t="s">
        <v>251</v>
      </c>
      <c r="E201" s="94"/>
      <c r="F201" s="80">
        <v>1305</v>
      </c>
      <c r="G201" s="80"/>
      <c r="H201" s="80"/>
      <c r="I201" s="80">
        <v>1158</v>
      </c>
      <c r="J201" s="28"/>
      <c r="K201" s="28"/>
      <c r="L201" s="28"/>
    </row>
    <row r="202" spans="1:12" hidden="1" x14ac:dyDescent="0.25">
      <c r="A202" s="1907"/>
      <c r="B202" s="1220"/>
      <c r="C202" s="1117"/>
      <c r="D202" s="28" t="s">
        <v>257</v>
      </c>
      <c r="E202" s="94"/>
      <c r="F202" s="80">
        <v>185</v>
      </c>
      <c r="G202" s="80"/>
      <c r="H202" s="80"/>
      <c r="I202" s="80">
        <v>198</v>
      </c>
      <c r="J202" s="28"/>
      <c r="K202" s="28"/>
      <c r="L202" s="28"/>
    </row>
    <row r="203" spans="1:12" hidden="1" x14ac:dyDescent="0.25">
      <c r="A203" s="1907"/>
      <c r="B203" s="1220"/>
      <c r="C203" s="1117"/>
      <c r="D203" s="28" t="s">
        <v>263</v>
      </c>
      <c r="E203" s="94"/>
      <c r="F203" s="80">
        <v>1120</v>
      </c>
      <c r="G203" s="80"/>
      <c r="H203" s="80"/>
      <c r="I203" s="80">
        <v>957</v>
      </c>
      <c r="J203" s="28"/>
      <c r="K203" s="28"/>
      <c r="L203" s="28"/>
    </row>
    <row r="204" spans="1:12" hidden="1" x14ac:dyDescent="0.25">
      <c r="A204" s="1907"/>
      <c r="B204" s="1220"/>
      <c r="C204" s="1117"/>
      <c r="D204" s="28" t="s">
        <v>357</v>
      </c>
      <c r="E204" s="94"/>
      <c r="F204" s="99">
        <f>(F203/F201)*100</f>
        <v>85.82375478927203</v>
      </c>
      <c r="G204" s="94"/>
      <c r="H204" s="94"/>
      <c r="I204" s="99">
        <f>I203/I201*100</f>
        <v>82.642487046632127</v>
      </c>
      <c r="J204" s="28"/>
      <c r="K204" s="28"/>
      <c r="L204" s="28"/>
    </row>
    <row r="205" spans="1:12" ht="14.85" hidden="1" customHeight="1" x14ac:dyDescent="0.25">
      <c r="A205" s="1907"/>
      <c r="B205" s="1220"/>
      <c r="C205" s="1117" t="s">
        <v>392</v>
      </c>
      <c r="D205" s="144" t="s">
        <v>251</v>
      </c>
      <c r="E205" s="94"/>
      <c r="F205" s="80">
        <v>540</v>
      </c>
      <c r="G205" s="80"/>
      <c r="H205" s="80"/>
      <c r="I205" s="80">
        <v>606</v>
      </c>
      <c r="J205" s="28"/>
      <c r="K205" s="28"/>
      <c r="L205" s="28"/>
    </row>
    <row r="206" spans="1:12" hidden="1" x14ac:dyDescent="0.25">
      <c r="A206" s="1907"/>
      <c r="B206" s="1220"/>
      <c r="C206" s="1117"/>
      <c r="D206" s="28" t="s">
        <v>257</v>
      </c>
      <c r="E206" s="94"/>
      <c r="F206" s="80">
        <v>60</v>
      </c>
      <c r="G206" s="80"/>
      <c r="H206" s="80"/>
      <c r="I206" s="80">
        <v>84</v>
      </c>
      <c r="J206" s="28"/>
      <c r="K206" s="28"/>
      <c r="L206" s="28"/>
    </row>
    <row r="207" spans="1:12" hidden="1" x14ac:dyDescent="0.25">
      <c r="A207" s="1907"/>
      <c r="B207" s="1220"/>
      <c r="C207" s="1117"/>
      <c r="D207" s="28" t="s">
        <v>263</v>
      </c>
      <c r="E207" s="94"/>
      <c r="F207" s="80">
        <v>480</v>
      </c>
      <c r="G207" s="80"/>
      <c r="H207" s="80"/>
      <c r="I207" s="80">
        <v>522</v>
      </c>
      <c r="J207" s="28"/>
      <c r="K207" s="28"/>
      <c r="L207" s="28"/>
    </row>
    <row r="208" spans="1:12" hidden="1" x14ac:dyDescent="0.25">
      <c r="A208" s="1907"/>
      <c r="B208" s="1220"/>
      <c r="C208" s="1117"/>
      <c r="D208" s="28" t="s">
        <v>357</v>
      </c>
      <c r="E208" s="94"/>
      <c r="F208" s="99">
        <f>(F207/F205)*100</f>
        <v>88.888888888888886</v>
      </c>
      <c r="G208" s="94"/>
      <c r="H208" s="94"/>
      <c r="I208" s="99">
        <f>I207/I205*100</f>
        <v>86.138613861386133</v>
      </c>
      <c r="J208" s="28"/>
      <c r="K208" s="28"/>
      <c r="L208" s="28"/>
    </row>
    <row r="209" spans="1:12" ht="14.85" hidden="1" customHeight="1" x14ac:dyDescent="0.25">
      <c r="A209" s="1907"/>
      <c r="B209" s="1220"/>
      <c r="C209" s="1117" t="s">
        <v>393</v>
      </c>
      <c r="D209" s="144" t="s">
        <v>251</v>
      </c>
      <c r="E209" s="94"/>
      <c r="F209" s="80">
        <v>1570</v>
      </c>
      <c r="G209" s="80"/>
      <c r="H209" s="80"/>
      <c r="I209" s="80">
        <v>1848</v>
      </c>
      <c r="J209" s="28"/>
      <c r="K209" s="28"/>
      <c r="L209" s="28"/>
    </row>
    <row r="210" spans="1:12" hidden="1" x14ac:dyDescent="0.25">
      <c r="A210" s="1907"/>
      <c r="B210" s="1220"/>
      <c r="C210" s="1117"/>
      <c r="D210" s="28" t="s">
        <v>257</v>
      </c>
      <c r="E210" s="94"/>
      <c r="F210" s="80">
        <v>715</v>
      </c>
      <c r="G210" s="80"/>
      <c r="H210" s="80"/>
      <c r="I210" s="80">
        <v>909</v>
      </c>
      <c r="J210" s="28"/>
      <c r="K210" s="28"/>
      <c r="L210" s="28"/>
    </row>
    <row r="211" spans="1:12" hidden="1" x14ac:dyDescent="0.25">
      <c r="A211" s="1907"/>
      <c r="B211" s="1220"/>
      <c r="C211" s="1117"/>
      <c r="D211" s="28" t="s">
        <v>263</v>
      </c>
      <c r="E211" s="94"/>
      <c r="F211" s="80">
        <v>855</v>
      </c>
      <c r="G211" s="80"/>
      <c r="H211" s="80"/>
      <c r="I211" s="80">
        <v>936</v>
      </c>
      <c r="J211" s="28"/>
      <c r="K211" s="28"/>
      <c r="L211" s="28"/>
    </row>
    <row r="212" spans="1:12" hidden="1" x14ac:dyDescent="0.25">
      <c r="A212" s="1907"/>
      <c r="B212" s="1220"/>
      <c r="C212" s="1117"/>
      <c r="D212" s="28" t="s">
        <v>357</v>
      </c>
      <c r="E212" s="94"/>
      <c r="F212" s="98">
        <f>(F211/F209)*100</f>
        <v>54.458598726114651</v>
      </c>
      <c r="G212" s="94"/>
      <c r="H212" s="94"/>
      <c r="I212" s="98">
        <f>I211/I209*100</f>
        <v>50.649350649350644</v>
      </c>
      <c r="J212" s="28"/>
      <c r="K212" s="28"/>
      <c r="L212" s="28"/>
    </row>
    <row r="213" spans="1:12" ht="14.85" hidden="1" customHeight="1" x14ac:dyDescent="0.25">
      <c r="A213" s="1907"/>
      <c r="B213" s="1220"/>
      <c r="C213" s="1117" t="s">
        <v>394</v>
      </c>
      <c r="D213" s="144" t="s">
        <v>251</v>
      </c>
      <c r="E213" s="94"/>
      <c r="F213" s="80">
        <v>1930</v>
      </c>
      <c r="G213" s="80"/>
      <c r="H213" s="80"/>
      <c r="I213" s="80">
        <v>1662</v>
      </c>
      <c r="J213" s="28"/>
      <c r="K213" s="28"/>
      <c r="L213" s="28"/>
    </row>
    <row r="214" spans="1:12" hidden="1" x14ac:dyDescent="0.25">
      <c r="A214" s="1907"/>
      <c r="B214" s="1220"/>
      <c r="C214" s="1117"/>
      <c r="D214" s="28" t="s">
        <v>257</v>
      </c>
      <c r="E214" s="94"/>
      <c r="F214" s="80">
        <v>1615</v>
      </c>
      <c r="G214" s="80"/>
      <c r="H214" s="80"/>
      <c r="I214" s="80">
        <v>1317</v>
      </c>
      <c r="J214" s="28"/>
      <c r="K214" s="28"/>
      <c r="L214" s="28"/>
    </row>
    <row r="215" spans="1:12" hidden="1" x14ac:dyDescent="0.25">
      <c r="A215" s="1907"/>
      <c r="B215" s="1220"/>
      <c r="C215" s="1117"/>
      <c r="D215" s="28" t="s">
        <v>263</v>
      </c>
      <c r="E215" s="94"/>
      <c r="F215" s="80">
        <v>315</v>
      </c>
      <c r="G215" s="80"/>
      <c r="H215" s="80"/>
      <c r="I215" s="80">
        <v>342</v>
      </c>
      <c r="J215" s="28"/>
      <c r="K215" s="28"/>
      <c r="L215" s="28"/>
    </row>
    <row r="216" spans="1:12" hidden="1" x14ac:dyDescent="0.25">
      <c r="A216" s="1907"/>
      <c r="B216" s="1220"/>
      <c r="C216" s="1117"/>
      <c r="D216" s="28" t="s">
        <v>357</v>
      </c>
      <c r="E216" s="94"/>
      <c r="F216" s="97">
        <f>(F215/F213)*100</f>
        <v>16.321243523316063</v>
      </c>
      <c r="G216" s="94"/>
      <c r="H216" s="94"/>
      <c r="I216" s="97">
        <f>I215/I213*100</f>
        <v>20.577617328519857</v>
      </c>
      <c r="J216" s="28"/>
      <c r="K216" s="28"/>
      <c r="L216" s="28"/>
    </row>
    <row r="217" spans="1:12" ht="14.85" hidden="1" customHeight="1" x14ac:dyDescent="0.25">
      <c r="A217" s="1907"/>
      <c r="B217" s="1220"/>
      <c r="C217" s="1117" t="s">
        <v>395</v>
      </c>
      <c r="D217" s="144" t="s">
        <v>251</v>
      </c>
      <c r="E217" s="94"/>
      <c r="F217" s="80">
        <v>140</v>
      </c>
      <c r="G217" s="80"/>
      <c r="H217" s="80"/>
      <c r="I217" s="80">
        <v>147</v>
      </c>
      <c r="J217" s="94"/>
      <c r="K217" s="28"/>
      <c r="L217" s="28"/>
    </row>
    <row r="218" spans="1:12" ht="14.85" hidden="1" customHeight="1" x14ac:dyDescent="0.25">
      <c r="A218" s="1907"/>
      <c r="B218" s="1220"/>
      <c r="C218" s="1117"/>
      <c r="D218" s="28" t="s">
        <v>257</v>
      </c>
      <c r="E218" s="94"/>
      <c r="F218" s="80">
        <v>95</v>
      </c>
      <c r="G218" s="80"/>
      <c r="H218" s="80"/>
      <c r="I218" s="80">
        <v>126</v>
      </c>
      <c r="J218" s="94"/>
      <c r="K218" s="28"/>
      <c r="L218" s="28"/>
    </row>
    <row r="219" spans="1:12" hidden="1" x14ac:dyDescent="0.25">
      <c r="A219" s="1907"/>
      <c r="B219" s="1220"/>
      <c r="C219" s="1117"/>
      <c r="D219" s="28" t="s">
        <v>263</v>
      </c>
      <c r="E219" s="94"/>
      <c r="F219" s="80">
        <v>45</v>
      </c>
      <c r="G219" s="80"/>
      <c r="H219" s="80"/>
      <c r="I219" s="80">
        <v>24</v>
      </c>
      <c r="J219" s="94"/>
      <c r="K219" s="28"/>
      <c r="L219" s="28"/>
    </row>
    <row r="220" spans="1:12" hidden="1" x14ac:dyDescent="0.25">
      <c r="A220" s="1907"/>
      <c r="B220" s="1220"/>
      <c r="C220" s="1117"/>
      <c r="D220" s="28" t="s">
        <v>357</v>
      </c>
      <c r="E220" s="94"/>
      <c r="F220" s="97">
        <f>(F219/F217)*100</f>
        <v>32.142857142857146</v>
      </c>
      <c r="G220" s="94"/>
      <c r="H220" s="94"/>
      <c r="I220" s="97">
        <f>I219/I217*100</f>
        <v>16.326530612244898</v>
      </c>
      <c r="J220" s="94"/>
      <c r="K220" s="28"/>
      <c r="L220" s="28"/>
    </row>
    <row r="221" spans="1:12" ht="14.85" hidden="1" customHeight="1" x14ac:dyDescent="0.25">
      <c r="A221" s="1907"/>
      <c r="B221" s="1220"/>
      <c r="C221" s="1117" t="s">
        <v>396</v>
      </c>
      <c r="D221" s="144" t="s">
        <v>251</v>
      </c>
      <c r="E221" s="94"/>
      <c r="F221" s="80">
        <v>25</v>
      </c>
      <c r="G221" s="80"/>
      <c r="H221" s="80"/>
      <c r="I221" s="80">
        <v>9</v>
      </c>
      <c r="J221" s="94"/>
      <c r="K221" s="28"/>
      <c r="L221" s="28"/>
    </row>
    <row r="222" spans="1:12" hidden="1" x14ac:dyDescent="0.25">
      <c r="A222" s="1907"/>
      <c r="B222" s="1220"/>
      <c r="C222" s="1117"/>
      <c r="D222" s="28" t="s">
        <v>257</v>
      </c>
      <c r="E222" s="94"/>
      <c r="F222" s="80">
        <v>10</v>
      </c>
      <c r="G222" s="80"/>
      <c r="H222" s="80"/>
      <c r="I222" s="80">
        <v>6</v>
      </c>
      <c r="J222" s="94"/>
      <c r="K222" s="28"/>
      <c r="L222" s="28"/>
    </row>
    <row r="223" spans="1:12" hidden="1" x14ac:dyDescent="0.25">
      <c r="A223" s="1907"/>
      <c r="B223" s="1220"/>
      <c r="C223" s="1117"/>
      <c r="D223" s="28" t="s">
        <v>263</v>
      </c>
      <c r="E223" s="94"/>
      <c r="F223" s="80">
        <v>10</v>
      </c>
      <c r="G223" s="80"/>
      <c r="H223" s="80"/>
      <c r="I223" s="80">
        <v>3</v>
      </c>
      <c r="J223" s="94"/>
      <c r="K223" s="28"/>
      <c r="L223" s="28"/>
    </row>
    <row r="224" spans="1:12" hidden="1" x14ac:dyDescent="0.25">
      <c r="A224" s="1907"/>
      <c r="B224" s="1220"/>
      <c r="C224" s="1117"/>
      <c r="D224" s="28" t="s">
        <v>357</v>
      </c>
      <c r="E224" s="94"/>
      <c r="F224" s="98">
        <f>(F223/F221)*100</f>
        <v>40</v>
      </c>
      <c r="G224" s="94"/>
      <c r="H224" s="94"/>
      <c r="I224" s="97">
        <f>I223/I221*100</f>
        <v>33.333333333333329</v>
      </c>
      <c r="J224" s="94"/>
      <c r="K224" s="28"/>
      <c r="L224" s="28"/>
    </row>
    <row r="225" spans="1:12" ht="14.85" hidden="1" customHeight="1" x14ac:dyDescent="0.25">
      <c r="A225" s="1907"/>
      <c r="B225" s="1220"/>
      <c r="C225" s="1117" t="s">
        <v>397</v>
      </c>
      <c r="D225" s="144" t="s">
        <v>251</v>
      </c>
      <c r="E225" s="94"/>
      <c r="F225" s="80"/>
      <c r="G225" s="80"/>
      <c r="H225" s="80"/>
      <c r="I225" s="80"/>
      <c r="J225" s="94"/>
      <c r="K225" s="28"/>
      <c r="L225" s="28"/>
    </row>
    <row r="226" spans="1:12" hidden="1" x14ac:dyDescent="0.25">
      <c r="A226" s="1907"/>
      <c r="B226" s="1220"/>
      <c r="C226" s="1117"/>
      <c r="D226" s="28" t="s">
        <v>257</v>
      </c>
      <c r="E226" s="94"/>
      <c r="F226" s="80"/>
      <c r="G226" s="80"/>
      <c r="H226" s="80"/>
      <c r="I226" s="80"/>
      <c r="J226" s="94"/>
      <c r="K226" s="28"/>
      <c r="L226" s="28"/>
    </row>
    <row r="227" spans="1:12" hidden="1" x14ac:dyDescent="0.25">
      <c r="A227" s="1907"/>
      <c r="B227" s="1220"/>
      <c r="C227" s="1117"/>
      <c r="D227" s="28" t="s">
        <v>263</v>
      </c>
      <c r="E227" s="94"/>
      <c r="F227" s="80"/>
      <c r="G227" s="80"/>
      <c r="H227" s="80"/>
      <c r="I227" s="80"/>
      <c r="J227" s="94"/>
      <c r="K227" s="28"/>
      <c r="L227" s="28"/>
    </row>
    <row r="228" spans="1:12" hidden="1" x14ac:dyDescent="0.25">
      <c r="A228" s="1907"/>
      <c r="B228" s="1220"/>
      <c r="C228" s="1117"/>
      <c r="D228" s="28" t="s">
        <v>357</v>
      </c>
      <c r="E228" s="94"/>
      <c r="F228" s="94"/>
      <c r="G228" s="94"/>
      <c r="H228" s="94"/>
      <c r="I228" s="94"/>
      <c r="J228" s="94"/>
      <c r="K228" s="28"/>
      <c r="L228" s="28"/>
    </row>
    <row r="229" spans="1:12" ht="14.85" hidden="1" customHeight="1" x14ac:dyDescent="0.25">
      <c r="A229" s="1907"/>
      <c r="B229" s="1220"/>
      <c r="C229" s="1117" t="s">
        <v>398</v>
      </c>
      <c r="D229" s="144" t="s">
        <v>251</v>
      </c>
      <c r="E229" s="94"/>
      <c r="F229" s="80">
        <v>10</v>
      </c>
      <c r="G229" s="80"/>
      <c r="H229" s="80"/>
      <c r="I229" s="80">
        <v>9</v>
      </c>
      <c r="J229" s="94"/>
      <c r="K229" s="28"/>
      <c r="L229" s="28"/>
    </row>
    <row r="230" spans="1:12" ht="14.85" hidden="1" customHeight="1" x14ac:dyDescent="0.25">
      <c r="A230" s="1907"/>
      <c r="B230" s="1220"/>
      <c r="C230" s="1117"/>
      <c r="D230" s="28" t="s">
        <v>257</v>
      </c>
      <c r="E230" s="94"/>
      <c r="F230" s="80">
        <v>10</v>
      </c>
      <c r="G230" s="80"/>
      <c r="H230" s="80"/>
      <c r="I230" s="80">
        <v>6</v>
      </c>
      <c r="J230" s="94"/>
      <c r="K230" s="28"/>
      <c r="L230" s="28"/>
    </row>
    <row r="231" spans="1:12" hidden="1" x14ac:dyDescent="0.25">
      <c r="A231" s="1907"/>
      <c r="B231" s="1220"/>
      <c r="C231" s="1117"/>
      <c r="D231" s="28" t="s">
        <v>263</v>
      </c>
      <c r="E231" s="94"/>
      <c r="F231" s="80">
        <v>0</v>
      </c>
      <c r="G231" s="80"/>
      <c r="H231" s="80"/>
      <c r="I231" s="80">
        <v>3</v>
      </c>
      <c r="J231" s="94"/>
      <c r="K231" s="28"/>
      <c r="L231" s="28"/>
    </row>
    <row r="232" spans="1:12" hidden="1" x14ac:dyDescent="0.25">
      <c r="A232" s="1907"/>
      <c r="B232" s="1220"/>
      <c r="C232" s="1117"/>
      <c r="D232" s="28" t="s">
        <v>357</v>
      </c>
      <c r="E232" s="94"/>
      <c r="F232" s="97">
        <f>(F231/F229)*100</f>
        <v>0</v>
      </c>
      <c r="G232" s="94"/>
      <c r="H232" s="94"/>
      <c r="I232" s="97">
        <f>(I231/I229)*100</f>
        <v>33.333333333333329</v>
      </c>
      <c r="J232" s="94"/>
      <c r="K232" s="28"/>
      <c r="L232" s="28"/>
    </row>
    <row r="233" spans="1:12" ht="14.85" hidden="1" customHeight="1" x14ac:dyDescent="0.25">
      <c r="A233" s="1907"/>
      <c r="B233" s="1220"/>
      <c r="C233" s="1117" t="s">
        <v>399</v>
      </c>
      <c r="D233" s="144" t="s">
        <v>251</v>
      </c>
      <c r="E233" s="94"/>
      <c r="F233" s="80">
        <v>830</v>
      </c>
      <c r="G233" s="80"/>
      <c r="H233" s="80"/>
      <c r="I233" s="80">
        <v>1218</v>
      </c>
      <c r="J233" s="94"/>
      <c r="K233" s="28"/>
      <c r="L233" s="28"/>
    </row>
    <row r="234" spans="1:12" ht="14.85" hidden="1" customHeight="1" x14ac:dyDescent="0.25">
      <c r="A234" s="1907"/>
      <c r="B234" s="1220"/>
      <c r="C234" s="1117"/>
      <c r="D234" s="28" t="s">
        <v>257</v>
      </c>
      <c r="E234" s="94"/>
      <c r="F234" s="80">
        <v>735</v>
      </c>
      <c r="G234" s="80"/>
      <c r="H234" s="80"/>
      <c r="I234" s="80">
        <v>1134</v>
      </c>
      <c r="J234" s="94"/>
      <c r="K234" s="28"/>
      <c r="L234" s="28"/>
    </row>
    <row r="235" spans="1:12" hidden="1" x14ac:dyDescent="0.25">
      <c r="A235" s="1907"/>
      <c r="B235" s="1220"/>
      <c r="C235" s="1117"/>
      <c r="D235" s="28" t="s">
        <v>263</v>
      </c>
      <c r="E235" s="94"/>
      <c r="F235" s="80">
        <v>95</v>
      </c>
      <c r="G235" s="80"/>
      <c r="H235" s="80"/>
      <c r="I235" s="80">
        <v>90</v>
      </c>
      <c r="J235" s="94"/>
      <c r="K235" s="28"/>
      <c r="L235" s="28"/>
    </row>
    <row r="236" spans="1:12" hidden="1" x14ac:dyDescent="0.25">
      <c r="A236" s="1907"/>
      <c r="B236" s="1220"/>
      <c r="C236" s="1117"/>
      <c r="D236" s="28" t="s">
        <v>357</v>
      </c>
      <c r="E236" s="94"/>
      <c r="F236" s="97">
        <f>(F235/F233)*100</f>
        <v>11.445783132530121</v>
      </c>
      <c r="G236" s="94"/>
      <c r="H236" s="94"/>
      <c r="I236" s="97">
        <f>I235/I233*100</f>
        <v>7.389162561576355</v>
      </c>
      <c r="J236" s="94"/>
      <c r="K236" s="28"/>
      <c r="L236" s="28"/>
    </row>
    <row r="237" spans="1:12" ht="14.85" hidden="1" customHeight="1" x14ac:dyDescent="0.25">
      <c r="A237" s="1907"/>
      <c r="B237" s="1220"/>
      <c r="C237" s="1117" t="s">
        <v>400</v>
      </c>
      <c r="D237" s="144" t="s">
        <v>251</v>
      </c>
      <c r="E237" s="94"/>
      <c r="F237" s="80">
        <v>920</v>
      </c>
      <c r="G237" s="80"/>
      <c r="H237" s="80"/>
      <c r="I237" s="80">
        <v>579</v>
      </c>
      <c r="J237" s="94"/>
      <c r="K237" s="28"/>
      <c r="L237" s="28"/>
    </row>
    <row r="238" spans="1:12" hidden="1" x14ac:dyDescent="0.25">
      <c r="A238" s="1907"/>
      <c r="B238" s="1220"/>
      <c r="C238" s="1117"/>
      <c r="D238" s="28" t="s">
        <v>257</v>
      </c>
      <c r="E238" s="94"/>
      <c r="F238" s="80">
        <v>755</v>
      </c>
      <c r="G238" s="80"/>
      <c r="H238" s="80"/>
      <c r="I238" s="80">
        <v>543</v>
      </c>
      <c r="J238" s="94"/>
      <c r="K238" s="28"/>
      <c r="L238" s="28"/>
    </row>
    <row r="239" spans="1:12" hidden="1" x14ac:dyDescent="0.25">
      <c r="A239" s="1907"/>
      <c r="B239" s="1220"/>
      <c r="C239" s="1117"/>
      <c r="D239" s="28" t="s">
        <v>263</v>
      </c>
      <c r="E239" s="94"/>
      <c r="F239" s="80">
        <v>165</v>
      </c>
      <c r="G239" s="80"/>
      <c r="H239" s="80"/>
      <c r="I239" s="80">
        <v>36</v>
      </c>
      <c r="J239" s="94"/>
      <c r="K239" s="28"/>
      <c r="L239" s="28"/>
    </row>
    <row r="240" spans="1:12" hidden="1" x14ac:dyDescent="0.25">
      <c r="A240" s="1907"/>
      <c r="B240" s="1220"/>
      <c r="C240" s="1117"/>
      <c r="D240" s="28" t="s">
        <v>357</v>
      </c>
      <c r="E240" s="94"/>
      <c r="F240" s="97">
        <f>(F239/F237)*100</f>
        <v>17.934782608695652</v>
      </c>
      <c r="G240" s="94"/>
      <c r="H240" s="94"/>
      <c r="I240" s="97">
        <f>I239/I237*100</f>
        <v>6.2176165803108807</v>
      </c>
      <c r="J240" s="94"/>
      <c r="K240" s="28"/>
      <c r="L240" s="28"/>
    </row>
    <row r="241" spans="1:12" ht="14.85" hidden="1" customHeight="1" x14ac:dyDescent="0.25">
      <c r="A241" s="1907"/>
      <c r="B241" s="1220"/>
      <c r="C241" s="1117" t="s">
        <v>401</v>
      </c>
      <c r="D241" s="144" t="s">
        <v>251</v>
      </c>
      <c r="E241" s="94"/>
      <c r="F241" s="80">
        <v>605</v>
      </c>
      <c r="G241" s="80"/>
      <c r="H241" s="80"/>
      <c r="I241" s="80">
        <v>318</v>
      </c>
      <c r="J241" s="94"/>
      <c r="K241" s="28"/>
      <c r="L241" s="28"/>
    </row>
    <row r="242" spans="1:12" hidden="1" x14ac:dyDescent="0.25">
      <c r="A242" s="1907"/>
      <c r="B242" s="1220"/>
      <c r="C242" s="1117"/>
      <c r="D242" s="28" t="s">
        <v>257</v>
      </c>
      <c r="E242" s="94"/>
      <c r="F242" s="80">
        <v>500</v>
      </c>
      <c r="G242" s="80"/>
      <c r="H242" s="80"/>
      <c r="I242" s="80">
        <v>294</v>
      </c>
      <c r="J242" s="94"/>
      <c r="K242" s="28"/>
      <c r="L242" s="28"/>
    </row>
    <row r="243" spans="1:12" hidden="1" x14ac:dyDescent="0.25">
      <c r="A243" s="1907"/>
      <c r="B243" s="1220"/>
      <c r="C243" s="1117"/>
      <c r="D243" s="28" t="s">
        <v>263</v>
      </c>
      <c r="E243" s="94"/>
      <c r="F243" s="80">
        <v>105</v>
      </c>
      <c r="G243" s="80"/>
      <c r="H243" s="80"/>
      <c r="I243" s="80">
        <v>27</v>
      </c>
      <c r="J243" s="94"/>
      <c r="K243" s="28"/>
      <c r="L243" s="28"/>
    </row>
    <row r="244" spans="1:12" hidden="1" x14ac:dyDescent="0.25">
      <c r="A244" s="1907"/>
      <c r="B244" s="1220"/>
      <c r="C244" s="1117"/>
      <c r="D244" s="28" t="s">
        <v>357</v>
      </c>
      <c r="E244" s="94"/>
      <c r="F244" s="97">
        <f>(F243/F241)*100</f>
        <v>17.355371900826448</v>
      </c>
      <c r="G244" s="94"/>
      <c r="H244" s="94"/>
      <c r="I244" s="97">
        <f>I243/I241*100</f>
        <v>8.4905660377358494</v>
      </c>
      <c r="J244" s="94"/>
      <c r="K244" s="28"/>
      <c r="L244" s="28"/>
    </row>
    <row r="245" spans="1:12" ht="14.85" hidden="1" customHeight="1" x14ac:dyDescent="0.25">
      <c r="A245" s="1907"/>
      <c r="B245" s="1220"/>
      <c r="C245" s="1117" t="s">
        <v>402</v>
      </c>
      <c r="D245" s="144" t="s">
        <v>251</v>
      </c>
      <c r="E245" s="94"/>
      <c r="F245" s="80">
        <v>585</v>
      </c>
      <c r="G245" s="80"/>
      <c r="H245" s="80"/>
      <c r="I245" s="80">
        <v>669</v>
      </c>
      <c r="J245" s="94"/>
      <c r="K245" s="28"/>
      <c r="L245" s="28"/>
    </row>
    <row r="246" spans="1:12" hidden="1" x14ac:dyDescent="0.25">
      <c r="A246" s="1907"/>
      <c r="B246" s="1220"/>
      <c r="C246" s="1117"/>
      <c r="D246" s="28" t="s">
        <v>257</v>
      </c>
      <c r="E246" s="94"/>
      <c r="F246" s="80">
        <v>530</v>
      </c>
      <c r="G246" s="80"/>
      <c r="H246" s="80"/>
      <c r="I246" s="80">
        <v>624</v>
      </c>
      <c r="J246" s="94"/>
      <c r="K246" s="28"/>
      <c r="L246" s="28"/>
    </row>
    <row r="247" spans="1:12" hidden="1" x14ac:dyDescent="0.25">
      <c r="A247" s="1907"/>
      <c r="B247" s="1220"/>
      <c r="C247" s="1117"/>
      <c r="D247" s="28" t="s">
        <v>263</v>
      </c>
      <c r="E247" s="94"/>
      <c r="F247" s="80">
        <v>60</v>
      </c>
      <c r="G247" s="80"/>
      <c r="H247" s="80"/>
      <c r="I247" s="80">
        <v>45</v>
      </c>
      <c r="J247" s="94"/>
      <c r="K247" s="28"/>
      <c r="L247" s="28"/>
    </row>
    <row r="248" spans="1:12" hidden="1" x14ac:dyDescent="0.25">
      <c r="A248" s="1907"/>
      <c r="B248" s="1220"/>
      <c r="C248" s="1117"/>
      <c r="D248" s="28" t="s">
        <v>357</v>
      </c>
      <c r="E248" s="94"/>
      <c r="F248" s="97">
        <f>(F247/F245)*100</f>
        <v>10.256410256410255</v>
      </c>
      <c r="G248" s="94"/>
      <c r="H248" s="94"/>
      <c r="I248" s="97">
        <f>I247/I245*100</f>
        <v>6.7264573991031389</v>
      </c>
      <c r="J248" s="94"/>
      <c r="K248" s="28"/>
      <c r="L248" s="28"/>
    </row>
    <row r="249" spans="1:12" ht="14.85" hidden="1" customHeight="1" x14ac:dyDescent="0.25">
      <c r="A249" s="1907"/>
      <c r="B249" s="1220"/>
      <c r="C249" s="1117" t="s">
        <v>403</v>
      </c>
      <c r="D249" s="144" t="s">
        <v>251</v>
      </c>
      <c r="E249" s="94"/>
      <c r="F249" s="80">
        <v>765</v>
      </c>
      <c r="G249" s="80"/>
      <c r="H249" s="80"/>
      <c r="I249" s="80">
        <v>828</v>
      </c>
      <c r="J249" s="94"/>
      <c r="K249" s="28"/>
      <c r="L249" s="28"/>
    </row>
    <row r="250" spans="1:12" hidden="1" x14ac:dyDescent="0.25">
      <c r="A250" s="1907"/>
      <c r="B250" s="1220"/>
      <c r="C250" s="1117"/>
      <c r="D250" s="28" t="s">
        <v>257</v>
      </c>
      <c r="E250" s="94"/>
      <c r="F250" s="80">
        <v>710</v>
      </c>
      <c r="G250" s="80"/>
      <c r="H250" s="80"/>
      <c r="I250" s="80">
        <v>747</v>
      </c>
      <c r="J250" s="94"/>
      <c r="K250" s="28"/>
      <c r="L250" s="28"/>
    </row>
    <row r="251" spans="1:12" hidden="1" x14ac:dyDescent="0.25">
      <c r="A251" s="1907"/>
      <c r="B251" s="1220"/>
      <c r="C251" s="1117"/>
      <c r="D251" s="28" t="s">
        <v>263</v>
      </c>
      <c r="E251" s="94"/>
      <c r="F251" s="80">
        <v>55</v>
      </c>
      <c r="G251" s="80"/>
      <c r="H251" s="80"/>
      <c r="I251" s="80">
        <v>78</v>
      </c>
      <c r="J251" s="94"/>
      <c r="K251" s="28"/>
      <c r="L251" s="28"/>
    </row>
    <row r="252" spans="1:12" hidden="1" x14ac:dyDescent="0.25">
      <c r="A252" s="1907"/>
      <c r="B252" s="1220"/>
      <c r="C252" s="1117"/>
      <c r="D252" s="28" t="s">
        <v>357</v>
      </c>
      <c r="E252" s="94"/>
      <c r="F252" s="97">
        <f>(F251/F249)*100</f>
        <v>7.18954248366013</v>
      </c>
      <c r="G252" s="94"/>
      <c r="H252" s="94"/>
      <c r="I252" s="97">
        <f>I251/I249*100</f>
        <v>9.4202898550724647</v>
      </c>
      <c r="J252" s="94"/>
      <c r="K252" s="28"/>
      <c r="L252" s="28"/>
    </row>
    <row r="253" spans="1:12" ht="14.85" hidden="1" customHeight="1" x14ac:dyDescent="0.25">
      <c r="A253" s="1907"/>
      <c r="B253" s="1220"/>
      <c r="C253" s="1117" t="s">
        <v>404</v>
      </c>
      <c r="D253" s="144" t="s">
        <v>251</v>
      </c>
      <c r="E253" s="94"/>
      <c r="F253" s="80">
        <v>545</v>
      </c>
      <c r="G253" s="80"/>
      <c r="H253" s="80"/>
      <c r="I253" s="80">
        <v>252</v>
      </c>
      <c r="J253" s="94"/>
      <c r="K253" s="28"/>
      <c r="L253" s="28"/>
    </row>
    <row r="254" spans="1:12" ht="14.85" hidden="1" customHeight="1" x14ac:dyDescent="0.25">
      <c r="A254" s="1907"/>
      <c r="B254" s="1220"/>
      <c r="C254" s="1117"/>
      <c r="D254" s="28" t="s">
        <v>257</v>
      </c>
      <c r="E254" s="94"/>
      <c r="F254" s="80">
        <v>395</v>
      </c>
      <c r="G254" s="80"/>
      <c r="H254" s="80"/>
      <c r="I254" s="80">
        <v>189</v>
      </c>
      <c r="J254" s="94"/>
      <c r="K254" s="28"/>
      <c r="L254" s="28"/>
    </row>
    <row r="255" spans="1:12" hidden="1" x14ac:dyDescent="0.25">
      <c r="A255" s="1907"/>
      <c r="B255" s="1220"/>
      <c r="C255" s="1117"/>
      <c r="D255" s="28" t="s">
        <v>263</v>
      </c>
      <c r="E255" s="94"/>
      <c r="F255" s="80">
        <v>150</v>
      </c>
      <c r="G255" s="80"/>
      <c r="H255" s="80"/>
      <c r="I255" s="80">
        <v>60</v>
      </c>
      <c r="J255" s="94"/>
      <c r="K255" s="28"/>
      <c r="L255" s="28"/>
    </row>
    <row r="256" spans="1:12" hidden="1" x14ac:dyDescent="0.25">
      <c r="A256" s="1907"/>
      <c r="B256" s="1220"/>
      <c r="C256" s="1117"/>
      <c r="D256" s="28" t="s">
        <v>357</v>
      </c>
      <c r="E256" s="94"/>
      <c r="F256" s="97">
        <f>(F255/F253)*100</f>
        <v>27.522935779816514</v>
      </c>
      <c r="G256" s="94"/>
      <c r="H256" s="94"/>
      <c r="I256" s="97">
        <f>I255/I253*100</f>
        <v>23.809523809523807</v>
      </c>
      <c r="J256" s="94"/>
      <c r="K256" s="28"/>
      <c r="L256" s="28"/>
    </row>
    <row r="257" spans="1:12" ht="14.85" hidden="1" customHeight="1" x14ac:dyDescent="0.25">
      <c r="A257" s="1907"/>
      <c r="B257" s="1220"/>
      <c r="C257" s="1117" t="s">
        <v>405</v>
      </c>
      <c r="D257" s="144" t="s">
        <v>251</v>
      </c>
      <c r="E257" s="94"/>
      <c r="F257" s="80">
        <v>230</v>
      </c>
      <c r="G257" s="80"/>
      <c r="H257" s="80"/>
      <c r="I257" s="80">
        <v>159</v>
      </c>
      <c r="J257" s="94"/>
      <c r="K257" s="28"/>
      <c r="L257" s="28"/>
    </row>
    <row r="258" spans="1:12" hidden="1" x14ac:dyDescent="0.25">
      <c r="A258" s="1907"/>
      <c r="B258" s="1220"/>
      <c r="C258" s="1117"/>
      <c r="D258" s="28" t="s">
        <v>257</v>
      </c>
      <c r="E258" s="94"/>
      <c r="F258" s="80">
        <v>205</v>
      </c>
      <c r="G258" s="80"/>
      <c r="H258" s="80"/>
      <c r="I258" s="80">
        <v>99</v>
      </c>
      <c r="J258" s="94"/>
      <c r="K258" s="28"/>
      <c r="L258" s="28"/>
    </row>
    <row r="259" spans="1:12" hidden="1" x14ac:dyDescent="0.25">
      <c r="A259" s="1907"/>
      <c r="B259" s="1220"/>
      <c r="C259" s="1117"/>
      <c r="D259" s="28" t="s">
        <v>263</v>
      </c>
      <c r="E259" s="94"/>
      <c r="F259" s="80">
        <v>25</v>
      </c>
      <c r="G259" s="80"/>
      <c r="H259" s="80"/>
      <c r="I259" s="80">
        <v>57</v>
      </c>
      <c r="J259" s="94"/>
      <c r="K259" s="28"/>
      <c r="L259" s="28"/>
    </row>
    <row r="260" spans="1:12" hidden="1" x14ac:dyDescent="0.25">
      <c r="A260" s="1907"/>
      <c r="B260" s="1220"/>
      <c r="C260" s="1117"/>
      <c r="D260" s="28" t="s">
        <v>357</v>
      </c>
      <c r="E260" s="94"/>
      <c r="F260" s="97">
        <f>(F259/F257)*100</f>
        <v>10.869565217391305</v>
      </c>
      <c r="G260" s="94"/>
      <c r="H260" s="94"/>
      <c r="I260" s="97">
        <f>I259/I257*100</f>
        <v>35.849056603773583</v>
      </c>
      <c r="J260" s="94"/>
      <c r="K260" s="28"/>
      <c r="L260" s="28"/>
    </row>
    <row r="261" spans="1:12" ht="14.85" hidden="1" customHeight="1" x14ac:dyDescent="0.25">
      <c r="A261" s="1907"/>
      <c r="B261" s="1220"/>
      <c r="C261" s="1117" t="s">
        <v>406</v>
      </c>
      <c r="D261" s="144" t="s">
        <v>251</v>
      </c>
      <c r="E261" s="94"/>
      <c r="F261" s="80">
        <v>155</v>
      </c>
      <c r="G261" s="80"/>
      <c r="H261" s="80"/>
      <c r="I261" s="80">
        <v>258</v>
      </c>
      <c r="J261" s="94"/>
      <c r="K261" s="28"/>
      <c r="L261" s="28"/>
    </row>
    <row r="262" spans="1:12" hidden="1" x14ac:dyDescent="0.25">
      <c r="A262" s="1907"/>
      <c r="B262" s="1220"/>
      <c r="C262" s="1117"/>
      <c r="D262" s="28" t="s">
        <v>257</v>
      </c>
      <c r="E262" s="94"/>
      <c r="F262" s="80">
        <v>105</v>
      </c>
      <c r="G262" s="80"/>
      <c r="H262" s="80"/>
      <c r="I262" s="80">
        <v>186</v>
      </c>
      <c r="J262" s="94"/>
      <c r="K262" s="28"/>
      <c r="L262" s="28"/>
    </row>
    <row r="263" spans="1:12" hidden="1" x14ac:dyDescent="0.25">
      <c r="A263" s="1907"/>
      <c r="B263" s="1220"/>
      <c r="C263" s="1117"/>
      <c r="D263" s="28" t="s">
        <v>263</v>
      </c>
      <c r="E263" s="94"/>
      <c r="F263" s="80">
        <v>50</v>
      </c>
      <c r="G263" s="80"/>
      <c r="H263" s="80"/>
      <c r="I263" s="80">
        <v>72</v>
      </c>
      <c r="J263" s="94"/>
      <c r="K263" s="28"/>
      <c r="L263" s="28"/>
    </row>
    <row r="264" spans="1:12" hidden="1" x14ac:dyDescent="0.25">
      <c r="A264" s="1907"/>
      <c r="B264" s="1220"/>
      <c r="C264" s="1117"/>
      <c r="D264" s="28" t="s">
        <v>357</v>
      </c>
      <c r="E264" s="94"/>
      <c r="F264" s="97">
        <f>(F263/F261)*100</f>
        <v>32.258064516129032</v>
      </c>
      <c r="G264" s="94"/>
      <c r="H264" s="94"/>
      <c r="I264" s="97">
        <f>I263/I261*100</f>
        <v>27.906976744186046</v>
      </c>
      <c r="J264" s="94"/>
      <c r="K264" s="28"/>
      <c r="L264" s="28"/>
    </row>
    <row r="265" spans="1:12" ht="14.85" hidden="1" customHeight="1" x14ac:dyDescent="0.25">
      <c r="A265" s="1907"/>
      <c r="B265" s="1220"/>
      <c r="C265" s="1117" t="s">
        <v>407</v>
      </c>
      <c r="D265" s="144" t="s">
        <v>251</v>
      </c>
      <c r="E265" s="94"/>
      <c r="F265" s="80">
        <v>625</v>
      </c>
      <c r="G265" s="80"/>
      <c r="H265" s="80"/>
      <c r="I265" s="80">
        <v>294</v>
      </c>
      <c r="J265" s="94"/>
      <c r="K265" s="28"/>
      <c r="L265" s="28"/>
    </row>
    <row r="266" spans="1:12" hidden="1" x14ac:dyDescent="0.25">
      <c r="A266" s="1907"/>
      <c r="B266" s="1220"/>
      <c r="C266" s="1117"/>
      <c r="D266" s="28" t="s">
        <v>257</v>
      </c>
      <c r="E266" s="94"/>
      <c r="F266" s="80">
        <v>390</v>
      </c>
      <c r="G266" s="80"/>
      <c r="H266" s="80"/>
      <c r="I266" s="80">
        <v>204</v>
      </c>
      <c r="J266" s="94"/>
      <c r="K266" s="28"/>
      <c r="L266" s="28"/>
    </row>
    <row r="267" spans="1:12" hidden="1" x14ac:dyDescent="0.25">
      <c r="A267" s="1907"/>
      <c r="B267" s="1220"/>
      <c r="C267" s="1117"/>
      <c r="D267" s="28" t="s">
        <v>263</v>
      </c>
      <c r="E267" s="94"/>
      <c r="F267" s="80">
        <v>230</v>
      </c>
      <c r="G267" s="80"/>
      <c r="H267" s="80"/>
      <c r="I267" s="80">
        <v>90</v>
      </c>
      <c r="J267" s="94"/>
      <c r="K267" s="28"/>
      <c r="L267" s="28"/>
    </row>
    <row r="268" spans="1:12" hidden="1" x14ac:dyDescent="0.25">
      <c r="A268" s="1907"/>
      <c r="B268" s="1220"/>
      <c r="C268" s="1117"/>
      <c r="D268" s="28" t="s">
        <v>357</v>
      </c>
      <c r="E268" s="94"/>
      <c r="F268" s="97">
        <f>(F267/F265)*100</f>
        <v>36.799999999999997</v>
      </c>
      <c r="G268" s="94"/>
      <c r="H268" s="94"/>
      <c r="I268" s="97">
        <f>I267/I265*100</f>
        <v>30.612244897959183</v>
      </c>
      <c r="J268" s="94"/>
      <c r="K268" s="28"/>
      <c r="L268" s="28"/>
    </row>
    <row r="269" spans="1:12" ht="14.85" hidden="1" customHeight="1" x14ac:dyDescent="0.25">
      <c r="A269" s="1907"/>
      <c r="B269" s="1220"/>
      <c r="C269" s="1117" t="s">
        <v>408</v>
      </c>
      <c r="D269" s="144" t="s">
        <v>251</v>
      </c>
      <c r="E269" s="94"/>
      <c r="F269" s="80">
        <v>245</v>
      </c>
      <c r="G269" s="80"/>
      <c r="H269" s="80"/>
      <c r="I269" s="80">
        <v>189</v>
      </c>
      <c r="J269" s="94"/>
      <c r="K269" s="28"/>
      <c r="L269" s="28"/>
    </row>
    <row r="270" spans="1:12" hidden="1" x14ac:dyDescent="0.25">
      <c r="A270" s="1907"/>
      <c r="B270" s="1220"/>
      <c r="C270" s="1117"/>
      <c r="D270" s="28" t="s">
        <v>257</v>
      </c>
      <c r="E270" s="94"/>
      <c r="F270" s="80">
        <v>230</v>
      </c>
      <c r="G270" s="80"/>
      <c r="H270" s="80"/>
      <c r="I270" s="80">
        <v>159</v>
      </c>
      <c r="J270" s="94"/>
      <c r="K270" s="28"/>
      <c r="L270" s="28"/>
    </row>
    <row r="271" spans="1:12" hidden="1" x14ac:dyDescent="0.25">
      <c r="A271" s="1907"/>
      <c r="B271" s="1220"/>
      <c r="C271" s="1117"/>
      <c r="D271" s="28" t="s">
        <v>263</v>
      </c>
      <c r="E271" s="94"/>
      <c r="F271" s="80">
        <v>10</v>
      </c>
      <c r="G271" s="80"/>
      <c r="H271" s="80"/>
      <c r="I271" s="80">
        <v>33</v>
      </c>
      <c r="J271" s="94"/>
      <c r="K271" s="28"/>
      <c r="L271" s="28"/>
    </row>
    <row r="272" spans="1:12" hidden="1" x14ac:dyDescent="0.25">
      <c r="A272" s="1907"/>
      <c r="B272" s="1220"/>
      <c r="C272" s="1117"/>
      <c r="D272" s="28" t="s">
        <v>357</v>
      </c>
      <c r="E272" s="94"/>
      <c r="F272" s="97">
        <f>(F271/F269)*100</f>
        <v>4.0816326530612246</v>
      </c>
      <c r="G272" s="94"/>
      <c r="H272" s="94"/>
      <c r="I272" s="97">
        <f>I271/I269*100</f>
        <v>17.460317460317459</v>
      </c>
      <c r="J272" s="94"/>
      <c r="K272" s="28"/>
      <c r="L272" s="28"/>
    </row>
    <row r="273" spans="1:12" ht="14.85" hidden="1" customHeight="1" x14ac:dyDescent="0.25">
      <c r="A273" s="1907"/>
      <c r="B273" s="1220"/>
      <c r="C273" s="1117" t="s">
        <v>409</v>
      </c>
      <c r="D273" s="144" t="s">
        <v>251</v>
      </c>
      <c r="E273" s="94"/>
      <c r="F273" s="80">
        <v>265</v>
      </c>
      <c r="G273" s="80"/>
      <c r="H273" s="80"/>
      <c r="I273" s="80">
        <v>165</v>
      </c>
      <c r="J273" s="94"/>
      <c r="K273" s="28"/>
      <c r="L273" s="28"/>
    </row>
    <row r="274" spans="1:12" ht="14.85" hidden="1" customHeight="1" x14ac:dyDescent="0.25">
      <c r="A274" s="1907"/>
      <c r="B274" s="1220"/>
      <c r="C274" s="1117"/>
      <c r="D274" s="28" t="s">
        <v>257</v>
      </c>
      <c r="E274" s="94"/>
      <c r="F274" s="80">
        <v>220</v>
      </c>
      <c r="G274" s="80"/>
      <c r="H274" s="80"/>
      <c r="I274" s="80">
        <v>150</v>
      </c>
      <c r="J274" s="94"/>
      <c r="K274" s="28"/>
      <c r="L274" s="28"/>
    </row>
    <row r="275" spans="1:12" hidden="1" x14ac:dyDescent="0.25">
      <c r="A275" s="1907"/>
      <c r="B275" s="1220"/>
      <c r="C275" s="1117"/>
      <c r="D275" s="28" t="s">
        <v>263</v>
      </c>
      <c r="E275" s="94"/>
      <c r="F275" s="80">
        <v>45</v>
      </c>
      <c r="G275" s="80"/>
      <c r="H275" s="80"/>
      <c r="I275" s="80">
        <v>12</v>
      </c>
      <c r="J275" s="94"/>
      <c r="K275" s="28"/>
      <c r="L275" s="28"/>
    </row>
    <row r="276" spans="1:12" hidden="1" x14ac:dyDescent="0.25">
      <c r="A276" s="1907"/>
      <c r="B276" s="1220"/>
      <c r="C276" s="1117"/>
      <c r="D276" s="28" t="s">
        <v>357</v>
      </c>
      <c r="E276" s="94"/>
      <c r="F276" s="97">
        <f>(F275/F273)*100</f>
        <v>16.981132075471699</v>
      </c>
      <c r="G276" s="94"/>
      <c r="H276" s="94"/>
      <c r="I276" s="97">
        <f>I275/I273*100</f>
        <v>7.2727272727272725</v>
      </c>
      <c r="J276" s="94"/>
      <c r="K276" s="28"/>
      <c r="L276" s="28"/>
    </row>
    <row r="277" spans="1:12" ht="14.85" hidden="1" customHeight="1" x14ac:dyDescent="0.25">
      <c r="A277" s="1907"/>
      <c r="B277" s="1220"/>
      <c r="C277" s="1117" t="s">
        <v>410</v>
      </c>
      <c r="D277" s="144" t="s">
        <v>251</v>
      </c>
      <c r="E277" s="94"/>
      <c r="F277" s="80">
        <v>2635</v>
      </c>
      <c r="G277" s="80"/>
      <c r="H277" s="80"/>
      <c r="I277" s="80">
        <v>2652</v>
      </c>
      <c r="J277" s="94"/>
      <c r="K277" s="28"/>
      <c r="L277" s="28"/>
    </row>
    <row r="278" spans="1:12" hidden="1" x14ac:dyDescent="0.25">
      <c r="A278" s="1907"/>
      <c r="B278" s="1220"/>
      <c r="C278" s="1117"/>
      <c r="D278" s="28" t="s">
        <v>257</v>
      </c>
      <c r="E278" s="94"/>
      <c r="F278" s="80">
        <v>2435</v>
      </c>
      <c r="G278" s="80"/>
      <c r="H278" s="80"/>
      <c r="I278" s="80">
        <v>2460</v>
      </c>
      <c r="J278" s="94"/>
      <c r="K278" s="28"/>
      <c r="L278" s="28"/>
    </row>
    <row r="279" spans="1:12" hidden="1" x14ac:dyDescent="0.25">
      <c r="A279" s="1907"/>
      <c r="B279" s="1220"/>
      <c r="C279" s="1117"/>
      <c r="D279" s="28" t="s">
        <v>263</v>
      </c>
      <c r="E279" s="94"/>
      <c r="F279" s="80">
        <v>200</v>
      </c>
      <c r="G279" s="80"/>
      <c r="H279" s="80"/>
      <c r="I279" s="80">
        <v>192</v>
      </c>
      <c r="J279" s="94"/>
      <c r="K279" s="28"/>
      <c r="L279" s="28"/>
    </row>
    <row r="280" spans="1:12" hidden="1" x14ac:dyDescent="0.25">
      <c r="A280" s="1907"/>
      <c r="B280" s="1220"/>
      <c r="C280" s="1117"/>
      <c r="D280" s="28" t="s">
        <v>357</v>
      </c>
      <c r="E280" s="94"/>
      <c r="F280" s="97">
        <f>(F279/F277)*100</f>
        <v>7.5901328273244779</v>
      </c>
      <c r="G280" s="94"/>
      <c r="H280" s="94"/>
      <c r="I280" s="97">
        <f>I279/I277*100</f>
        <v>7.2398190045248878</v>
      </c>
      <c r="J280" s="94"/>
      <c r="K280" s="28"/>
      <c r="L280" s="28"/>
    </row>
    <row r="281" spans="1:12" hidden="1" x14ac:dyDescent="0.25">
      <c r="A281" s="1907"/>
      <c r="B281" s="1220"/>
      <c r="C281" s="1117" t="s">
        <v>411</v>
      </c>
      <c r="D281" s="144" t="s">
        <v>251</v>
      </c>
      <c r="E281" s="94"/>
      <c r="F281" s="80">
        <v>1585</v>
      </c>
      <c r="G281" s="80"/>
      <c r="H281" s="80"/>
      <c r="I281" s="80">
        <v>2337</v>
      </c>
      <c r="J281" s="94"/>
      <c r="K281" s="28"/>
      <c r="L281" s="28"/>
    </row>
    <row r="282" spans="1:12" hidden="1" x14ac:dyDescent="0.25">
      <c r="A282" s="1907"/>
      <c r="B282" s="1220"/>
      <c r="C282" s="1117"/>
      <c r="D282" s="28" t="s">
        <v>257</v>
      </c>
      <c r="E282" s="94"/>
      <c r="F282" s="80">
        <v>35</v>
      </c>
      <c r="G282" s="80"/>
      <c r="H282" s="80"/>
      <c r="I282" s="80">
        <v>87</v>
      </c>
      <c r="J282" s="94"/>
      <c r="K282" s="28"/>
      <c r="L282" s="28"/>
    </row>
    <row r="283" spans="1:12" hidden="1" x14ac:dyDescent="0.25">
      <c r="A283" s="1907"/>
      <c r="B283" s="1220"/>
      <c r="C283" s="1117"/>
      <c r="D283" s="28" t="s">
        <v>263</v>
      </c>
      <c r="E283" s="94"/>
      <c r="F283" s="80">
        <v>1550</v>
      </c>
      <c r="G283" s="80"/>
      <c r="H283" s="80"/>
      <c r="I283" s="80">
        <v>2250</v>
      </c>
      <c r="J283" s="94"/>
      <c r="K283" s="28"/>
      <c r="L283" s="28"/>
    </row>
    <row r="284" spans="1:12" hidden="1" x14ac:dyDescent="0.25">
      <c r="A284" s="1907"/>
      <c r="B284" s="1220"/>
      <c r="C284" s="1117"/>
      <c r="D284" s="28" t="s">
        <v>357</v>
      </c>
      <c r="E284" s="94"/>
      <c r="F284" s="99">
        <f>(F283/F281)*100</f>
        <v>97.791798107255516</v>
      </c>
      <c r="G284" s="94"/>
      <c r="H284" s="94"/>
      <c r="I284" s="99">
        <f>I283/I281*100</f>
        <v>96.277278562259312</v>
      </c>
      <c r="J284" s="94"/>
      <c r="K284" s="28"/>
      <c r="L284" s="28"/>
    </row>
    <row r="285" spans="1:12" ht="14.85" hidden="1" customHeight="1" x14ac:dyDescent="0.25">
      <c r="A285" s="1907"/>
      <c r="B285" s="1220"/>
      <c r="C285" s="1117" t="s">
        <v>412</v>
      </c>
      <c r="D285" s="144" t="s">
        <v>251</v>
      </c>
      <c r="E285" s="94"/>
      <c r="F285" s="80">
        <v>2645</v>
      </c>
      <c r="G285" s="80"/>
      <c r="H285" s="80"/>
      <c r="I285" s="80">
        <v>3282</v>
      </c>
      <c r="J285" s="94"/>
      <c r="K285" s="28"/>
      <c r="L285" s="28"/>
    </row>
    <row r="286" spans="1:12" hidden="1" x14ac:dyDescent="0.25">
      <c r="A286" s="1907"/>
      <c r="B286" s="1220"/>
      <c r="C286" s="1117"/>
      <c r="D286" s="28" t="s">
        <v>257</v>
      </c>
      <c r="E286" s="94"/>
      <c r="F286" s="80">
        <v>445</v>
      </c>
      <c r="G286" s="80"/>
      <c r="H286" s="80"/>
      <c r="I286" s="80">
        <v>729</v>
      </c>
      <c r="J286" s="94"/>
      <c r="K286" s="28"/>
      <c r="L286" s="28"/>
    </row>
    <row r="287" spans="1:12" hidden="1" x14ac:dyDescent="0.25">
      <c r="A287" s="1907"/>
      <c r="B287" s="1220"/>
      <c r="C287" s="1117"/>
      <c r="D287" s="28" t="s">
        <v>263</v>
      </c>
      <c r="E287" s="94"/>
      <c r="F287" s="80">
        <v>2200</v>
      </c>
      <c r="G287" s="80"/>
      <c r="H287" s="80"/>
      <c r="I287" s="80">
        <v>2553</v>
      </c>
      <c r="J287" s="94"/>
      <c r="K287" s="28"/>
      <c r="L287" s="28"/>
    </row>
    <row r="288" spans="1:12" hidden="1" x14ac:dyDescent="0.25">
      <c r="A288" s="1907"/>
      <c r="B288" s="1220"/>
      <c r="C288" s="1117"/>
      <c r="D288" s="28" t="s">
        <v>357</v>
      </c>
      <c r="E288" s="94"/>
      <c r="F288" s="99">
        <f>(F287/F285)*100</f>
        <v>83.175803402646494</v>
      </c>
      <c r="G288" s="94"/>
      <c r="H288" s="94"/>
      <c r="I288" s="99">
        <f>I287/I285*100</f>
        <v>77.787934186471659</v>
      </c>
      <c r="J288" s="94"/>
      <c r="K288" s="28"/>
      <c r="L288" s="28"/>
    </row>
    <row r="289" spans="1:12" ht="14.85" hidden="1" customHeight="1" x14ac:dyDescent="0.25">
      <c r="A289" s="1907"/>
      <c r="B289" s="1220"/>
      <c r="C289" s="1117" t="s">
        <v>413</v>
      </c>
      <c r="D289" s="144" t="s">
        <v>251</v>
      </c>
      <c r="E289" s="94"/>
      <c r="F289" s="80">
        <v>500</v>
      </c>
      <c r="G289" s="80"/>
      <c r="H289" s="80"/>
      <c r="I289" s="80">
        <v>321</v>
      </c>
      <c r="J289" s="94"/>
      <c r="K289" s="28"/>
      <c r="L289" s="28"/>
    </row>
    <row r="290" spans="1:12" ht="14.85" hidden="1" customHeight="1" x14ac:dyDescent="0.25">
      <c r="A290" s="1907"/>
      <c r="B290" s="1220"/>
      <c r="C290" s="1117"/>
      <c r="D290" s="28" t="s">
        <v>257</v>
      </c>
      <c r="E290" s="94"/>
      <c r="F290" s="80">
        <v>135</v>
      </c>
      <c r="G290" s="80"/>
      <c r="H290" s="80"/>
      <c r="I290" s="80">
        <v>150</v>
      </c>
      <c r="J290" s="94"/>
      <c r="K290" s="28"/>
      <c r="L290" s="28"/>
    </row>
    <row r="291" spans="1:12" hidden="1" x14ac:dyDescent="0.25">
      <c r="A291" s="1907"/>
      <c r="B291" s="1220"/>
      <c r="C291" s="1117"/>
      <c r="D291" s="28" t="s">
        <v>263</v>
      </c>
      <c r="E291" s="94"/>
      <c r="F291" s="80">
        <v>365</v>
      </c>
      <c r="G291" s="80"/>
      <c r="H291" s="80"/>
      <c r="I291" s="80">
        <v>171</v>
      </c>
      <c r="J291" s="94"/>
      <c r="K291" s="28"/>
      <c r="L291" s="28"/>
    </row>
    <row r="292" spans="1:12" hidden="1" x14ac:dyDescent="0.25">
      <c r="A292" s="1907"/>
      <c r="B292" s="1220"/>
      <c r="C292" s="1117"/>
      <c r="D292" s="28" t="s">
        <v>357</v>
      </c>
      <c r="E292" s="94"/>
      <c r="F292" s="99">
        <f>(F291/F289)*100</f>
        <v>73</v>
      </c>
      <c r="G292" s="94"/>
      <c r="H292" s="94"/>
      <c r="I292" s="98">
        <f>I291/I289*100</f>
        <v>53.271028037383175</v>
      </c>
      <c r="J292" s="94"/>
      <c r="K292" s="28"/>
      <c r="L292" s="28"/>
    </row>
    <row r="293" spans="1:12" ht="14.85" hidden="1" customHeight="1" x14ac:dyDescent="0.25">
      <c r="A293" s="1907"/>
      <c r="B293" s="1220"/>
      <c r="C293" s="1117" t="s">
        <v>414</v>
      </c>
      <c r="D293" s="144" t="s">
        <v>251</v>
      </c>
      <c r="E293" s="94"/>
      <c r="F293" s="80">
        <v>650</v>
      </c>
      <c r="G293" s="80"/>
      <c r="H293" s="80"/>
      <c r="I293" s="80">
        <v>741</v>
      </c>
      <c r="J293" s="94"/>
      <c r="K293" s="28"/>
      <c r="L293" s="28"/>
    </row>
    <row r="294" spans="1:12" ht="14.85" hidden="1" customHeight="1" x14ac:dyDescent="0.25">
      <c r="A294" s="1907"/>
      <c r="B294" s="1220"/>
      <c r="C294" s="1117"/>
      <c r="D294" s="28" t="s">
        <v>257</v>
      </c>
      <c r="E294" s="94"/>
      <c r="F294" s="80">
        <v>485</v>
      </c>
      <c r="G294" s="80"/>
      <c r="H294" s="80"/>
      <c r="I294" s="80">
        <v>549</v>
      </c>
      <c r="J294" s="94"/>
      <c r="K294" s="28"/>
      <c r="L294" s="28"/>
    </row>
    <row r="295" spans="1:12" hidden="1" x14ac:dyDescent="0.25">
      <c r="A295" s="1907"/>
      <c r="B295" s="1220"/>
      <c r="C295" s="1117"/>
      <c r="D295" s="28" t="s">
        <v>263</v>
      </c>
      <c r="E295" s="94"/>
      <c r="F295" s="80">
        <v>170</v>
      </c>
      <c r="G295" s="80"/>
      <c r="H295" s="80"/>
      <c r="I295" s="80">
        <v>195</v>
      </c>
      <c r="J295" s="94"/>
      <c r="K295" s="28"/>
      <c r="L295" s="28"/>
    </row>
    <row r="296" spans="1:12" hidden="1" x14ac:dyDescent="0.25">
      <c r="A296" s="1907"/>
      <c r="B296" s="1220"/>
      <c r="C296" s="1117"/>
      <c r="D296" s="28" t="s">
        <v>357</v>
      </c>
      <c r="E296" s="94"/>
      <c r="F296" s="97">
        <f>(F295/F293)*100</f>
        <v>26.153846153846157</v>
      </c>
      <c r="G296" s="94"/>
      <c r="H296" s="94"/>
      <c r="I296" s="97">
        <f>I295/I293*100</f>
        <v>26.315789473684209</v>
      </c>
      <c r="J296" s="94"/>
      <c r="K296" s="28"/>
      <c r="L296" s="28"/>
    </row>
    <row r="297" spans="1:12" ht="14.85" hidden="1" customHeight="1" x14ac:dyDescent="0.25">
      <c r="A297" s="1907"/>
      <c r="B297" s="1220"/>
      <c r="C297" s="1117" t="s">
        <v>415</v>
      </c>
      <c r="D297" s="144" t="s">
        <v>251</v>
      </c>
      <c r="E297" s="94"/>
      <c r="F297" s="80">
        <v>100</v>
      </c>
      <c r="G297" s="80"/>
      <c r="H297" s="80"/>
      <c r="I297" s="80">
        <v>90</v>
      </c>
      <c r="J297" s="94"/>
      <c r="K297" s="28"/>
      <c r="L297" s="28"/>
    </row>
    <row r="298" spans="1:12" hidden="1" x14ac:dyDescent="0.25">
      <c r="A298" s="1907"/>
      <c r="B298" s="1220"/>
      <c r="C298" s="1117"/>
      <c r="D298" s="28" t="s">
        <v>257</v>
      </c>
      <c r="E298" s="94"/>
      <c r="F298" s="80">
        <v>20</v>
      </c>
      <c r="G298" s="80"/>
      <c r="H298" s="80"/>
      <c r="I298" s="80">
        <v>72</v>
      </c>
      <c r="J298" s="94"/>
      <c r="K298" s="28"/>
      <c r="L298" s="28"/>
    </row>
    <row r="299" spans="1:12" hidden="1" x14ac:dyDescent="0.25">
      <c r="A299" s="1907"/>
      <c r="B299" s="1220"/>
      <c r="C299" s="1117"/>
      <c r="D299" s="28" t="s">
        <v>263</v>
      </c>
      <c r="E299" s="94"/>
      <c r="F299" s="80">
        <v>75</v>
      </c>
      <c r="G299" s="80"/>
      <c r="H299" s="80"/>
      <c r="I299" s="80">
        <v>18</v>
      </c>
      <c r="J299" s="94"/>
      <c r="K299" s="28"/>
      <c r="L299" s="28"/>
    </row>
    <row r="300" spans="1:12" hidden="1" x14ac:dyDescent="0.25">
      <c r="A300" s="1907"/>
      <c r="B300" s="1220"/>
      <c r="C300" s="1117"/>
      <c r="D300" s="28" t="s">
        <v>357</v>
      </c>
      <c r="E300" s="94"/>
      <c r="F300" s="99">
        <f>(F299/F297)*100</f>
        <v>75</v>
      </c>
      <c r="G300" s="94"/>
      <c r="H300" s="94"/>
      <c r="I300" s="97">
        <f>I299/I297*100</f>
        <v>20</v>
      </c>
      <c r="J300" s="94"/>
      <c r="K300" s="28"/>
      <c r="L300" s="28"/>
    </row>
    <row r="301" spans="1:12" ht="14.85" hidden="1" customHeight="1" x14ac:dyDescent="0.25">
      <c r="A301" s="1907"/>
      <c r="B301" s="1220"/>
      <c r="C301" s="1117" t="s">
        <v>416</v>
      </c>
      <c r="D301" s="144" t="s">
        <v>251</v>
      </c>
      <c r="E301" s="94"/>
      <c r="F301" s="80">
        <v>165</v>
      </c>
      <c r="G301" s="80"/>
      <c r="H301" s="80"/>
      <c r="I301" s="80">
        <v>165</v>
      </c>
      <c r="J301" s="94"/>
      <c r="K301" s="28"/>
      <c r="L301" s="28"/>
    </row>
    <row r="302" spans="1:12" hidden="1" x14ac:dyDescent="0.25">
      <c r="A302" s="1907"/>
      <c r="B302" s="1220"/>
      <c r="C302" s="1117"/>
      <c r="D302" s="28" t="s">
        <v>257</v>
      </c>
      <c r="E302" s="94"/>
      <c r="F302" s="80">
        <v>140</v>
      </c>
      <c r="G302" s="80"/>
      <c r="H302" s="80"/>
      <c r="I302" s="80">
        <v>162</v>
      </c>
      <c r="J302" s="94"/>
      <c r="K302" s="28"/>
      <c r="L302" s="28"/>
    </row>
    <row r="303" spans="1:12" hidden="1" x14ac:dyDescent="0.25">
      <c r="A303" s="1907"/>
      <c r="B303" s="1220"/>
      <c r="C303" s="1117"/>
      <c r="D303" s="28" t="s">
        <v>263</v>
      </c>
      <c r="E303" s="94"/>
      <c r="F303" s="80">
        <v>25</v>
      </c>
      <c r="G303" s="80"/>
      <c r="H303" s="80"/>
      <c r="I303" s="80">
        <v>6</v>
      </c>
      <c r="J303" s="94"/>
      <c r="K303" s="28"/>
      <c r="L303" s="28"/>
    </row>
    <row r="304" spans="1:12" hidden="1" x14ac:dyDescent="0.25">
      <c r="A304" s="1907"/>
      <c r="B304" s="1220"/>
      <c r="C304" s="1117"/>
      <c r="D304" s="28" t="s">
        <v>357</v>
      </c>
      <c r="E304" s="94"/>
      <c r="F304" s="97">
        <f>(F303/F301)*100</f>
        <v>15.151515151515152</v>
      </c>
      <c r="G304" s="94"/>
      <c r="H304" s="94"/>
      <c r="I304" s="97">
        <f>I303/I301*100</f>
        <v>3.6363636363636362</v>
      </c>
      <c r="J304" s="94"/>
      <c r="K304" s="28"/>
      <c r="L304" s="28"/>
    </row>
    <row r="305" spans="1:15" ht="14.85" hidden="1" customHeight="1" x14ac:dyDescent="0.25">
      <c r="A305" s="1907"/>
      <c r="B305" s="1220"/>
      <c r="C305" s="1117" t="s">
        <v>417</v>
      </c>
      <c r="D305" s="144" t="s">
        <v>251</v>
      </c>
      <c r="E305" s="94"/>
      <c r="F305" s="80">
        <v>185</v>
      </c>
      <c r="G305" s="80"/>
      <c r="H305" s="80"/>
      <c r="I305" s="80">
        <v>447</v>
      </c>
      <c r="J305" s="94"/>
      <c r="K305" s="28"/>
      <c r="L305" s="28"/>
    </row>
    <row r="306" spans="1:15" hidden="1" x14ac:dyDescent="0.25">
      <c r="A306" s="1907"/>
      <c r="B306" s="1220"/>
      <c r="C306" s="1117"/>
      <c r="D306" s="28" t="s">
        <v>257</v>
      </c>
      <c r="E306" s="94"/>
      <c r="F306" s="80">
        <v>140</v>
      </c>
      <c r="G306" s="80"/>
      <c r="H306" s="80"/>
      <c r="I306" s="80">
        <v>303</v>
      </c>
      <c r="J306" s="94"/>
      <c r="K306" s="28"/>
      <c r="L306" s="28"/>
    </row>
    <row r="307" spans="1:15" hidden="1" x14ac:dyDescent="0.25">
      <c r="A307" s="1907"/>
      <c r="B307" s="1220"/>
      <c r="C307" s="1117"/>
      <c r="D307" s="28" t="s">
        <v>263</v>
      </c>
      <c r="E307" s="94"/>
      <c r="F307" s="80">
        <v>45</v>
      </c>
      <c r="G307" s="80"/>
      <c r="H307" s="80"/>
      <c r="I307" s="80">
        <v>144</v>
      </c>
      <c r="J307" s="94"/>
      <c r="K307" s="28"/>
      <c r="L307" s="28"/>
    </row>
    <row r="308" spans="1:15" hidden="1" x14ac:dyDescent="0.25">
      <c r="A308" s="1907"/>
      <c r="B308" s="1220"/>
      <c r="C308" s="1117"/>
      <c r="D308" s="28" t="s">
        <v>357</v>
      </c>
      <c r="E308" s="94"/>
      <c r="F308" s="97">
        <f>F307/F305*100</f>
        <v>24.324324324324326</v>
      </c>
      <c r="G308" s="94"/>
      <c r="H308" s="94"/>
      <c r="I308" s="97">
        <f>I307/I305*100</f>
        <v>32.214765100671137</v>
      </c>
      <c r="J308" s="94"/>
      <c r="K308" s="28"/>
      <c r="L308" s="28"/>
    </row>
    <row r="309" spans="1:15" ht="14.85" hidden="1" customHeight="1" x14ac:dyDescent="0.25">
      <c r="A309" s="1907"/>
      <c r="B309" s="1220"/>
      <c r="C309" s="1117" t="s">
        <v>418</v>
      </c>
      <c r="D309" s="144" t="s">
        <v>251</v>
      </c>
      <c r="E309" s="94"/>
      <c r="F309" s="80">
        <v>680</v>
      </c>
      <c r="G309" s="80"/>
      <c r="H309" s="80"/>
      <c r="I309" s="80">
        <v>1206</v>
      </c>
      <c r="J309" s="94"/>
      <c r="K309" s="28"/>
      <c r="L309" s="28"/>
    </row>
    <row r="310" spans="1:15" hidden="1" x14ac:dyDescent="0.25">
      <c r="A310" s="1907"/>
      <c r="B310" s="1220"/>
      <c r="C310" s="1117"/>
      <c r="D310" s="28" t="s">
        <v>263</v>
      </c>
      <c r="E310" s="94"/>
      <c r="F310" s="80">
        <v>610</v>
      </c>
      <c r="G310" s="80"/>
      <c r="H310" s="80"/>
      <c r="I310" s="80">
        <v>987</v>
      </c>
      <c r="J310" s="94"/>
      <c r="K310" s="28"/>
      <c r="L310" s="28"/>
    </row>
    <row r="311" spans="1:15" ht="14.85" hidden="1" customHeight="1" x14ac:dyDescent="0.25">
      <c r="A311" s="1907"/>
      <c r="B311" s="1220"/>
      <c r="C311" s="1117"/>
      <c r="D311" s="28" t="s">
        <v>257</v>
      </c>
      <c r="E311" s="94"/>
      <c r="F311" s="80">
        <v>65</v>
      </c>
      <c r="G311" s="80"/>
      <c r="H311" s="80"/>
      <c r="I311" s="80">
        <v>219</v>
      </c>
      <c r="J311" s="94"/>
      <c r="K311" s="28"/>
      <c r="L311" s="28"/>
    </row>
    <row r="312" spans="1:15" hidden="1" x14ac:dyDescent="0.25">
      <c r="A312" s="1907"/>
      <c r="B312" s="1220"/>
      <c r="C312" s="1274"/>
      <c r="D312" s="110" t="s">
        <v>357</v>
      </c>
      <c r="E312" s="126"/>
      <c r="F312" s="469">
        <f>(F311/F309)*100</f>
        <v>9.5588235294117645</v>
      </c>
      <c r="G312" s="126"/>
      <c r="H312" s="126"/>
      <c r="I312" s="469">
        <f>I311/I309*100</f>
        <v>18.159203980099502</v>
      </c>
      <c r="J312" s="126"/>
      <c r="K312" s="110"/>
      <c r="L312" s="110"/>
    </row>
    <row r="313" spans="1:15" x14ac:dyDescent="0.25">
      <c r="A313" s="1907"/>
      <c r="B313" s="1907"/>
      <c r="C313" s="1251" t="s">
        <v>419</v>
      </c>
      <c r="D313" s="1206"/>
      <c r="E313" s="249"/>
      <c r="F313" s="470">
        <f>33/60*100</f>
        <v>55.000000000000007</v>
      </c>
      <c r="G313" s="612"/>
      <c r="H313" s="612"/>
      <c r="I313" s="471">
        <f>32/61*100</f>
        <v>52.459016393442624</v>
      </c>
      <c r="J313" s="249"/>
      <c r="K313" s="36"/>
      <c r="L313" s="20"/>
    </row>
    <row r="314" spans="1:15" x14ac:dyDescent="0.25">
      <c r="A314" s="1907"/>
      <c r="B314" s="1907"/>
      <c r="C314" s="1109" t="s">
        <v>420</v>
      </c>
      <c r="D314" s="1110"/>
      <c r="E314" s="94"/>
      <c r="F314" s="102">
        <f>15/60*100</f>
        <v>25</v>
      </c>
      <c r="G314" s="92"/>
      <c r="H314" s="92"/>
      <c r="I314" s="102">
        <f>16/61*100</f>
        <v>26.229508196721312</v>
      </c>
      <c r="J314" s="94"/>
      <c r="K314" s="28"/>
      <c r="L314" s="21"/>
    </row>
    <row r="315" spans="1:15" x14ac:dyDescent="0.25">
      <c r="A315" s="1908"/>
      <c r="B315" s="1908"/>
      <c r="C315" s="1156" t="s">
        <v>421</v>
      </c>
      <c r="D315" s="1157"/>
      <c r="E315" s="126"/>
      <c r="F315" s="127">
        <f>12/60*100</f>
        <v>20</v>
      </c>
      <c r="G315" s="128"/>
      <c r="H315" s="128"/>
      <c r="I315" s="127">
        <f>13/61*100</f>
        <v>21.311475409836063</v>
      </c>
      <c r="J315" s="126"/>
      <c r="K315" s="110"/>
      <c r="L315" s="53"/>
    </row>
    <row r="316" spans="1:15" ht="16.5" thickBot="1" x14ac:dyDescent="0.3">
      <c r="A316" s="338" t="s">
        <v>248</v>
      </c>
      <c r="B316" s="463" t="s">
        <v>249</v>
      </c>
      <c r="C316" s="1422"/>
      <c r="D316" s="1422"/>
      <c r="E316" s="616">
        <v>2005</v>
      </c>
      <c r="F316" s="616">
        <v>2010</v>
      </c>
      <c r="G316" s="616">
        <v>2015</v>
      </c>
      <c r="H316" s="616">
        <v>2020</v>
      </c>
      <c r="I316" s="616">
        <v>2021</v>
      </c>
      <c r="J316" s="616">
        <v>2022</v>
      </c>
      <c r="K316" s="616">
        <v>2023</v>
      </c>
      <c r="L316" s="616">
        <v>2024</v>
      </c>
    </row>
    <row r="317" spans="1:15" ht="15" customHeight="1" x14ac:dyDescent="0.25">
      <c r="A317" s="1864" t="s">
        <v>422</v>
      </c>
      <c r="B317" s="1143" t="s">
        <v>164</v>
      </c>
      <c r="C317" s="1728" t="s">
        <v>424</v>
      </c>
      <c r="D317" s="1520"/>
      <c r="E317" s="40"/>
      <c r="F317" s="37">
        <v>873.62</v>
      </c>
      <c r="G317" s="37">
        <v>998.62</v>
      </c>
      <c r="H317" s="37">
        <v>1107</v>
      </c>
      <c r="I317" s="37">
        <v>1140</v>
      </c>
      <c r="J317" s="37">
        <v>1169</v>
      </c>
      <c r="K317" s="37">
        <v>1330</v>
      </c>
      <c r="L317" s="334">
        <v>1347</v>
      </c>
    </row>
    <row r="318" spans="1:15" x14ac:dyDescent="0.25">
      <c r="A318" s="1865"/>
      <c r="B318" s="1144"/>
      <c r="C318" s="1729" t="s">
        <v>425</v>
      </c>
      <c r="D318" s="1331"/>
      <c r="E318" s="28"/>
      <c r="F318" s="29">
        <v>1153.23</v>
      </c>
      <c r="G318" s="29">
        <v>1309.18</v>
      </c>
      <c r="H318" s="29">
        <v>1395</v>
      </c>
      <c r="I318" s="29">
        <v>1439</v>
      </c>
      <c r="J318" s="29">
        <v>1470</v>
      </c>
      <c r="K318" s="29">
        <v>1657</v>
      </c>
      <c r="L318" s="39">
        <v>1676</v>
      </c>
      <c r="M318" s="485"/>
      <c r="N318" s="485"/>
      <c r="O318" s="485"/>
    </row>
    <row r="319" spans="1:15" x14ac:dyDescent="0.25">
      <c r="A319" s="1865"/>
      <c r="B319" s="1144"/>
      <c r="C319" s="1729" t="s">
        <v>426</v>
      </c>
      <c r="D319" s="1331"/>
      <c r="E319" s="28"/>
      <c r="F319" s="29">
        <v>638.55999999999995</v>
      </c>
      <c r="G319" s="29">
        <v>757.46</v>
      </c>
      <c r="H319" s="29">
        <v>877</v>
      </c>
      <c r="I319" s="29">
        <v>908</v>
      </c>
      <c r="J319" s="29">
        <v>937</v>
      </c>
      <c r="K319" s="29">
        <v>1077</v>
      </c>
      <c r="L319" s="39">
        <v>1094</v>
      </c>
    </row>
    <row r="320" spans="1:15" x14ac:dyDescent="0.25">
      <c r="A320" s="1865"/>
      <c r="B320" s="1144"/>
      <c r="C320" s="1730" t="s">
        <v>427</v>
      </c>
      <c r="D320" s="1333"/>
      <c r="E320" s="28"/>
      <c r="F320" s="31">
        <f t="shared" ref="F320:L320" si="17">+F319-F318</f>
        <v>-514.67000000000007</v>
      </c>
      <c r="G320" s="31">
        <f t="shared" si="17"/>
        <v>-551.72</v>
      </c>
      <c r="H320" s="31">
        <f t="shared" si="17"/>
        <v>-518</v>
      </c>
      <c r="I320" s="31">
        <f t="shared" si="17"/>
        <v>-531</v>
      </c>
      <c r="J320" s="31">
        <f t="shared" si="17"/>
        <v>-533</v>
      </c>
      <c r="K320" s="31">
        <f t="shared" si="17"/>
        <v>-580</v>
      </c>
      <c r="L320" s="32">
        <f t="shared" si="17"/>
        <v>-582</v>
      </c>
      <c r="M320" s="905"/>
      <c r="N320" s="905"/>
    </row>
    <row r="321" spans="1:12" ht="16.5" thickBot="1" x14ac:dyDescent="0.3">
      <c r="A321" s="1865"/>
      <c r="B321" s="1264"/>
      <c r="C321" s="1731" t="s">
        <v>428</v>
      </c>
      <c r="D321" s="1335"/>
      <c r="E321" s="33"/>
      <c r="F321" s="34">
        <f t="shared" ref="F321:L321" si="18">(F319-F318)/F318*100</f>
        <v>-44.62856498703642</v>
      </c>
      <c r="G321" s="34">
        <f t="shared" si="18"/>
        <v>-42.142409752669607</v>
      </c>
      <c r="H321" s="34">
        <f t="shared" si="18"/>
        <v>-37.132616487455195</v>
      </c>
      <c r="I321" s="34">
        <f t="shared" si="18"/>
        <v>-36.900625434329392</v>
      </c>
      <c r="J321" s="34">
        <f t="shared" si="18"/>
        <v>-36.258503401360542</v>
      </c>
      <c r="K321" s="34">
        <f t="shared" si="18"/>
        <v>-35.003017501508751</v>
      </c>
      <c r="L321" s="35">
        <f t="shared" si="18"/>
        <v>-34.725536992840098</v>
      </c>
    </row>
    <row r="322" spans="1:12" ht="15" customHeight="1" x14ac:dyDescent="0.25">
      <c r="A322" s="1865"/>
      <c r="B322" s="1143" t="s">
        <v>429</v>
      </c>
      <c r="C322" s="1146" t="s">
        <v>430</v>
      </c>
      <c r="D322" s="1147"/>
      <c r="E322" s="36"/>
      <c r="F322" s="40"/>
      <c r="G322" s="37">
        <v>39.998201115308504</v>
      </c>
      <c r="H322" s="37">
        <v>38.133745229874613</v>
      </c>
      <c r="I322" s="37">
        <v>41.161671406694381</v>
      </c>
      <c r="J322" s="37">
        <v>46.274256144890039</v>
      </c>
      <c r="K322" s="37">
        <v>45.49894403379092</v>
      </c>
      <c r="L322" s="37">
        <v>49</v>
      </c>
    </row>
    <row r="323" spans="1:12" x14ac:dyDescent="0.25">
      <c r="A323" s="1865"/>
      <c r="B323" s="1144"/>
      <c r="C323" s="1148" t="s">
        <v>431</v>
      </c>
      <c r="D323" s="1124"/>
      <c r="E323" s="28"/>
      <c r="F323" s="28"/>
      <c r="G323" s="29">
        <v>43.398349587396851</v>
      </c>
      <c r="H323" s="29">
        <v>42.203742203742209</v>
      </c>
      <c r="I323" s="29">
        <v>45.157168412982365</v>
      </c>
      <c r="J323" s="29">
        <v>50.126103404791934</v>
      </c>
      <c r="K323" s="29">
        <v>50.270614453995542</v>
      </c>
      <c r="L323" s="21">
        <v>53.5</v>
      </c>
    </row>
    <row r="324" spans="1:12" x14ac:dyDescent="0.25">
      <c r="A324" s="1865"/>
      <c r="B324" s="1144"/>
      <c r="C324" s="1148" t="s">
        <v>432</v>
      </c>
      <c r="D324" s="1124"/>
      <c r="E324" s="28"/>
      <c r="F324" s="28"/>
      <c r="G324" s="29">
        <v>36.864846180435535</v>
      </c>
      <c r="H324" s="29">
        <v>34.974176888315043</v>
      </c>
      <c r="I324" s="29">
        <v>38.171734557276729</v>
      </c>
      <c r="J324" s="29">
        <v>43.59368143922773</v>
      </c>
      <c r="K324" s="29">
        <v>42.119503945885008</v>
      </c>
      <c r="L324" s="21">
        <v>45.6</v>
      </c>
    </row>
    <row r="325" spans="1:12" ht="16.5" thickBot="1" x14ac:dyDescent="0.3">
      <c r="A325" s="1865"/>
      <c r="B325" s="1264"/>
      <c r="C325" s="1224" t="s">
        <v>354</v>
      </c>
      <c r="D325" s="1225"/>
      <c r="E325" s="33"/>
      <c r="F325" s="33"/>
      <c r="G325" s="34">
        <f t="shared" ref="G325:L325" si="19">+G324-G323</f>
        <v>-6.5335034069613158</v>
      </c>
      <c r="H325" s="34">
        <f t="shared" si="19"/>
        <v>-7.2295653154271662</v>
      </c>
      <c r="I325" s="34">
        <f t="shared" si="19"/>
        <v>-6.9854338557056366</v>
      </c>
      <c r="J325" s="34">
        <f t="shared" si="19"/>
        <v>-6.532421965564204</v>
      </c>
      <c r="K325" s="34">
        <f t="shared" si="19"/>
        <v>-8.1511105081105342</v>
      </c>
      <c r="L325" s="35">
        <f t="shared" si="19"/>
        <v>-7.8999999999999986</v>
      </c>
    </row>
    <row r="326" spans="1:12" x14ac:dyDescent="0.25">
      <c r="A326" s="1865"/>
      <c r="B326" s="1491" t="s">
        <v>521</v>
      </c>
      <c r="C326" s="1265" t="s">
        <v>434</v>
      </c>
      <c r="D326" s="146" t="s">
        <v>435</v>
      </c>
      <c r="E326" s="36"/>
      <c r="F326" s="36"/>
      <c r="G326" s="36"/>
      <c r="H326" s="36"/>
      <c r="I326" s="40">
        <v>145</v>
      </c>
      <c r="J326" s="40">
        <v>56</v>
      </c>
      <c r="K326" s="40">
        <v>30</v>
      </c>
      <c r="L326" s="20">
        <v>20</v>
      </c>
    </row>
    <row r="327" spans="1:12" x14ac:dyDescent="0.25">
      <c r="A327" s="1865"/>
      <c r="B327" s="1492"/>
      <c r="C327" s="1360"/>
      <c r="D327" s="147" t="s">
        <v>436</v>
      </c>
      <c r="E327" s="28"/>
      <c r="F327" s="28"/>
      <c r="G327" s="28"/>
      <c r="H327" s="28"/>
      <c r="I327" s="28">
        <v>51</v>
      </c>
      <c r="J327" s="28">
        <v>20</v>
      </c>
      <c r="K327" s="28">
        <v>16</v>
      </c>
      <c r="L327" s="21">
        <v>7</v>
      </c>
    </row>
    <row r="328" spans="1:12" x14ac:dyDescent="0.25">
      <c r="A328" s="1865"/>
      <c r="B328" s="1492"/>
      <c r="C328" s="1360"/>
      <c r="D328" s="28" t="s">
        <v>437</v>
      </c>
      <c r="E328" s="28"/>
      <c r="F328" s="28"/>
      <c r="G328" s="28"/>
      <c r="H328" s="28"/>
      <c r="I328" s="28">
        <v>94</v>
      </c>
      <c r="J328" s="28">
        <v>36</v>
      </c>
      <c r="K328" s="28">
        <v>14</v>
      </c>
      <c r="L328" s="21">
        <v>13</v>
      </c>
    </row>
    <row r="329" spans="1:12" x14ac:dyDescent="0.25">
      <c r="A329" s="1865"/>
      <c r="B329" s="1492"/>
      <c r="C329" s="1360"/>
      <c r="D329" s="932" t="s">
        <v>575</v>
      </c>
      <c r="E329" s="28"/>
      <c r="F329" s="28"/>
      <c r="G329" s="28"/>
      <c r="H329" s="28"/>
      <c r="I329" s="157">
        <f>I328-I327</f>
        <v>43</v>
      </c>
      <c r="J329" s="157">
        <f>J328-J327</f>
        <v>16</v>
      </c>
      <c r="K329" s="363">
        <f>K328-K327</f>
        <v>-2</v>
      </c>
      <c r="L329" s="363">
        <f>L328-L327</f>
        <v>6</v>
      </c>
    </row>
    <row r="330" spans="1:12" x14ac:dyDescent="0.25">
      <c r="A330" s="1865"/>
      <c r="B330" s="1492"/>
      <c r="C330" s="1360"/>
      <c r="D330" s="148" t="s">
        <v>270</v>
      </c>
      <c r="E330" s="28"/>
      <c r="F330" s="28"/>
      <c r="G330" s="28"/>
      <c r="H330" s="28"/>
      <c r="I330" s="158">
        <f>I328/I326*100</f>
        <v>64.827586206896541</v>
      </c>
      <c r="J330" s="158">
        <f>J328/J326*100</f>
        <v>64.285714285714292</v>
      </c>
      <c r="K330" s="364">
        <f>K328/K326*100</f>
        <v>46.666666666666664</v>
      </c>
      <c r="L330" s="364">
        <f>L328/L326*100</f>
        <v>65</v>
      </c>
    </row>
    <row r="331" spans="1:12" x14ac:dyDescent="0.25">
      <c r="A331" s="1865"/>
      <c r="B331" s="1492"/>
      <c r="C331" s="1360" t="s">
        <v>438</v>
      </c>
      <c r="D331" s="149" t="s">
        <v>435</v>
      </c>
      <c r="E331" s="28"/>
      <c r="F331" s="28"/>
      <c r="G331" s="28"/>
      <c r="H331" s="28"/>
      <c r="I331" s="44">
        <v>365</v>
      </c>
      <c r="J331" s="44">
        <v>162</v>
      </c>
      <c r="K331" s="44">
        <v>61</v>
      </c>
      <c r="L331" s="21">
        <v>81</v>
      </c>
    </row>
    <row r="332" spans="1:12" x14ac:dyDescent="0.25">
      <c r="A332" s="1865"/>
      <c r="B332" s="1492"/>
      <c r="C332" s="1360"/>
      <c r="D332" s="147" t="s">
        <v>436</v>
      </c>
      <c r="E332" s="28"/>
      <c r="F332" s="28"/>
      <c r="G332" s="28"/>
      <c r="H332" s="28"/>
      <c r="I332" s="28">
        <v>114</v>
      </c>
      <c r="J332" s="28">
        <v>46</v>
      </c>
      <c r="K332" s="28">
        <v>14</v>
      </c>
      <c r="L332" s="21">
        <v>35</v>
      </c>
    </row>
    <row r="333" spans="1:12" x14ac:dyDescent="0.25">
      <c r="A333" s="1865"/>
      <c r="B333" s="1492"/>
      <c r="C333" s="1360"/>
      <c r="D333" s="28" t="s">
        <v>437</v>
      </c>
      <c r="E333" s="28"/>
      <c r="F333" s="28"/>
      <c r="G333" s="28"/>
      <c r="H333" s="28"/>
      <c r="I333" s="28">
        <v>251</v>
      </c>
      <c r="J333" s="28">
        <v>116</v>
      </c>
      <c r="K333" s="28">
        <v>47</v>
      </c>
      <c r="L333" s="21">
        <v>46</v>
      </c>
    </row>
    <row r="334" spans="1:12" x14ac:dyDescent="0.25">
      <c r="A334" s="1865"/>
      <c r="B334" s="1492"/>
      <c r="C334" s="1360"/>
      <c r="D334" s="148" t="s">
        <v>353</v>
      </c>
      <c r="E334" s="28"/>
      <c r="F334" s="28"/>
      <c r="G334" s="28"/>
      <c r="H334" s="28"/>
      <c r="I334" s="157">
        <f>I333-I332</f>
        <v>137</v>
      </c>
      <c r="J334" s="157">
        <f>J333-J332</f>
        <v>70</v>
      </c>
      <c r="K334" s="157">
        <f>K333-K332</f>
        <v>33</v>
      </c>
      <c r="L334" s="157">
        <f>L333-L332</f>
        <v>11</v>
      </c>
    </row>
    <row r="335" spans="1:12" ht="16.5" thickBot="1" x14ac:dyDescent="0.3">
      <c r="A335" s="1865"/>
      <c r="B335" s="1563"/>
      <c r="C335" s="1361"/>
      <c r="D335" s="217" t="s">
        <v>270</v>
      </c>
      <c r="E335" s="33"/>
      <c r="F335" s="33"/>
      <c r="G335" s="33"/>
      <c r="H335" s="33"/>
      <c r="I335" s="161">
        <f>I333/I331*100</f>
        <v>68.767123287671225</v>
      </c>
      <c r="J335" s="161">
        <f>J333/J331*100</f>
        <v>71.604938271604937</v>
      </c>
      <c r="K335" s="161">
        <f>K333/K331*100</f>
        <v>77.049180327868854</v>
      </c>
      <c r="L335" s="161">
        <f>L333/L331*100</f>
        <v>56.79012345679012</v>
      </c>
    </row>
    <row r="336" spans="1:12" ht="15" customHeight="1" x14ac:dyDescent="0.25">
      <c r="A336" s="1865"/>
      <c r="B336" s="1491" t="s">
        <v>180</v>
      </c>
      <c r="C336" s="1306" t="s">
        <v>435</v>
      </c>
      <c r="D336" s="1147"/>
      <c r="E336" s="36"/>
      <c r="F336" s="36"/>
      <c r="G336" s="36"/>
      <c r="H336" s="195">
        <v>24915</v>
      </c>
      <c r="I336" s="195">
        <v>22648</v>
      </c>
      <c r="J336" s="195">
        <v>22441</v>
      </c>
      <c r="K336" s="195">
        <v>22971</v>
      </c>
      <c r="L336" s="20"/>
    </row>
    <row r="337" spans="1:14" x14ac:dyDescent="0.25">
      <c r="A337" s="1865"/>
      <c r="B337" s="1492"/>
      <c r="C337" s="1123" t="s">
        <v>436</v>
      </c>
      <c r="D337" s="1124"/>
      <c r="E337" s="28"/>
      <c r="F337" s="28"/>
      <c r="G337" s="28"/>
      <c r="H337" s="96">
        <v>9807</v>
      </c>
      <c r="I337" s="96">
        <v>8697</v>
      </c>
      <c r="J337" s="96">
        <v>8506</v>
      </c>
      <c r="K337" s="96">
        <v>8770</v>
      </c>
      <c r="L337" s="21"/>
    </row>
    <row r="338" spans="1:14" ht="16.5" thickBot="1" x14ac:dyDescent="0.3">
      <c r="A338" s="1865"/>
      <c r="B338" s="1492"/>
      <c r="C338" s="1913" t="s">
        <v>437</v>
      </c>
      <c r="D338" s="1914"/>
      <c r="E338" s="110"/>
      <c r="F338" s="110"/>
      <c r="G338" s="110"/>
      <c r="H338" s="360">
        <v>15108</v>
      </c>
      <c r="I338" s="360">
        <v>13951</v>
      </c>
      <c r="J338" s="360">
        <v>13935</v>
      </c>
      <c r="K338" s="360">
        <v>14201</v>
      </c>
      <c r="L338" s="53"/>
    </row>
    <row r="339" spans="1:14" x14ac:dyDescent="0.25">
      <c r="A339" s="1865"/>
      <c r="B339" s="1492"/>
      <c r="C339" s="1406" t="s">
        <v>353</v>
      </c>
      <c r="D339" s="1405"/>
      <c r="E339" s="36"/>
      <c r="F339" s="36"/>
      <c r="G339" s="36"/>
      <c r="H339" s="195">
        <f>H338-H337</f>
        <v>5301</v>
      </c>
      <c r="I339" s="195">
        <f>I338-I337</f>
        <v>5254</v>
      </c>
      <c r="J339" s="195">
        <f>J338-J337</f>
        <v>5429</v>
      </c>
      <c r="K339" s="195">
        <f>K338-K337</f>
        <v>5431</v>
      </c>
      <c r="L339" s="20"/>
    </row>
    <row r="340" spans="1:14" x14ac:dyDescent="0.25">
      <c r="A340" s="1866"/>
      <c r="B340" s="1563"/>
      <c r="C340" s="1353" t="s">
        <v>270</v>
      </c>
      <c r="D340" s="1178"/>
      <c r="E340" s="110"/>
      <c r="F340" s="110"/>
      <c r="G340" s="110"/>
      <c r="H340" s="165">
        <f>H338/H336*100</f>
        <v>60.638169777242624</v>
      </c>
      <c r="I340" s="165">
        <f>I338/I336*100</f>
        <v>61.599258212645715</v>
      </c>
      <c r="J340" s="165">
        <f>J338/J336*100</f>
        <v>62.096163272581443</v>
      </c>
      <c r="K340" s="165">
        <f>K338/K336*100</f>
        <v>61.821427016673191</v>
      </c>
      <c r="L340" s="53"/>
    </row>
    <row r="341" spans="1:14" ht="16.5" thickBot="1" x14ac:dyDescent="0.3">
      <c r="A341" s="338" t="s">
        <v>248</v>
      </c>
      <c r="B341" s="463" t="s">
        <v>249</v>
      </c>
      <c r="C341" s="1422"/>
      <c r="D341" s="1422"/>
      <c r="E341" s="616">
        <v>2005</v>
      </c>
      <c r="F341" s="616">
        <v>2010</v>
      </c>
      <c r="G341" s="616">
        <v>2015</v>
      </c>
      <c r="H341" s="616">
        <v>2020</v>
      </c>
      <c r="I341" s="616">
        <v>2021</v>
      </c>
      <c r="J341" s="616">
        <v>2022</v>
      </c>
      <c r="K341" s="616">
        <v>2023</v>
      </c>
      <c r="L341" s="616">
        <v>2024</v>
      </c>
    </row>
    <row r="342" spans="1:14" x14ac:dyDescent="0.25">
      <c r="A342" s="1868" t="s">
        <v>439</v>
      </c>
      <c r="B342" s="1237" t="s">
        <v>440</v>
      </c>
      <c r="C342" s="1249" t="s">
        <v>251</v>
      </c>
      <c r="D342" s="1250"/>
      <c r="E342" s="107">
        <v>80.599999999999994</v>
      </c>
      <c r="F342" s="910">
        <v>82.8</v>
      </c>
      <c r="G342" s="910">
        <v>83.8</v>
      </c>
      <c r="H342" s="910">
        <v>82.2</v>
      </c>
      <c r="I342" s="910">
        <v>84.5</v>
      </c>
      <c r="J342" s="911">
        <v>84.256716735224558</v>
      </c>
      <c r="K342" s="40">
        <v>85.6</v>
      </c>
      <c r="L342" s="108"/>
      <c r="M342" s="326"/>
      <c r="N342" s="326"/>
    </row>
    <row r="343" spans="1:14" x14ac:dyDescent="0.25">
      <c r="A343" s="1822"/>
      <c r="B343" s="1238"/>
      <c r="C343" s="1235" t="s">
        <v>257</v>
      </c>
      <c r="D343" s="1236"/>
      <c r="E343" s="57">
        <v>76.8</v>
      </c>
      <c r="F343" s="58">
        <v>79</v>
      </c>
      <c r="G343" s="58">
        <v>80.3</v>
      </c>
      <c r="H343" s="58">
        <v>78.8</v>
      </c>
      <c r="I343" s="58">
        <v>80.900000000000006</v>
      </c>
      <c r="J343" s="59">
        <v>81.343591342663984</v>
      </c>
      <c r="K343" s="28">
        <v>83</v>
      </c>
      <c r="L343" s="21"/>
    </row>
    <row r="344" spans="1:14" x14ac:dyDescent="0.25">
      <c r="A344" s="1822"/>
      <c r="B344" s="1238"/>
      <c r="C344" s="1235" t="s">
        <v>263</v>
      </c>
      <c r="D344" s="1236"/>
      <c r="E344" s="57">
        <v>84.3</v>
      </c>
      <c r="F344" s="58">
        <v>86.2</v>
      </c>
      <c r="G344" s="58">
        <v>87</v>
      </c>
      <c r="H344" s="58">
        <v>85.4</v>
      </c>
      <c r="I344" s="58">
        <v>87.7</v>
      </c>
      <c r="J344" s="59">
        <v>86.704268743432891</v>
      </c>
      <c r="K344" s="28">
        <v>87.7</v>
      </c>
      <c r="L344" s="21"/>
    </row>
    <row r="345" spans="1:14" ht="16.5" thickBot="1" x14ac:dyDescent="0.3">
      <c r="A345" s="1822"/>
      <c r="B345" s="1568"/>
      <c r="C345" s="1557" t="s">
        <v>441</v>
      </c>
      <c r="D345" s="1558"/>
      <c r="E345" s="476">
        <f t="shared" ref="E345:K345" si="20">+E344-E343</f>
        <v>7.5</v>
      </c>
      <c r="F345" s="476">
        <f t="shared" si="20"/>
        <v>7.2000000000000028</v>
      </c>
      <c r="G345" s="476">
        <f t="shared" si="20"/>
        <v>6.7000000000000028</v>
      </c>
      <c r="H345" s="476">
        <f t="shared" si="20"/>
        <v>6.6000000000000085</v>
      </c>
      <c r="I345" s="476">
        <f t="shared" si="20"/>
        <v>6.7999999999999972</v>
      </c>
      <c r="J345" s="477">
        <f t="shared" si="20"/>
        <v>5.3606774007689069</v>
      </c>
      <c r="K345" s="477">
        <f t="shared" si="20"/>
        <v>4.7000000000000028</v>
      </c>
      <c r="L345" s="53"/>
    </row>
    <row r="346" spans="1:14" x14ac:dyDescent="0.25">
      <c r="A346" s="1822"/>
      <c r="B346" s="1237" t="s">
        <v>192</v>
      </c>
      <c r="C346" s="1249" t="s">
        <v>251</v>
      </c>
      <c r="D346" s="1250"/>
      <c r="E346" s="107"/>
      <c r="F346" s="341"/>
      <c r="G346" s="224">
        <v>8353</v>
      </c>
      <c r="H346" s="224">
        <v>9334</v>
      </c>
      <c r="I346" s="224">
        <v>9485</v>
      </c>
      <c r="J346" s="195">
        <v>9856</v>
      </c>
      <c r="K346" s="195">
        <v>9490</v>
      </c>
      <c r="L346" s="20"/>
    </row>
    <row r="347" spans="1:14" x14ac:dyDescent="0.25">
      <c r="A347" s="1822"/>
      <c r="B347" s="1238"/>
      <c r="C347" s="1235" t="s">
        <v>257</v>
      </c>
      <c r="D347" s="1236"/>
      <c r="E347" s="57"/>
      <c r="F347" s="218"/>
      <c r="G347" s="219">
        <v>4052</v>
      </c>
      <c r="H347" s="219">
        <v>4771</v>
      </c>
      <c r="I347" s="219">
        <v>4835</v>
      </c>
      <c r="J347" s="96">
        <v>4996</v>
      </c>
      <c r="K347" s="96">
        <v>4624</v>
      </c>
      <c r="L347" s="21"/>
    </row>
    <row r="348" spans="1:14" x14ac:dyDescent="0.25">
      <c r="A348" s="1822"/>
      <c r="B348" s="1238"/>
      <c r="C348" s="1235" t="s">
        <v>263</v>
      </c>
      <c r="D348" s="1236"/>
      <c r="E348" s="57"/>
      <c r="F348" s="218"/>
      <c r="G348" s="219">
        <v>4301</v>
      </c>
      <c r="H348" s="219">
        <v>4563</v>
      </c>
      <c r="I348" s="219">
        <v>4650</v>
      </c>
      <c r="J348" s="96">
        <v>4860</v>
      </c>
      <c r="K348" s="96">
        <v>4866</v>
      </c>
      <c r="L348" s="21"/>
    </row>
    <row r="349" spans="1:14" ht="16.5" thickBot="1" x14ac:dyDescent="0.3">
      <c r="A349" s="1869"/>
      <c r="B349" s="1239"/>
      <c r="C349" s="1177" t="s">
        <v>270</v>
      </c>
      <c r="D349" s="1178"/>
      <c r="E349" s="350"/>
      <c r="F349" s="350"/>
      <c r="G349" s="378">
        <f>G348/G346*100</f>
        <v>51.490482461391117</v>
      </c>
      <c r="H349" s="378">
        <f>H348/H346*100</f>
        <v>48.885793871866298</v>
      </c>
      <c r="I349" s="378">
        <f>I348/I346*100</f>
        <v>49.024775962045339</v>
      </c>
      <c r="J349" s="378">
        <f>J348/J346*100</f>
        <v>49.310064935064936</v>
      </c>
      <c r="K349" s="378">
        <f>K348/K346*100</f>
        <v>51.275026343519492</v>
      </c>
      <c r="L349" s="53"/>
    </row>
    <row r="350" spans="1:14" ht="16.5" thickBot="1" x14ac:dyDescent="0.3">
      <c r="A350" s="338" t="s">
        <v>248</v>
      </c>
      <c r="B350" s="822" t="s">
        <v>249</v>
      </c>
      <c r="C350" s="1422"/>
      <c r="D350" s="1422"/>
      <c r="E350" s="616"/>
      <c r="F350" s="616" t="s">
        <v>443</v>
      </c>
      <c r="G350" s="616" t="s">
        <v>444</v>
      </c>
      <c r="H350" s="616" t="s">
        <v>445</v>
      </c>
      <c r="I350" s="616" t="s">
        <v>446</v>
      </c>
      <c r="J350" s="616" t="s">
        <v>447</v>
      </c>
      <c r="K350" s="616" t="s">
        <v>448</v>
      </c>
      <c r="L350" s="616" t="s">
        <v>449</v>
      </c>
    </row>
    <row r="351" spans="1:14" x14ac:dyDescent="0.25">
      <c r="A351" s="1801" t="s">
        <v>450</v>
      </c>
      <c r="B351" s="1900" t="s">
        <v>199</v>
      </c>
      <c r="C351" s="1347" t="s">
        <v>451</v>
      </c>
      <c r="D351" s="430" t="s">
        <v>435</v>
      </c>
      <c r="E351" s="195"/>
      <c r="F351" s="195">
        <v>12349</v>
      </c>
      <c r="G351" s="195">
        <v>9989</v>
      </c>
      <c r="H351" s="195">
        <v>8738</v>
      </c>
      <c r="I351" s="195">
        <v>8304</v>
      </c>
      <c r="J351" s="195">
        <v>8092</v>
      </c>
      <c r="K351" s="195">
        <v>8117</v>
      </c>
      <c r="L351" s="20"/>
    </row>
    <row r="352" spans="1:14" x14ac:dyDescent="0.25">
      <c r="A352" s="1802"/>
      <c r="B352" s="1569"/>
      <c r="C352" s="1348"/>
      <c r="D352" s="428" t="s">
        <v>436</v>
      </c>
      <c r="E352" s="96"/>
      <c r="F352" s="96">
        <v>6268</v>
      </c>
      <c r="G352" s="96">
        <v>5109</v>
      </c>
      <c r="H352" s="96">
        <v>4578</v>
      </c>
      <c r="I352" s="96">
        <v>4313</v>
      </c>
      <c r="J352" s="96">
        <v>4163</v>
      </c>
      <c r="K352" s="96">
        <v>4127</v>
      </c>
      <c r="L352" s="21"/>
    </row>
    <row r="353" spans="1:12" x14ac:dyDescent="0.25">
      <c r="A353" s="1802"/>
      <c r="B353" s="1569"/>
      <c r="C353" s="1348"/>
      <c r="D353" s="428" t="s">
        <v>437</v>
      </c>
      <c r="E353" s="96"/>
      <c r="F353" s="96">
        <v>6081</v>
      </c>
      <c r="G353" s="96">
        <v>4880</v>
      </c>
      <c r="H353" s="96">
        <v>4160</v>
      </c>
      <c r="I353" s="96">
        <v>3991</v>
      </c>
      <c r="J353" s="96">
        <v>3929</v>
      </c>
      <c r="K353" s="96">
        <v>3990</v>
      </c>
      <c r="L353" s="21"/>
    </row>
    <row r="354" spans="1:12" ht="15" customHeight="1" x14ac:dyDescent="0.25">
      <c r="A354" s="1802"/>
      <c r="B354" s="1569"/>
      <c r="C354" s="1348" t="s">
        <v>452</v>
      </c>
      <c r="D354" s="427" t="s">
        <v>435</v>
      </c>
      <c r="E354" s="157"/>
      <c r="F354" s="157">
        <f>F355+F356</f>
        <v>6909</v>
      </c>
      <c r="G354" s="157">
        <f t="shared" ref="G354:J354" si="21">G355+G356</f>
        <v>5826</v>
      </c>
      <c r="H354" s="157">
        <f t="shared" si="21"/>
        <v>5037</v>
      </c>
      <c r="I354" s="157">
        <f t="shared" si="21"/>
        <v>4835</v>
      </c>
      <c r="J354" s="157">
        <f t="shared" si="21"/>
        <v>4926</v>
      </c>
      <c r="K354" s="157">
        <f>SUM(K355:K356)</f>
        <v>5023</v>
      </c>
      <c r="L354" s="21"/>
    </row>
    <row r="355" spans="1:12" x14ac:dyDescent="0.25">
      <c r="A355" s="1802"/>
      <c r="B355" s="1569"/>
      <c r="C355" s="1348"/>
      <c r="D355" s="428" t="s">
        <v>436</v>
      </c>
      <c r="E355" s="96"/>
      <c r="F355" s="96">
        <v>3463</v>
      </c>
      <c r="G355" s="96">
        <v>3011</v>
      </c>
      <c r="H355" s="96">
        <v>2610</v>
      </c>
      <c r="I355" s="96">
        <v>2524</v>
      </c>
      <c r="J355" s="96">
        <v>2479</v>
      </c>
      <c r="K355" s="157">
        <v>2549</v>
      </c>
      <c r="L355" s="21"/>
    </row>
    <row r="356" spans="1:12" ht="16.5" thickBot="1" x14ac:dyDescent="0.3">
      <c r="A356" s="1802"/>
      <c r="B356" s="1569"/>
      <c r="C356" s="1506"/>
      <c r="D356" s="434" t="s">
        <v>437</v>
      </c>
      <c r="E356" s="360"/>
      <c r="F356" s="360">
        <v>3446</v>
      </c>
      <c r="G356" s="360">
        <v>2815</v>
      </c>
      <c r="H356" s="360">
        <v>2427</v>
      </c>
      <c r="I356" s="360">
        <v>2311</v>
      </c>
      <c r="J356" s="360">
        <v>2447</v>
      </c>
      <c r="K356" s="441">
        <v>2474</v>
      </c>
      <c r="L356" s="53"/>
    </row>
    <row r="357" spans="1:12" x14ac:dyDescent="0.25">
      <c r="A357" s="1802"/>
      <c r="B357" s="1569"/>
      <c r="C357" s="1352" t="s">
        <v>453</v>
      </c>
      <c r="D357" s="1250"/>
      <c r="E357" s="195"/>
      <c r="F357" s="37">
        <f>+(F354/F351)*100</f>
        <v>55.947850028342373</v>
      </c>
      <c r="G357" s="37">
        <f t="shared" ref="G357:K357" si="22">+(G354/G351)*100</f>
        <v>58.324156572229455</v>
      </c>
      <c r="H357" s="37">
        <f t="shared" si="22"/>
        <v>57.644769970244901</v>
      </c>
      <c r="I357" s="37">
        <f t="shared" si="22"/>
        <v>58.22495183044316</v>
      </c>
      <c r="J357" s="37">
        <f t="shared" si="22"/>
        <v>60.874938210578343</v>
      </c>
      <c r="K357" s="37">
        <f t="shared" si="22"/>
        <v>61.882468892447953</v>
      </c>
      <c r="L357" s="20"/>
    </row>
    <row r="358" spans="1:12" x14ac:dyDescent="0.25">
      <c r="A358" s="1802"/>
      <c r="B358" s="1569"/>
      <c r="C358" s="1363" t="s">
        <v>454</v>
      </c>
      <c r="D358" s="1236"/>
      <c r="E358" s="28"/>
      <c r="F358" s="187">
        <f>F355/F352*100</f>
        <v>55.248883216336949</v>
      </c>
      <c r="G358" s="187">
        <f>G355/G352*100</f>
        <v>58.935212370326873</v>
      </c>
      <c r="H358" s="187">
        <f t="shared" ref="H358:I358" si="23">H355/H352*100</f>
        <v>57.011795543905642</v>
      </c>
      <c r="I358" s="187">
        <f t="shared" si="23"/>
        <v>58.520751217250179</v>
      </c>
      <c r="J358" s="187">
        <f>J355/J352*100</f>
        <v>59.548402594282969</v>
      </c>
      <c r="K358" s="187">
        <f>K355/K352*100</f>
        <v>61.763993215410707</v>
      </c>
      <c r="L358" s="21"/>
    </row>
    <row r="359" spans="1:12" x14ac:dyDescent="0.25">
      <c r="A359" s="1802"/>
      <c r="B359" s="1569"/>
      <c r="C359" s="1363" t="s">
        <v>455</v>
      </c>
      <c r="D359" s="1236"/>
      <c r="E359" s="28"/>
      <c r="F359" s="187">
        <f>F356/F353*100</f>
        <v>56.668311133037328</v>
      </c>
      <c r="G359" s="187">
        <f>G356/G353*100</f>
        <v>57.684426229508205</v>
      </c>
      <c r="H359" s="187">
        <f t="shared" ref="H359:I359" si="24">H356/H353*100</f>
        <v>58.341346153846153</v>
      </c>
      <c r="I359" s="187">
        <f t="shared" si="24"/>
        <v>57.905286895514905</v>
      </c>
      <c r="J359" s="187">
        <f>J356/J353*100</f>
        <v>62.280478493255274</v>
      </c>
      <c r="K359" s="187">
        <f>K356/K353*100</f>
        <v>62.005012531328319</v>
      </c>
      <c r="L359" s="21"/>
    </row>
    <row r="360" spans="1:12" x14ac:dyDescent="0.25">
      <c r="A360" s="1871"/>
      <c r="B360" s="1570"/>
      <c r="C360" s="1383" t="s">
        <v>354</v>
      </c>
      <c r="D360" s="1384"/>
      <c r="E360" s="336"/>
      <c r="F360" s="454">
        <f>+F359-F358</f>
        <v>1.4194279167003785</v>
      </c>
      <c r="G360" s="349">
        <f t="shared" ref="G360:I360" si="25">+G359-G358</f>
        <v>-1.2507861408186685</v>
      </c>
      <c r="H360" s="593">
        <f t="shared" si="25"/>
        <v>1.3295506099405117</v>
      </c>
      <c r="I360" s="349">
        <f t="shared" si="25"/>
        <v>-0.61546432173527421</v>
      </c>
      <c r="J360" s="593">
        <f>+J359-J358</f>
        <v>2.7320758989723046</v>
      </c>
      <c r="K360" s="593">
        <f>+K359-K358</f>
        <v>0.24101931591761172</v>
      </c>
      <c r="L360" s="53"/>
    </row>
    <row r="361" spans="1:12" ht="16.5" thickBot="1" x14ac:dyDescent="0.3">
      <c r="A361" s="338" t="s">
        <v>248</v>
      </c>
      <c r="B361" s="463" t="s">
        <v>249</v>
      </c>
      <c r="C361" s="1422"/>
      <c r="D361" s="1422"/>
      <c r="E361" s="616" t="s">
        <v>442</v>
      </c>
      <c r="F361" s="616" t="s">
        <v>443</v>
      </c>
      <c r="G361" s="616" t="s">
        <v>444</v>
      </c>
      <c r="H361" s="616" t="s">
        <v>445</v>
      </c>
      <c r="I361" s="616" t="s">
        <v>446</v>
      </c>
      <c r="J361" s="616" t="s">
        <v>447</v>
      </c>
      <c r="K361" s="616" t="s">
        <v>448</v>
      </c>
      <c r="L361" s="616" t="s">
        <v>449</v>
      </c>
    </row>
    <row r="362" spans="1:12" ht="15" customHeight="1" x14ac:dyDescent="0.25">
      <c r="A362" s="1774" t="s">
        <v>456</v>
      </c>
      <c r="B362" s="1876" t="s">
        <v>457</v>
      </c>
      <c r="C362" s="1347" t="s">
        <v>458</v>
      </c>
      <c r="D362" s="229" t="s">
        <v>459</v>
      </c>
      <c r="E362" s="195" t="s">
        <v>460</v>
      </c>
      <c r="F362" s="195">
        <v>1396</v>
      </c>
      <c r="G362" s="195">
        <v>1747</v>
      </c>
      <c r="H362" s="195">
        <v>2025</v>
      </c>
      <c r="I362" s="195">
        <v>2018</v>
      </c>
      <c r="J362" s="195">
        <v>1928</v>
      </c>
      <c r="K362" s="225">
        <v>1971</v>
      </c>
      <c r="L362" s="20"/>
    </row>
    <row r="363" spans="1:12" ht="14.1" customHeight="1" x14ac:dyDescent="0.25">
      <c r="A363" s="1775"/>
      <c r="B363" s="1799"/>
      <c r="C363" s="1348"/>
      <c r="D363" s="227" t="s">
        <v>436</v>
      </c>
      <c r="E363" s="96"/>
      <c r="F363" s="96">
        <v>648</v>
      </c>
      <c r="G363" s="96">
        <v>878</v>
      </c>
      <c r="H363" s="96">
        <v>1014</v>
      </c>
      <c r="I363" s="96">
        <v>975</v>
      </c>
      <c r="J363" s="96">
        <v>902</v>
      </c>
      <c r="K363" s="96">
        <v>937</v>
      </c>
      <c r="L363" s="21"/>
    </row>
    <row r="364" spans="1:12" x14ac:dyDescent="0.25">
      <c r="A364" s="1775"/>
      <c r="B364" s="1799"/>
      <c r="C364" s="1348"/>
      <c r="D364" s="227" t="s">
        <v>437</v>
      </c>
      <c r="E364" s="96"/>
      <c r="F364" s="96">
        <v>748</v>
      </c>
      <c r="G364" s="96">
        <v>869</v>
      </c>
      <c r="H364" s="96">
        <v>1011</v>
      </c>
      <c r="I364" s="96">
        <v>1043</v>
      </c>
      <c r="J364" s="96">
        <v>1026</v>
      </c>
      <c r="K364" s="96">
        <v>1034</v>
      </c>
      <c r="L364" s="21"/>
    </row>
    <row r="365" spans="1:12" ht="15" customHeight="1" x14ac:dyDescent="0.25">
      <c r="A365" s="1775"/>
      <c r="B365" s="1799"/>
      <c r="C365" s="1348" t="s">
        <v>461</v>
      </c>
      <c r="D365" s="226" t="s">
        <v>459</v>
      </c>
      <c r="E365" s="157"/>
      <c r="F365" s="157">
        <v>613</v>
      </c>
      <c r="G365" s="157">
        <f>391+450</f>
        <v>841</v>
      </c>
      <c r="H365" s="44">
        <v>940</v>
      </c>
      <c r="I365" s="157">
        <v>879</v>
      </c>
      <c r="J365" s="157">
        <f>421+456</f>
        <v>877</v>
      </c>
      <c r="K365" s="96">
        <v>965</v>
      </c>
      <c r="L365" s="21"/>
    </row>
    <row r="366" spans="1:12" x14ac:dyDescent="0.25">
      <c r="A366" s="1775"/>
      <c r="B366" s="1799"/>
      <c r="C366" s="1348"/>
      <c r="D366" s="227" t="s">
        <v>436</v>
      </c>
      <c r="E366" s="96"/>
      <c r="F366" s="96">
        <v>334</v>
      </c>
      <c r="G366" s="96">
        <f>215+253</f>
        <v>468</v>
      </c>
      <c r="H366" s="96">
        <v>516</v>
      </c>
      <c r="I366" s="96">
        <v>473</v>
      </c>
      <c r="J366" s="96">
        <f>207+251</f>
        <v>458</v>
      </c>
      <c r="K366" s="96">
        <v>515</v>
      </c>
      <c r="L366" s="21"/>
    </row>
    <row r="367" spans="1:12" ht="16.5" thickBot="1" x14ac:dyDescent="0.3">
      <c r="A367" s="1775"/>
      <c r="B367" s="1799"/>
      <c r="C367" s="1349"/>
      <c r="D367" s="239" t="s">
        <v>437</v>
      </c>
      <c r="E367" s="190"/>
      <c r="F367" s="190">
        <v>279</v>
      </c>
      <c r="G367" s="190">
        <f>176+197</f>
        <v>373</v>
      </c>
      <c r="H367" s="190">
        <v>424</v>
      </c>
      <c r="I367" s="190">
        <v>406</v>
      </c>
      <c r="J367" s="190">
        <f>214+205</f>
        <v>419</v>
      </c>
      <c r="K367" s="190">
        <v>450</v>
      </c>
      <c r="L367" s="22"/>
    </row>
    <row r="368" spans="1:12" x14ac:dyDescent="0.25">
      <c r="A368" s="1775"/>
      <c r="B368" s="1799"/>
      <c r="C368" s="1389" t="s">
        <v>462</v>
      </c>
      <c r="D368" s="1390"/>
      <c r="E368" s="225"/>
      <c r="F368" s="283">
        <f>F366/F363*100</f>
        <v>51.543209876543209</v>
      </c>
      <c r="G368" s="283">
        <f>G366/G363*100</f>
        <v>53.302961275626423</v>
      </c>
      <c r="H368" s="283">
        <f t="shared" ref="H368:I369" si="26">H366/H363*100</f>
        <v>50.887573964497044</v>
      </c>
      <c r="I368" s="283">
        <f t="shared" si="26"/>
        <v>48.512820512820518</v>
      </c>
      <c r="J368" s="283">
        <f>J366/J363*100</f>
        <v>50.77605321507761</v>
      </c>
      <c r="K368" s="283">
        <f>K366/K363*100</f>
        <v>54.96264674493063</v>
      </c>
      <c r="L368" s="20"/>
    </row>
    <row r="369" spans="1:12" x14ac:dyDescent="0.25">
      <c r="A369" s="1775"/>
      <c r="B369" s="1799"/>
      <c r="C369" s="1123" t="s">
        <v>463</v>
      </c>
      <c r="D369" s="1124"/>
      <c r="E369" s="96"/>
      <c r="F369" s="29">
        <f>F367/F364*100</f>
        <v>37.299465240641709</v>
      </c>
      <c r="G369" s="29">
        <f>G367/G364*100</f>
        <v>42.922899884925201</v>
      </c>
      <c r="H369" s="29">
        <f t="shared" si="26"/>
        <v>41.938674579624134</v>
      </c>
      <c r="I369" s="29">
        <f t="shared" si="26"/>
        <v>38.926174496644293</v>
      </c>
      <c r="J369" s="29">
        <f>J367/J364*100</f>
        <v>40.838206627680314</v>
      </c>
      <c r="K369" s="29">
        <f>K367/K364*100</f>
        <v>43.520309477756285</v>
      </c>
      <c r="L369" s="21"/>
    </row>
    <row r="370" spans="1:12" ht="16.5" thickBot="1" x14ac:dyDescent="0.3">
      <c r="A370" s="1775"/>
      <c r="B370" s="1877"/>
      <c r="C370" s="1359" t="s">
        <v>354</v>
      </c>
      <c r="D370" s="1225"/>
      <c r="E370" s="33"/>
      <c r="F370" s="161">
        <f>+F369-F368</f>
        <v>-14.2437446359015</v>
      </c>
      <c r="G370" s="161">
        <f t="shared" ref="G370:I370" si="27">+G369-G368</f>
        <v>-10.380061390701222</v>
      </c>
      <c r="H370" s="161">
        <f t="shared" si="27"/>
        <v>-8.9488993848729095</v>
      </c>
      <c r="I370" s="161">
        <f t="shared" si="27"/>
        <v>-9.5866460161762248</v>
      </c>
      <c r="J370" s="161">
        <f>+J369-J368</f>
        <v>-9.9378465873972957</v>
      </c>
      <c r="K370" s="161">
        <f>+K369-K368</f>
        <v>-11.442337267174345</v>
      </c>
      <c r="L370" s="22"/>
    </row>
    <row r="371" spans="1:12" ht="16.5" thickBot="1" x14ac:dyDescent="0.3">
      <c r="A371" s="1775"/>
      <c r="B371" s="823" t="s">
        <v>249</v>
      </c>
      <c r="C371" s="1675"/>
      <c r="D371" s="1675"/>
      <c r="E371" s="112" t="s">
        <v>442</v>
      </c>
      <c r="F371" s="112" t="s">
        <v>443</v>
      </c>
      <c r="G371" s="112" t="s">
        <v>444</v>
      </c>
      <c r="H371" s="112" t="s">
        <v>445</v>
      </c>
      <c r="I371" s="112" t="s">
        <v>446</v>
      </c>
      <c r="J371" s="112" t="s">
        <v>447</v>
      </c>
      <c r="K371" s="112" t="s">
        <v>448</v>
      </c>
      <c r="L371" s="616" t="s">
        <v>449</v>
      </c>
    </row>
    <row r="372" spans="1:12" ht="15" customHeight="1" x14ac:dyDescent="0.25">
      <c r="A372" s="1775"/>
      <c r="B372" s="1876" t="s">
        <v>464</v>
      </c>
      <c r="C372" s="1251" t="s">
        <v>459</v>
      </c>
      <c r="D372" s="1206"/>
      <c r="E372" s="40"/>
      <c r="F372" s="195">
        <v>686</v>
      </c>
      <c r="G372" s="195">
        <v>901</v>
      </c>
      <c r="H372" s="195">
        <v>1374</v>
      </c>
      <c r="I372" s="195">
        <v>1986</v>
      </c>
      <c r="J372" s="195">
        <v>3031</v>
      </c>
      <c r="K372" s="195">
        <v>3837</v>
      </c>
      <c r="L372" s="20"/>
    </row>
    <row r="373" spans="1:12" x14ac:dyDescent="0.25">
      <c r="A373" s="1775"/>
      <c r="B373" s="1799"/>
      <c r="C373" s="1123" t="s">
        <v>436</v>
      </c>
      <c r="D373" s="1124"/>
      <c r="E373" s="96"/>
      <c r="F373" s="96">
        <v>391</v>
      </c>
      <c r="G373" s="96">
        <v>544</v>
      </c>
      <c r="H373" s="96">
        <v>804</v>
      </c>
      <c r="I373" s="96">
        <v>1004</v>
      </c>
      <c r="J373" s="96">
        <v>1371</v>
      </c>
      <c r="K373" s="96">
        <v>1823</v>
      </c>
      <c r="L373" s="96"/>
    </row>
    <row r="374" spans="1:12" x14ac:dyDescent="0.25">
      <c r="A374" s="1775"/>
      <c r="B374" s="1799"/>
      <c r="C374" s="1123" t="s">
        <v>437</v>
      </c>
      <c r="D374" s="1124"/>
      <c r="E374" s="96"/>
      <c r="F374" s="96">
        <v>295</v>
      </c>
      <c r="G374" s="96">
        <v>357</v>
      </c>
      <c r="H374" s="96">
        <v>570</v>
      </c>
      <c r="I374" s="96">
        <v>982</v>
      </c>
      <c r="J374" s="96">
        <v>1660</v>
      </c>
      <c r="K374" s="96">
        <v>2014</v>
      </c>
      <c r="L374" s="96"/>
    </row>
    <row r="375" spans="1:12" ht="16.5" thickBot="1" x14ac:dyDescent="0.3">
      <c r="A375" s="1775"/>
      <c r="B375" s="1799"/>
      <c r="C375" s="1577" t="s">
        <v>270</v>
      </c>
      <c r="D375" s="1634"/>
      <c r="E375" s="360"/>
      <c r="F375" s="435">
        <f t="shared" ref="F375:J375" si="28">F374/F372*100</f>
        <v>43.002915451895049</v>
      </c>
      <c r="G375" s="435">
        <f t="shared" si="28"/>
        <v>39.622641509433961</v>
      </c>
      <c r="H375" s="435">
        <f t="shared" si="28"/>
        <v>41.484716157205241</v>
      </c>
      <c r="I375" s="435">
        <f t="shared" si="28"/>
        <v>49.446122860020139</v>
      </c>
      <c r="J375" s="435">
        <f t="shared" si="28"/>
        <v>54.767403497195644</v>
      </c>
      <c r="K375" s="435">
        <f>K374/K372*100</f>
        <v>52.488923638259052</v>
      </c>
      <c r="L375" s="53"/>
    </row>
    <row r="376" spans="1:12" x14ac:dyDescent="0.25">
      <c r="A376" s="1775"/>
      <c r="B376" s="1799"/>
      <c r="C376" s="1159" t="s">
        <v>465</v>
      </c>
      <c r="D376" s="248" t="s">
        <v>251</v>
      </c>
      <c r="E376" s="249"/>
      <c r="F376" s="250">
        <v>202</v>
      </c>
      <c r="G376" s="250">
        <v>232</v>
      </c>
      <c r="H376" s="250">
        <v>426</v>
      </c>
      <c r="I376" s="250">
        <v>910</v>
      </c>
      <c r="J376" s="250">
        <v>1592</v>
      </c>
      <c r="K376" s="250">
        <v>2005</v>
      </c>
      <c r="L376" s="20"/>
    </row>
    <row r="377" spans="1:12" x14ac:dyDescent="0.25">
      <c r="A377" s="1775"/>
      <c r="B377" s="1799"/>
      <c r="C377" s="1160"/>
      <c r="D377" s="28" t="s">
        <v>257</v>
      </c>
      <c r="E377" s="94"/>
      <c r="F377" s="236">
        <v>38</v>
      </c>
      <c r="G377" s="236">
        <v>59</v>
      </c>
      <c r="H377" s="236">
        <v>129</v>
      </c>
      <c r="I377" s="236">
        <v>206</v>
      </c>
      <c r="J377" s="236">
        <v>300</v>
      </c>
      <c r="K377" s="28">
        <v>433</v>
      </c>
      <c r="L377" s="21"/>
    </row>
    <row r="378" spans="1:12" x14ac:dyDescent="0.25">
      <c r="A378" s="1775"/>
      <c r="B378" s="1799"/>
      <c r="C378" s="1160"/>
      <c r="D378" s="28" t="s">
        <v>263</v>
      </c>
      <c r="E378" s="94"/>
      <c r="F378" s="236">
        <v>164</v>
      </c>
      <c r="G378" s="236">
        <v>173</v>
      </c>
      <c r="H378" s="236">
        <v>297</v>
      </c>
      <c r="I378" s="236">
        <v>704</v>
      </c>
      <c r="J378" s="236">
        <v>1292</v>
      </c>
      <c r="K378" s="96">
        <v>1572</v>
      </c>
      <c r="L378" s="21"/>
    </row>
    <row r="379" spans="1:12" ht="16.5" thickBot="1" x14ac:dyDescent="0.3">
      <c r="A379" s="1775"/>
      <c r="B379" s="1799"/>
      <c r="C379" s="1161"/>
      <c r="D379" s="203" t="s">
        <v>270</v>
      </c>
      <c r="E379" s="104"/>
      <c r="F379" s="251">
        <f>(F378/F376)*100</f>
        <v>81.188118811881196</v>
      </c>
      <c r="G379" s="251">
        <f>(G378/G376)*100</f>
        <v>74.568965517241381</v>
      </c>
      <c r="H379" s="251">
        <f>(H378/H376)*100</f>
        <v>69.718309859154928</v>
      </c>
      <c r="I379" s="251">
        <f>I378/I376*100</f>
        <v>77.362637362637372</v>
      </c>
      <c r="J379" s="251">
        <f>J378/J376*100</f>
        <v>81.155778894472363</v>
      </c>
      <c r="K379" s="251">
        <f>K378/K376*100</f>
        <v>78.403990024937656</v>
      </c>
      <c r="L379" s="22"/>
    </row>
    <row r="380" spans="1:12" x14ac:dyDescent="0.25">
      <c r="A380" s="1775"/>
      <c r="B380" s="1799"/>
      <c r="C380" s="1659" t="s">
        <v>466</v>
      </c>
      <c r="D380" s="241" t="s">
        <v>251</v>
      </c>
      <c r="E380" s="242"/>
      <c r="F380" s="243">
        <v>81</v>
      </c>
      <c r="G380" s="243">
        <v>74</v>
      </c>
      <c r="H380" s="243">
        <v>111</v>
      </c>
      <c r="I380" s="243">
        <v>87</v>
      </c>
      <c r="J380" s="243">
        <v>193</v>
      </c>
      <c r="K380" s="122">
        <v>291</v>
      </c>
      <c r="L380" s="87"/>
    </row>
    <row r="381" spans="1:12" x14ac:dyDescent="0.25">
      <c r="A381" s="1775"/>
      <c r="B381" s="1799"/>
      <c r="C381" s="1160"/>
      <c r="D381" s="28" t="s">
        <v>257</v>
      </c>
      <c r="E381" s="94"/>
      <c r="F381" s="236">
        <v>25</v>
      </c>
      <c r="G381" s="236">
        <v>32</v>
      </c>
      <c r="H381" s="236">
        <v>50</v>
      </c>
      <c r="I381" s="236">
        <v>40</v>
      </c>
      <c r="J381" s="236">
        <v>74</v>
      </c>
      <c r="K381" s="28">
        <v>114</v>
      </c>
      <c r="L381" s="21"/>
    </row>
    <row r="382" spans="1:12" x14ac:dyDescent="0.25">
      <c r="A382" s="1775"/>
      <c r="B382" s="1799"/>
      <c r="C382" s="1160"/>
      <c r="D382" s="28" t="s">
        <v>263</v>
      </c>
      <c r="E382" s="94"/>
      <c r="F382" s="236">
        <v>56</v>
      </c>
      <c r="G382" s="236">
        <v>42</v>
      </c>
      <c r="H382" s="236">
        <v>61</v>
      </c>
      <c r="I382" s="236">
        <v>47</v>
      </c>
      <c r="J382" s="236">
        <v>119</v>
      </c>
      <c r="K382" s="28">
        <v>177</v>
      </c>
      <c r="L382" s="21"/>
    </row>
    <row r="383" spans="1:12" ht="16.5" thickBot="1" x14ac:dyDescent="0.3">
      <c r="A383" s="1775"/>
      <c r="B383" s="1799"/>
      <c r="C383" s="1161"/>
      <c r="D383" s="203" t="s">
        <v>270</v>
      </c>
      <c r="E383" s="104"/>
      <c r="F383" s="251">
        <f>(F382/F380)*100</f>
        <v>69.135802469135797</v>
      </c>
      <c r="G383" s="252">
        <f t="shared" ref="G383:J383" si="29">(G382/G380)*100</f>
        <v>56.756756756756758</v>
      </c>
      <c r="H383" s="252">
        <f t="shared" si="29"/>
        <v>54.954954954954957</v>
      </c>
      <c r="I383" s="252">
        <f t="shared" si="29"/>
        <v>54.022988505747129</v>
      </c>
      <c r="J383" s="251">
        <f t="shared" si="29"/>
        <v>61.6580310880829</v>
      </c>
      <c r="K383" s="251">
        <f>(K382/K380)*100</f>
        <v>60.824742268041234</v>
      </c>
      <c r="L383" s="22"/>
    </row>
    <row r="384" spans="1:12" x14ac:dyDescent="0.25">
      <c r="A384" s="1775"/>
      <c r="B384" s="1799"/>
      <c r="C384" s="1159" t="s">
        <v>467</v>
      </c>
      <c r="D384" s="248" t="s">
        <v>251</v>
      </c>
      <c r="E384" s="249"/>
      <c r="F384" s="250">
        <v>41</v>
      </c>
      <c r="G384" s="250">
        <v>89</v>
      </c>
      <c r="H384" s="250">
        <v>195</v>
      </c>
      <c r="I384" s="250">
        <v>346</v>
      </c>
      <c r="J384" s="250">
        <v>576</v>
      </c>
      <c r="K384" s="36">
        <v>826</v>
      </c>
      <c r="L384" s="20"/>
    </row>
    <row r="385" spans="1:12" x14ac:dyDescent="0.25">
      <c r="A385" s="1775"/>
      <c r="B385" s="1799"/>
      <c r="C385" s="1160"/>
      <c r="D385" s="28" t="s">
        <v>257</v>
      </c>
      <c r="E385" s="94"/>
      <c r="F385" s="236">
        <v>32</v>
      </c>
      <c r="G385" s="236">
        <v>78</v>
      </c>
      <c r="H385" s="236">
        <v>187</v>
      </c>
      <c r="I385" s="236">
        <v>314</v>
      </c>
      <c r="J385" s="236">
        <v>516</v>
      </c>
      <c r="K385" s="28">
        <v>753</v>
      </c>
      <c r="L385" s="21"/>
    </row>
    <row r="386" spans="1:12" x14ac:dyDescent="0.25">
      <c r="A386" s="1775"/>
      <c r="B386" s="1799"/>
      <c r="C386" s="1160"/>
      <c r="D386" s="28" t="s">
        <v>263</v>
      </c>
      <c r="E386" s="94"/>
      <c r="F386" s="236">
        <v>9</v>
      </c>
      <c r="G386" s="236">
        <v>11</v>
      </c>
      <c r="H386" s="236">
        <v>8</v>
      </c>
      <c r="I386" s="236">
        <v>32</v>
      </c>
      <c r="J386" s="236">
        <v>60</v>
      </c>
      <c r="K386" s="28">
        <v>73</v>
      </c>
      <c r="L386" s="21"/>
    </row>
    <row r="387" spans="1:12" ht="16.5" thickBot="1" x14ac:dyDescent="0.3">
      <c r="A387" s="1775"/>
      <c r="B387" s="1799"/>
      <c r="C387" s="1519"/>
      <c r="D387" s="336" t="s">
        <v>270</v>
      </c>
      <c r="E387" s="126"/>
      <c r="F387" s="596">
        <f>(F386/F384)*100</f>
        <v>21.951219512195124</v>
      </c>
      <c r="G387" s="596">
        <f t="shared" ref="G387:J387" si="30">(G386/G384)*100</f>
        <v>12.359550561797752</v>
      </c>
      <c r="H387" s="596">
        <f t="shared" si="30"/>
        <v>4.1025641025641022</v>
      </c>
      <c r="I387" s="596">
        <f t="shared" si="30"/>
        <v>9.2485549132947966</v>
      </c>
      <c r="J387" s="596">
        <f t="shared" si="30"/>
        <v>10.416666666666668</v>
      </c>
      <c r="K387" s="596">
        <f>(K386/K384)*100</f>
        <v>8.8377723970944313</v>
      </c>
      <c r="L387" s="53"/>
    </row>
    <row r="388" spans="1:12" x14ac:dyDescent="0.25">
      <c r="A388" s="1775"/>
      <c r="B388" s="1799"/>
      <c r="C388" s="1159" t="s">
        <v>581</v>
      </c>
      <c r="D388" s="248" t="s">
        <v>251</v>
      </c>
      <c r="E388" s="249"/>
      <c r="F388" s="250">
        <v>129</v>
      </c>
      <c r="G388" s="250">
        <v>125</v>
      </c>
      <c r="H388" s="250">
        <v>125</v>
      </c>
      <c r="I388" s="250">
        <v>127</v>
      </c>
      <c r="J388" s="250">
        <v>153</v>
      </c>
      <c r="K388" s="36">
        <v>138</v>
      </c>
      <c r="L388" s="20"/>
    </row>
    <row r="389" spans="1:12" ht="14.85" customHeight="1" x14ac:dyDescent="0.25">
      <c r="A389" s="1775"/>
      <c r="B389" s="1799"/>
      <c r="C389" s="1160"/>
      <c r="D389" s="28" t="s">
        <v>257</v>
      </c>
      <c r="E389" s="94"/>
      <c r="F389" s="236">
        <v>124</v>
      </c>
      <c r="G389" s="236">
        <v>122</v>
      </c>
      <c r="H389" s="236">
        <v>124</v>
      </c>
      <c r="I389" s="236">
        <v>126</v>
      </c>
      <c r="J389" s="236">
        <v>151</v>
      </c>
      <c r="K389" s="28">
        <v>133</v>
      </c>
      <c r="L389" s="21"/>
    </row>
    <row r="390" spans="1:12" x14ac:dyDescent="0.25">
      <c r="A390" s="1775"/>
      <c r="B390" s="1799"/>
      <c r="C390" s="1160"/>
      <c r="D390" s="28" t="s">
        <v>263</v>
      </c>
      <c r="E390" s="94"/>
      <c r="F390" s="236">
        <v>5</v>
      </c>
      <c r="G390" s="236">
        <v>3</v>
      </c>
      <c r="H390" s="236">
        <v>1</v>
      </c>
      <c r="I390" s="236">
        <v>1</v>
      </c>
      <c r="J390" s="236">
        <v>2</v>
      </c>
      <c r="K390" s="28">
        <v>5</v>
      </c>
      <c r="L390" s="21"/>
    </row>
    <row r="391" spans="1:12" ht="16.5" thickBot="1" x14ac:dyDescent="0.3">
      <c r="A391" s="1775"/>
      <c r="B391" s="1799"/>
      <c r="C391" s="1161"/>
      <c r="D391" s="203" t="s">
        <v>270</v>
      </c>
      <c r="E391" s="106"/>
      <c r="F391" s="253">
        <f>(F390/F388)*100</f>
        <v>3.8759689922480618</v>
      </c>
      <c r="G391" s="253">
        <f t="shared" ref="G391:J391" si="31">(G390/G388)*100</f>
        <v>2.4</v>
      </c>
      <c r="H391" s="253">
        <f t="shared" si="31"/>
        <v>0.8</v>
      </c>
      <c r="I391" s="253">
        <f t="shared" si="31"/>
        <v>0.78740157480314954</v>
      </c>
      <c r="J391" s="253">
        <f t="shared" si="31"/>
        <v>1.3071895424836601</v>
      </c>
      <c r="K391" s="253">
        <f>(K390/K388)*100</f>
        <v>3.6231884057971016</v>
      </c>
      <c r="L391" s="22"/>
    </row>
    <row r="392" spans="1:12" ht="14.85" customHeight="1" x14ac:dyDescent="0.25">
      <c r="A392" s="1775"/>
      <c r="B392" s="1799"/>
      <c r="C392" s="1659" t="s">
        <v>582</v>
      </c>
      <c r="D392" s="241" t="s">
        <v>251</v>
      </c>
      <c r="E392" s="242"/>
      <c r="F392" s="243">
        <v>107</v>
      </c>
      <c r="G392" s="243">
        <v>82</v>
      </c>
      <c r="H392" s="243">
        <v>86</v>
      </c>
      <c r="I392" s="243">
        <v>80</v>
      </c>
      <c r="J392" s="243">
        <v>87</v>
      </c>
      <c r="K392" s="122">
        <v>180</v>
      </c>
      <c r="L392" s="87"/>
    </row>
    <row r="393" spans="1:12" ht="14.85" customHeight="1" x14ac:dyDescent="0.25">
      <c r="A393" s="1775"/>
      <c r="B393" s="1799"/>
      <c r="C393" s="1160"/>
      <c r="D393" s="28" t="s">
        <v>257</v>
      </c>
      <c r="E393" s="94"/>
      <c r="F393" s="236">
        <v>103</v>
      </c>
      <c r="G393" s="236">
        <v>78</v>
      </c>
      <c r="H393" s="236">
        <v>81</v>
      </c>
      <c r="I393" s="236">
        <v>74</v>
      </c>
      <c r="J393" s="236">
        <v>85</v>
      </c>
      <c r="K393" s="28">
        <v>174</v>
      </c>
      <c r="L393" s="21"/>
    </row>
    <row r="394" spans="1:12" x14ac:dyDescent="0.25">
      <c r="A394" s="1775"/>
      <c r="B394" s="1799"/>
      <c r="C394" s="1160"/>
      <c r="D394" s="28" t="s">
        <v>263</v>
      </c>
      <c r="E394" s="94"/>
      <c r="F394" s="236">
        <v>4</v>
      </c>
      <c r="G394" s="236">
        <v>4</v>
      </c>
      <c r="H394" s="236">
        <v>5</v>
      </c>
      <c r="I394" s="236">
        <v>6</v>
      </c>
      <c r="J394" s="236">
        <v>2</v>
      </c>
      <c r="K394" s="28">
        <v>6</v>
      </c>
      <c r="L394" s="21"/>
    </row>
    <row r="395" spans="1:12" ht="16.5" thickBot="1" x14ac:dyDescent="0.3">
      <c r="A395" s="1775"/>
      <c r="B395" s="1799"/>
      <c r="C395" s="1519"/>
      <c r="D395" s="336" t="s">
        <v>270</v>
      </c>
      <c r="E395" s="128"/>
      <c r="F395" s="596">
        <f>(F394/F392)*100</f>
        <v>3.7383177570093453</v>
      </c>
      <c r="G395" s="596">
        <f>(G394/G392)*100</f>
        <v>4.8780487804878048</v>
      </c>
      <c r="H395" s="596">
        <f t="shared" ref="H395:J395" si="32">(H394/H392)*100</f>
        <v>5.8139534883720927</v>
      </c>
      <c r="I395" s="596">
        <f t="shared" si="32"/>
        <v>7.5</v>
      </c>
      <c r="J395" s="596">
        <f t="shared" si="32"/>
        <v>2.2988505747126435</v>
      </c>
      <c r="K395" s="596">
        <f>(K394/K392)*100</f>
        <v>3.3333333333333335</v>
      </c>
      <c r="L395" s="53"/>
    </row>
    <row r="396" spans="1:12" ht="14.85" customHeight="1" x14ac:dyDescent="0.25">
      <c r="A396" s="1775"/>
      <c r="B396" s="1799"/>
      <c r="C396" s="1159" t="s">
        <v>470</v>
      </c>
      <c r="D396" s="248" t="s">
        <v>251</v>
      </c>
      <c r="E396" s="249"/>
      <c r="F396" s="250">
        <v>40</v>
      </c>
      <c r="G396" s="250">
        <v>114</v>
      </c>
      <c r="H396" s="250">
        <v>114</v>
      </c>
      <c r="I396" s="250">
        <v>76</v>
      </c>
      <c r="J396" s="250">
        <v>77</v>
      </c>
      <c r="K396" s="36">
        <v>63</v>
      </c>
      <c r="L396" s="20"/>
    </row>
    <row r="397" spans="1:12" ht="14.85" customHeight="1" x14ac:dyDescent="0.25">
      <c r="A397" s="1775"/>
      <c r="B397" s="1799"/>
      <c r="C397" s="1160"/>
      <c r="D397" s="28" t="s">
        <v>257</v>
      </c>
      <c r="E397" s="94"/>
      <c r="F397" s="236">
        <v>0</v>
      </c>
      <c r="G397" s="236">
        <v>21</v>
      </c>
      <c r="H397" s="236">
        <v>14</v>
      </c>
      <c r="I397" s="236">
        <v>7</v>
      </c>
      <c r="J397" s="236">
        <v>13</v>
      </c>
      <c r="K397" s="28">
        <v>11</v>
      </c>
      <c r="L397" s="21"/>
    </row>
    <row r="398" spans="1:12" x14ac:dyDescent="0.25">
      <c r="A398" s="1775"/>
      <c r="B398" s="1799"/>
      <c r="C398" s="1160"/>
      <c r="D398" s="28" t="s">
        <v>263</v>
      </c>
      <c r="E398" s="94"/>
      <c r="F398" s="236">
        <v>40</v>
      </c>
      <c r="G398" s="236">
        <v>93</v>
      </c>
      <c r="H398" s="236">
        <v>100</v>
      </c>
      <c r="I398" s="236">
        <v>69</v>
      </c>
      <c r="J398" s="236">
        <v>64</v>
      </c>
      <c r="K398" s="11">
        <v>52</v>
      </c>
      <c r="L398" s="21"/>
    </row>
    <row r="399" spans="1:12" ht="16.5" thickBot="1" x14ac:dyDescent="0.3">
      <c r="A399" s="1775"/>
      <c r="B399" s="1799"/>
      <c r="C399" s="1161"/>
      <c r="D399" s="203" t="s">
        <v>270</v>
      </c>
      <c r="E399" s="106"/>
      <c r="F399" s="251">
        <f>(F398/F396)*100</f>
        <v>100</v>
      </c>
      <c r="G399" s="251">
        <f t="shared" ref="G399:J399" si="33">(G398/G396)*100</f>
        <v>81.578947368421055</v>
      </c>
      <c r="H399" s="251">
        <f t="shared" si="33"/>
        <v>87.719298245614027</v>
      </c>
      <c r="I399" s="251">
        <f t="shared" si="33"/>
        <v>90.789473684210535</v>
      </c>
      <c r="J399" s="251">
        <f t="shared" si="33"/>
        <v>83.116883116883116</v>
      </c>
      <c r="K399" s="251">
        <f>(K398/K396)*100</f>
        <v>82.539682539682531</v>
      </c>
      <c r="L399" s="22"/>
    </row>
    <row r="400" spans="1:12" ht="14.85" customHeight="1" x14ac:dyDescent="0.25">
      <c r="A400" s="1775"/>
      <c r="B400" s="1799"/>
      <c r="C400" s="1659" t="s">
        <v>590</v>
      </c>
      <c r="D400" s="241" t="s">
        <v>251</v>
      </c>
      <c r="E400" s="242"/>
      <c r="F400" s="243">
        <v>47</v>
      </c>
      <c r="G400" s="243">
        <v>123</v>
      </c>
      <c r="H400" s="243">
        <v>88</v>
      </c>
      <c r="I400" s="243">
        <v>98</v>
      </c>
      <c r="J400" s="243">
        <v>113</v>
      </c>
      <c r="K400" s="122">
        <v>104</v>
      </c>
      <c r="L400" s="87"/>
    </row>
    <row r="401" spans="1:12" ht="14.85" customHeight="1" x14ac:dyDescent="0.25">
      <c r="A401" s="1775"/>
      <c r="B401" s="1799"/>
      <c r="C401" s="1160"/>
      <c r="D401" s="28" t="s">
        <v>257</v>
      </c>
      <c r="E401" s="94"/>
      <c r="F401" s="236">
        <v>46</v>
      </c>
      <c r="G401" s="236">
        <v>119</v>
      </c>
      <c r="H401" s="236">
        <v>88</v>
      </c>
      <c r="I401" s="236">
        <v>98</v>
      </c>
      <c r="J401" s="236">
        <v>113</v>
      </c>
      <c r="K401" s="28">
        <v>104</v>
      </c>
      <c r="L401" s="21"/>
    </row>
    <row r="402" spans="1:12" x14ac:dyDescent="0.25">
      <c r="A402" s="1775"/>
      <c r="B402" s="1799"/>
      <c r="C402" s="1160"/>
      <c r="D402" s="28" t="s">
        <v>263</v>
      </c>
      <c r="E402" s="94"/>
      <c r="F402" s="236">
        <v>1</v>
      </c>
      <c r="G402" s="236">
        <v>4</v>
      </c>
      <c r="H402" s="236">
        <v>0</v>
      </c>
      <c r="I402" s="236">
        <v>0</v>
      </c>
      <c r="J402" s="236">
        <v>0</v>
      </c>
      <c r="K402" s="28">
        <v>0</v>
      </c>
      <c r="L402" s="21"/>
    </row>
    <row r="403" spans="1:12" ht="16.5" thickBot="1" x14ac:dyDescent="0.3">
      <c r="A403" s="1775"/>
      <c r="B403" s="1799"/>
      <c r="C403" s="1161"/>
      <c r="D403" s="203" t="s">
        <v>270</v>
      </c>
      <c r="E403" s="106"/>
      <c r="F403" s="253">
        <f>(F402/F400)*100</f>
        <v>2.1276595744680851</v>
      </c>
      <c r="G403" s="253">
        <f>(G402/G400)*100</f>
        <v>3.2520325203252036</v>
      </c>
      <c r="H403" s="253">
        <f>(H402/H400)*100</f>
        <v>0</v>
      </c>
      <c r="I403" s="253">
        <f t="shared" ref="I403:J403" si="34">(I402/I400)*100</f>
        <v>0</v>
      </c>
      <c r="J403" s="253">
        <f t="shared" si="34"/>
        <v>0</v>
      </c>
      <c r="K403" s="253">
        <f>(K402/K400)*100</f>
        <v>0</v>
      </c>
      <c r="L403" s="22"/>
    </row>
    <row r="404" spans="1:12" ht="14.85" customHeight="1" x14ac:dyDescent="0.25">
      <c r="A404" s="1775"/>
      <c r="B404" s="1799"/>
      <c r="C404" s="1159" t="s">
        <v>471</v>
      </c>
      <c r="D404" s="248" t="s">
        <v>251</v>
      </c>
      <c r="E404" s="249"/>
      <c r="F404" s="250">
        <v>39</v>
      </c>
      <c r="G404" s="250">
        <v>42</v>
      </c>
      <c r="H404" s="250">
        <v>60</v>
      </c>
      <c r="I404" s="250">
        <v>87</v>
      </c>
      <c r="J404" s="250">
        <v>100</v>
      </c>
      <c r="K404" s="36">
        <v>98</v>
      </c>
      <c r="L404" s="20"/>
    </row>
    <row r="405" spans="1:12" ht="14.85" customHeight="1" x14ac:dyDescent="0.25">
      <c r="A405" s="1775"/>
      <c r="B405" s="1799"/>
      <c r="C405" s="1160"/>
      <c r="D405" s="28" t="s">
        <v>257</v>
      </c>
      <c r="E405" s="94"/>
      <c r="F405" s="236">
        <v>23</v>
      </c>
      <c r="G405" s="236">
        <v>19</v>
      </c>
      <c r="H405" s="236">
        <v>37</v>
      </c>
      <c r="I405" s="236">
        <v>45</v>
      </c>
      <c r="J405" s="236">
        <v>52</v>
      </c>
      <c r="K405" s="28">
        <v>44</v>
      </c>
      <c r="L405" s="21"/>
    </row>
    <row r="406" spans="1:12" x14ac:dyDescent="0.25">
      <c r="A406" s="1775"/>
      <c r="B406" s="1799"/>
      <c r="C406" s="1160"/>
      <c r="D406" s="28" t="s">
        <v>263</v>
      </c>
      <c r="E406" s="94"/>
      <c r="F406" s="236">
        <v>16</v>
      </c>
      <c r="G406" s="236">
        <v>23</v>
      </c>
      <c r="H406" s="236">
        <v>23</v>
      </c>
      <c r="I406" s="236">
        <v>42</v>
      </c>
      <c r="J406" s="236">
        <v>48</v>
      </c>
      <c r="K406" s="28">
        <v>54</v>
      </c>
      <c r="L406" s="21"/>
    </row>
    <row r="407" spans="1:12" ht="16.5" thickBot="1" x14ac:dyDescent="0.3">
      <c r="A407" s="1775"/>
      <c r="B407" s="1799"/>
      <c r="C407" s="1161"/>
      <c r="D407" s="203" t="s">
        <v>270</v>
      </c>
      <c r="E407" s="106"/>
      <c r="F407" s="252">
        <f>(F406/F404)*100</f>
        <v>41.025641025641022</v>
      </c>
      <c r="G407" s="252">
        <f>(G406/G404)*100</f>
        <v>54.761904761904766</v>
      </c>
      <c r="H407" s="253">
        <f>(H406/H404)*100</f>
        <v>38.333333333333336</v>
      </c>
      <c r="I407" s="252">
        <f t="shared" ref="I407:J407" si="35">(I406/I404)*100</f>
        <v>48.275862068965516</v>
      </c>
      <c r="J407" s="252">
        <f t="shared" si="35"/>
        <v>48</v>
      </c>
      <c r="K407" s="252">
        <f>(K406/K404)*100</f>
        <v>55.102040816326522</v>
      </c>
      <c r="L407" s="22"/>
    </row>
    <row r="408" spans="1:12" ht="14.85" customHeight="1" x14ac:dyDescent="0.25">
      <c r="A408" s="1775"/>
      <c r="B408" s="1826"/>
      <c r="C408" s="1159" t="s">
        <v>585</v>
      </c>
      <c r="D408" s="248" t="s">
        <v>251</v>
      </c>
      <c r="E408" s="249"/>
      <c r="F408" s="344"/>
      <c r="G408" s="344">
        <v>20</v>
      </c>
      <c r="H408" s="344"/>
      <c r="I408" s="344"/>
      <c r="J408" s="250"/>
      <c r="K408" s="36"/>
      <c r="L408" s="20"/>
    </row>
    <row r="409" spans="1:12" ht="14.85" customHeight="1" x14ac:dyDescent="0.25">
      <c r="A409" s="1775"/>
      <c r="B409" s="1826"/>
      <c r="C409" s="1160"/>
      <c r="D409" s="28" t="s">
        <v>257</v>
      </c>
      <c r="E409" s="94"/>
      <c r="F409" s="181"/>
      <c r="G409" s="181">
        <v>16</v>
      </c>
      <c r="H409" s="181"/>
      <c r="I409" s="181"/>
      <c r="J409" s="80"/>
      <c r="K409" s="28"/>
      <c r="L409" s="21"/>
    </row>
    <row r="410" spans="1:12" x14ac:dyDescent="0.25">
      <c r="A410" s="1775"/>
      <c r="B410" s="1826"/>
      <c r="C410" s="1160"/>
      <c r="D410" s="28" t="s">
        <v>263</v>
      </c>
      <c r="E410" s="94"/>
      <c r="F410" s="181"/>
      <c r="G410" s="181">
        <v>4</v>
      </c>
      <c r="H410" s="181"/>
      <c r="I410" s="181"/>
      <c r="J410" s="80"/>
      <c r="K410" s="28"/>
      <c r="L410" s="21"/>
    </row>
    <row r="411" spans="1:12" ht="16.5" thickBot="1" x14ac:dyDescent="0.3">
      <c r="A411" s="1775"/>
      <c r="B411" s="1826"/>
      <c r="C411" s="1161"/>
      <c r="D411" s="203" t="s">
        <v>270</v>
      </c>
      <c r="E411" s="106"/>
      <c r="F411" s="106"/>
      <c r="G411" s="253">
        <f>(G410/G408)*100</f>
        <v>20</v>
      </c>
      <c r="H411" s="104"/>
      <c r="I411" s="104"/>
      <c r="J411" s="104"/>
      <c r="K411" s="33"/>
      <c r="L411" s="22"/>
    </row>
    <row r="412" spans="1:12" ht="14.85" customHeight="1" x14ac:dyDescent="0.25">
      <c r="A412" s="1775"/>
      <c r="B412" s="1799"/>
      <c r="C412" s="1159" t="s">
        <v>541</v>
      </c>
      <c r="D412" s="248" t="s">
        <v>251</v>
      </c>
      <c r="E412" s="249"/>
      <c r="F412" s="344"/>
      <c r="G412" s="344"/>
      <c r="H412" s="250">
        <v>109</v>
      </c>
      <c r="I412" s="250">
        <v>109</v>
      </c>
      <c r="J412" s="250">
        <v>76</v>
      </c>
      <c r="K412" s="36">
        <v>75</v>
      </c>
      <c r="L412" s="20"/>
    </row>
    <row r="413" spans="1:12" ht="14.85" customHeight="1" x14ac:dyDescent="0.25">
      <c r="A413" s="1775"/>
      <c r="B413" s="1799"/>
      <c r="C413" s="1160"/>
      <c r="D413" s="28" t="s">
        <v>257</v>
      </c>
      <c r="E413" s="94"/>
      <c r="F413" s="181"/>
      <c r="G413" s="181"/>
      <c r="H413" s="80">
        <v>84</v>
      </c>
      <c r="I413" s="80">
        <v>84</v>
      </c>
      <c r="J413" s="80">
        <v>56</v>
      </c>
      <c r="K413" s="28">
        <v>52</v>
      </c>
      <c r="L413" s="21"/>
    </row>
    <row r="414" spans="1:12" x14ac:dyDescent="0.25">
      <c r="A414" s="1775"/>
      <c r="B414" s="1799"/>
      <c r="C414" s="1160"/>
      <c r="D414" s="28" t="s">
        <v>263</v>
      </c>
      <c r="E414" s="94"/>
      <c r="F414" s="181"/>
      <c r="G414" s="181"/>
      <c r="H414" s="80">
        <v>25</v>
      </c>
      <c r="I414" s="80">
        <v>25</v>
      </c>
      <c r="J414" s="80">
        <v>20</v>
      </c>
      <c r="K414" s="28">
        <v>23</v>
      </c>
      <c r="L414" s="21"/>
    </row>
    <row r="415" spans="1:12" ht="16.5" thickBot="1" x14ac:dyDescent="0.3">
      <c r="A415" s="1775"/>
      <c r="B415" s="1799"/>
      <c r="C415" s="1161"/>
      <c r="D415" s="203" t="s">
        <v>270</v>
      </c>
      <c r="E415" s="106"/>
      <c r="F415" s="106"/>
      <c r="G415" s="106"/>
      <c r="H415" s="253">
        <f>(H414/H412)*100</f>
        <v>22.935779816513762</v>
      </c>
      <c r="I415" s="253">
        <f t="shared" ref="I415:J415" si="36">(I414/I412)*100</f>
        <v>22.935779816513762</v>
      </c>
      <c r="J415" s="253">
        <f t="shared" si="36"/>
        <v>26.315789473684209</v>
      </c>
      <c r="K415" s="253">
        <f>(K414/K412)*100</f>
        <v>30.666666666666664</v>
      </c>
      <c r="L415" s="22"/>
    </row>
    <row r="416" spans="1:12" ht="14.85" customHeight="1" x14ac:dyDescent="0.25">
      <c r="A416" s="1775"/>
      <c r="B416" s="1799"/>
      <c r="C416" s="1159" t="s">
        <v>583</v>
      </c>
      <c r="D416" s="248" t="s">
        <v>251</v>
      </c>
      <c r="E416" s="249"/>
      <c r="F416" s="344"/>
      <c r="G416" s="344"/>
      <c r="H416" s="250">
        <v>31</v>
      </c>
      <c r="I416" s="250">
        <v>35</v>
      </c>
      <c r="J416" s="250">
        <v>32</v>
      </c>
      <c r="K416" s="36">
        <v>29</v>
      </c>
      <c r="L416" s="20"/>
    </row>
    <row r="417" spans="1:13" ht="14.85" customHeight="1" x14ac:dyDescent="0.25">
      <c r="A417" s="1775"/>
      <c r="B417" s="1799"/>
      <c r="C417" s="1160"/>
      <c r="D417" s="28" t="s">
        <v>257</v>
      </c>
      <c r="E417" s="94"/>
      <c r="F417" s="181"/>
      <c r="G417" s="181"/>
      <c r="H417" s="80">
        <v>0</v>
      </c>
      <c r="I417" s="80">
        <v>0</v>
      </c>
      <c r="J417" s="80">
        <v>1</v>
      </c>
      <c r="K417" s="28">
        <v>0</v>
      </c>
      <c r="L417" s="21"/>
    </row>
    <row r="418" spans="1:13" x14ac:dyDescent="0.25">
      <c r="A418" s="1775"/>
      <c r="B418" s="1799"/>
      <c r="C418" s="1160"/>
      <c r="D418" s="28" t="s">
        <v>263</v>
      </c>
      <c r="E418" s="94"/>
      <c r="F418" s="181"/>
      <c r="G418" s="181"/>
      <c r="H418" s="80">
        <v>31</v>
      </c>
      <c r="I418" s="80">
        <v>35</v>
      </c>
      <c r="J418" s="80">
        <v>31</v>
      </c>
      <c r="K418" s="28">
        <v>29</v>
      </c>
      <c r="L418" s="21"/>
    </row>
    <row r="419" spans="1:13" ht="16.5" thickBot="1" x14ac:dyDescent="0.3">
      <c r="A419" s="1775"/>
      <c r="B419" s="1799"/>
      <c r="C419" s="1161"/>
      <c r="D419" s="203" t="s">
        <v>270</v>
      </c>
      <c r="E419" s="106"/>
      <c r="F419" s="106"/>
      <c r="G419" s="106"/>
      <c r="H419" s="251">
        <f>(H418/H416)*100</f>
        <v>100</v>
      </c>
      <c r="I419" s="251">
        <f t="shared" ref="I419:J419" si="37">(I418/I416)*100</f>
        <v>100</v>
      </c>
      <c r="J419" s="251">
        <f t="shared" si="37"/>
        <v>96.875</v>
      </c>
      <c r="K419" s="251">
        <f>(K418/K416)*100</f>
        <v>100</v>
      </c>
      <c r="L419" s="22"/>
    </row>
    <row r="420" spans="1:13" ht="14.85" customHeight="1" x14ac:dyDescent="0.25">
      <c r="A420" s="1775"/>
      <c r="B420" s="1799"/>
      <c r="C420" s="1159" t="s">
        <v>603</v>
      </c>
      <c r="D420" s="248" t="s">
        <v>251</v>
      </c>
      <c r="E420" s="249"/>
      <c r="F420" s="344"/>
      <c r="G420" s="344"/>
      <c r="H420" s="250">
        <v>29</v>
      </c>
      <c r="I420" s="250">
        <v>31</v>
      </c>
      <c r="J420" s="250">
        <v>32</v>
      </c>
      <c r="K420" s="36">
        <v>28</v>
      </c>
      <c r="L420" s="20"/>
    </row>
    <row r="421" spans="1:13" ht="14.85" customHeight="1" x14ac:dyDescent="0.25">
      <c r="A421" s="1775"/>
      <c r="B421" s="1799"/>
      <c r="C421" s="1160"/>
      <c r="D421" s="28" t="s">
        <v>257</v>
      </c>
      <c r="E421" s="94"/>
      <c r="F421" s="181"/>
      <c r="G421" s="181"/>
      <c r="H421" s="80">
        <v>10</v>
      </c>
      <c r="I421" s="80">
        <v>10</v>
      </c>
      <c r="J421" s="80">
        <v>10</v>
      </c>
      <c r="K421" s="28">
        <v>5</v>
      </c>
      <c r="L421" s="21"/>
    </row>
    <row r="422" spans="1:13" x14ac:dyDescent="0.25">
      <c r="A422" s="1775"/>
      <c r="B422" s="1799"/>
      <c r="C422" s="1160"/>
      <c r="D422" s="28" t="s">
        <v>263</v>
      </c>
      <c r="E422" s="94"/>
      <c r="F422" s="181"/>
      <c r="G422" s="181"/>
      <c r="H422" s="80">
        <v>19</v>
      </c>
      <c r="I422" s="80">
        <v>21</v>
      </c>
      <c r="J422" s="80">
        <v>22</v>
      </c>
      <c r="K422" s="28">
        <v>23</v>
      </c>
      <c r="L422" s="21"/>
    </row>
    <row r="423" spans="1:13" ht="16.5" thickBot="1" x14ac:dyDescent="0.3">
      <c r="A423" s="1775"/>
      <c r="B423" s="1799"/>
      <c r="C423" s="1519"/>
      <c r="D423" s="336" t="s">
        <v>270</v>
      </c>
      <c r="E423" s="128"/>
      <c r="F423" s="128"/>
      <c r="G423" s="128"/>
      <c r="H423" s="594">
        <f>(H422/H420)*100</f>
        <v>65.517241379310349</v>
      </c>
      <c r="I423" s="594">
        <f t="shared" ref="I423:J423" si="38">(I422/I420)*100</f>
        <v>67.741935483870961</v>
      </c>
      <c r="J423" s="594">
        <f t="shared" si="38"/>
        <v>68.75</v>
      </c>
      <c r="K423" s="594">
        <f>(K422/K420)*100</f>
        <v>82.142857142857139</v>
      </c>
      <c r="L423" s="53"/>
    </row>
    <row r="424" spans="1:13" x14ac:dyDescent="0.25">
      <c r="A424" s="1775"/>
      <c r="B424" s="1799"/>
      <c r="C424" s="1166" t="s">
        <v>472</v>
      </c>
      <c r="D424" s="308" t="s">
        <v>473</v>
      </c>
      <c r="E424" s="249"/>
      <c r="F424" s="261">
        <f>4/8*100</f>
        <v>50</v>
      </c>
      <c r="G424" s="261">
        <f>5/9*100</f>
        <v>55.555555555555557</v>
      </c>
      <c r="H424" s="261">
        <f>6/11*100</f>
        <v>54.54545454545454</v>
      </c>
      <c r="I424" s="261">
        <f>5/11*100</f>
        <v>45.454545454545453</v>
      </c>
      <c r="J424" s="261">
        <f>5/11*100</f>
        <v>45.454545454545453</v>
      </c>
      <c r="K424" s="261">
        <f>5/11*100</f>
        <v>45.454545454545453</v>
      </c>
      <c r="L424" s="20"/>
      <c r="M424" s="11">
        <v>11</v>
      </c>
    </row>
    <row r="425" spans="1:13" x14ac:dyDescent="0.25">
      <c r="A425" s="1775"/>
      <c r="B425" s="1799"/>
      <c r="C425" s="1167"/>
      <c r="D425" s="232" t="s">
        <v>474</v>
      </c>
      <c r="E425" s="94"/>
      <c r="F425" s="234">
        <f>3/8*100</f>
        <v>37.5</v>
      </c>
      <c r="G425" s="234">
        <f>2/9*100</f>
        <v>22.222222222222221</v>
      </c>
      <c r="H425" s="234">
        <f>4/11*100</f>
        <v>36.363636363636367</v>
      </c>
      <c r="I425" s="234">
        <f>4/11*100</f>
        <v>36.363636363636367</v>
      </c>
      <c r="J425" s="234">
        <f>5/11*100</f>
        <v>45.454545454545453</v>
      </c>
      <c r="K425" s="234">
        <f>5/11*100</f>
        <v>45.454545454545453</v>
      </c>
      <c r="L425" s="21"/>
    </row>
    <row r="426" spans="1:13" ht="16.5" thickBot="1" x14ac:dyDescent="0.3">
      <c r="A426" s="1775"/>
      <c r="B426" s="1877"/>
      <c r="C426" s="1255"/>
      <c r="D426" s="311" t="s">
        <v>475</v>
      </c>
      <c r="E426" s="104"/>
      <c r="F426" s="312">
        <f>1/8*100</f>
        <v>12.5</v>
      </c>
      <c r="G426" s="312">
        <f>2/9*100</f>
        <v>22.222222222222221</v>
      </c>
      <c r="H426" s="312">
        <f>1/11*100</f>
        <v>9.0909090909090917</v>
      </c>
      <c r="I426" s="312">
        <f>2/11*100</f>
        <v>18.181818181818183</v>
      </c>
      <c r="J426" s="312">
        <f>1/11*100</f>
        <v>9.0909090909090917</v>
      </c>
      <c r="K426" s="312">
        <f>1/11*100</f>
        <v>9.0909090909090917</v>
      </c>
      <c r="L426" s="22"/>
    </row>
    <row r="427" spans="1:13" ht="15" customHeight="1" thickBot="1" x14ac:dyDescent="0.3">
      <c r="A427" s="1775"/>
      <c r="B427" s="577" t="s">
        <v>249</v>
      </c>
      <c r="C427" s="1905"/>
      <c r="D427" s="1588"/>
      <c r="E427" s="819" t="s">
        <v>442</v>
      </c>
      <c r="F427" s="819" t="s">
        <v>443</v>
      </c>
      <c r="G427" s="819" t="s">
        <v>444</v>
      </c>
      <c r="H427" s="819" t="s">
        <v>445</v>
      </c>
      <c r="I427" s="819" t="s">
        <v>446</v>
      </c>
      <c r="J427" s="819" t="s">
        <v>447</v>
      </c>
      <c r="K427" s="819" t="s">
        <v>448</v>
      </c>
      <c r="L427" s="796" t="s">
        <v>449</v>
      </c>
    </row>
    <row r="428" spans="1:13" ht="15" customHeight="1" x14ac:dyDescent="0.25">
      <c r="A428" s="1776"/>
      <c r="B428" s="1744" t="s">
        <v>476</v>
      </c>
      <c r="C428" s="1109" t="s">
        <v>459</v>
      </c>
      <c r="D428" s="1110"/>
      <c r="E428" s="28"/>
      <c r="F428" s="157">
        <v>788</v>
      </c>
      <c r="G428" s="157">
        <v>1140</v>
      </c>
      <c r="H428" s="157">
        <v>2449</v>
      </c>
      <c r="I428" s="157">
        <v>3995</v>
      </c>
      <c r="J428" s="157">
        <v>5824</v>
      </c>
      <c r="K428" s="157">
        <v>6895</v>
      </c>
      <c r="L428" s="21"/>
    </row>
    <row r="429" spans="1:13" x14ac:dyDescent="0.25">
      <c r="A429" s="1776"/>
      <c r="B429" s="1678"/>
      <c r="C429" s="1123" t="s">
        <v>436</v>
      </c>
      <c r="D429" s="1124"/>
      <c r="E429" s="96"/>
      <c r="F429" s="96">
        <v>334</v>
      </c>
      <c r="G429" s="96">
        <v>462</v>
      </c>
      <c r="H429" s="96">
        <v>1124</v>
      </c>
      <c r="I429" s="96">
        <v>1711</v>
      </c>
      <c r="J429" s="96">
        <v>2357</v>
      </c>
      <c r="K429" s="96">
        <v>2852</v>
      </c>
      <c r="L429" s="21"/>
    </row>
    <row r="430" spans="1:13" x14ac:dyDescent="0.25">
      <c r="A430" s="1776"/>
      <c r="B430" s="1678"/>
      <c r="C430" s="1123" t="s">
        <v>437</v>
      </c>
      <c r="D430" s="1124"/>
      <c r="E430" s="96"/>
      <c r="F430" s="96">
        <v>454</v>
      </c>
      <c r="G430" s="96">
        <v>678</v>
      </c>
      <c r="H430" s="96">
        <v>1325</v>
      </c>
      <c r="I430" s="96">
        <v>2284</v>
      </c>
      <c r="J430" s="96">
        <v>3467</v>
      </c>
      <c r="K430" s="96">
        <v>4043</v>
      </c>
      <c r="L430" s="21"/>
    </row>
    <row r="431" spans="1:13" ht="16.5" thickBot="1" x14ac:dyDescent="0.3">
      <c r="A431" s="1776"/>
      <c r="B431" s="1678"/>
      <c r="C431" s="1170" t="s">
        <v>270</v>
      </c>
      <c r="D431" s="1155"/>
      <c r="E431" s="190"/>
      <c r="F431" s="285">
        <f t="shared" ref="F431:K431" si="39">F430/F428*100</f>
        <v>57.614213197969541</v>
      </c>
      <c r="G431" s="285">
        <f t="shared" si="39"/>
        <v>59.473684210526315</v>
      </c>
      <c r="H431" s="285">
        <f t="shared" si="39"/>
        <v>54.103715802368313</v>
      </c>
      <c r="I431" s="285">
        <f>I430/I428*100</f>
        <v>57.171464330413016</v>
      </c>
      <c r="J431" s="285">
        <f t="shared" si="39"/>
        <v>59.529532967032971</v>
      </c>
      <c r="K431" s="285">
        <f t="shared" si="39"/>
        <v>58.6366932559826</v>
      </c>
      <c r="L431" s="22"/>
    </row>
    <row r="432" spans="1:13" x14ac:dyDescent="0.25">
      <c r="A432" s="1776"/>
      <c r="B432" s="1151"/>
      <c r="C432" s="1159" t="s">
        <v>465</v>
      </c>
      <c r="D432" s="248" t="s">
        <v>251</v>
      </c>
      <c r="E432" s="249"/>
      <c r="F432" s="250">
        <v>189</v>
      </c>
      <c r="G432" s="250">
        <v>493</v>
      </c>
      <c r="H432" s="250">
        <v>787</v>
      </c>
      <c r="I432" s="250">
        <v>1468</v>
      </c>
      <c r="J432" s="250">
        <v>2560</v>
      </c>
      <c r="K432" s="36">
        <v>3158</v>
      </c>
      <c r="L432" s="20"/>
    </row>
    <row r="433" spans="1:12" x14ac:dyDescent="0.25">
      <c r="A433" s="1776"/>
      <c r="B433" s="1151"/>
      <c r="C433" s="1160"/>
      <c r="D433" s="28" t="s">
        <v>257</v>
      </c>
      <c r="E433" s="94"/>
      <c r="F433" s="181">
        <v>34</v>
      </c>
      <c r="G433" s="181">
        <v>118</v>
      </c>
      <c r="H433" s="181">
        <v>195</v>
      </c>
      <c r="I433" s="181">
        <v>376</v>
      </c>
      <c r="J433" s="80">
        <v>605</v>
      </c>
      <c r="K433" s="28">
        <v>727</v>
      </c>
      <c r="L433" s="21"/>
    </row>
    <row r="434" spans="1:12" x14ac:dyDescent="0.25">
      <c r="A434" s="1776"/>
      <c r="B434" s="1151"/>
      <c r="C434" s="1160"/>
      <c r="D434" s="28" t="s">
        <v>263</v>
      </c>
      <c r="E434" s="94"/>
      <c r="F434" s="181">
        <v>155</v>
      </c>
      <c r="G434" s="181">
        <v>375</v>
      </c>
      <c r="H434" s="181">
        <v>592</v>
      </c>
      <c r="I434" s="181">
        <v>1092</v>
      </c>
      <c r="J434" s="80">
        <v>1955</v>
      </c>
      <c r="K434" s="28">
        <v>2431</v>
      </c>
      <c r="L434" s="21"/>
    </row>
    <row r="435" spans="1:12" ht="16.5" thickBot="1" x14ac:dyDescent="0.3">
      <c r="A435" s="1776"/>
      <c r="B435" s="1151"/>
      <c r="C435" s="1161"/>
      <c r="D435" s="203" t="s">
        <v>270</v>
      </c>
      <c r="E435" s="104"/>
      <c r="F435" s="251">
        <f>(F434/F432)*100</f>
        <v>82.010582010582013</v>
      </c>
      <c r="G435" s="251">
        <f>(G434/G432)*100</f>
        <v>76.064908722109536</v>
      </c>
      <c r="H435" s="251">
        <f>(H434/H432)*100</f>
        <v>75.222363405336722</v>
      </c>
      <c r="I435" s="251">
        <f>I434/I432*100</f>
        <v>74.386920980926433</v>
      </c>
      <c r="J435" s="251">
        <f>J434/J432*100</f>
        <v>76.3671875</v>
      </c>
      <c r="K435" s="251">
        <f>K434/K432*100</f>
        <v>76.979100696643442</v>
      </c>
      <c r="L435" s="22"/>
    </row>
    <row r="436" spans="1:12" x14ac:dyDescent="0.25">
      <c r="A436" s="1776"/>
      <c r="B436" s="1151"/>
      <c r="C436" s="1159" t="s">
        <v>466</v>
      </c>
      <c r="D436" s="248" t="s">
        <v>251</v>
      </c>
      <c r="E436" s="249"/>
      <c r="F436" s="250">
        <v>49</v>
      </c>
      <c r="G436" s="250">
        <v>54</v>
      </c>
      <c r="H436" s="250">
        <v>154</v>
      </c>
      <c r="I436" s="250">
        <v>281</v>
      </c>
      <c r="J436" s="250">
        <v>395</v>
      </c>
      <c r="K436" s="36">
        <v>492</v>
      </c>
      <c r="L436" s="20"/>
    </row>
    <row r="437" spans="1:12" x14ac:dyDescent="0.25">
      <c r="A437" s="1776"/>
      <c r="B437" s="1151"/>
      <c r="C437" s="1160"/>
      <c r="D437" s="28" t="s">
        <v>257</v>
      </c>
      <c r="E437" s="94"/>
      <c r="F437" s="181">
        <v>13</v>
      </c>
      <c r="G437" s="181">
        <v>20</v>
      </c>
      <c r="H437" s="181">
        <v>86</v>
      </c>
      <c r="I437" s="181">
        <v>136</v>
      </c>
      <c r="J437" s="80">
        <v>187</v>
      </c>
      <c r="K437" s="28">
        <v>211</v>
      </c>
      <c r="L437" s="21"/>
    </row>
    <row r="438" spans="1:12" x14ac:dyDescent="0.25">
      <c r="A438" s="1776"/>
      <c r="B438" s="1151"/>
      <c r="C438" s="1160"/>
      <c r="D438" s="28" t="s">
        <v>263</v>
      </c>
      <c r="E438" s="94"/>
      <c r="F438" s="181">
        <v>36</v>
      </c>
      <c r="G438" s="181">
        <v>34</v>
      </c>
      <c r="H438" s="181">
        <v>68</v>
      </c>
      <c r="I438" s="181">
        <v>145</v>
      </c>
      <c r="J438" s="80">
        <v>208</v>
      </c>
      <c r="K438" s="28">
        <v>281</v>
      </c>
      <c r="L438" s="21"/>
    </row>
    <row r="439" spans="1:12" ht="16.5" thickBot="1" x14ac:dyDescent="0.3">
      <c r="A439" s="1776"/>
      <c r="B439" s="1151"/>
      <c r="C439" s="1161"/>
      <c r="D439" s="203" t="s">
        <v>270</v>
      </c>
      <c r="E439" s="104"/>
      <c r="F439" s="251">
        <f>(F438/F436)*100</f>
        <v>73.469387755102048</v>
      </c>
      <c r="G439" s="251">
        <f t="shared" ref="G439:K439" si="40">(G438/G436)*100</f>
        <v>62.962962962962962</v>
      </c>
      <c r="H439" s="252">
        <f t="shared" si="40"/>
        <v>44.155844155844157</v>
      </c>
      <c r="I439" s="252">
        <f t="shared" si="40"/>
        <v>51.601423487544487</v>
      </c>
      <c r="J439" s="252">
        <f t="shared" si="40"/>
        <v>52.658227848101269</v>
      </c>
      <c r="K439" s="252">
        <f t="shared" si="40"/>
        <v>57.113821138211385</v>
      </c>
      <c r="L439" s="22"/>
    </row>
    <row r="440" spans="1:12" ht="14.85" customHeight="1" x14ac:dyDescent="0.25">
      <c r="A440" s="1776"/>
      <c r="B440" s="1151"/>
      <c r="C440" s="1159" t="s">
        <v>467</v>
      </c>
      <c r="D440" s="248" t="s">
        <v>251</v>
      </c>
      <c r="E440" s="249"/>
      <c r="F440" s="250">
        <v>36</v>
      </c>
      <c r="G440" s="250">
        <v>59</v>
      </c>
      <c r="H440" s="250">
        <v>286</v>
      </c>
      <c r="I440" s="250">
        <v>635</v>
      </c>
      <c r="J440" s="250">
        <v>816</v>
      </c>
      <c r="K440" s="36">
        <v>932</v>
      </c>
      <c r="L440" s="20"/>
    </row>
    <row r="441" spans="1:12" x14ac:dyDescent="0.25">
      <c r="A441" s="1776"/>
      <c r="B441" s="1151"/>
      <c r="C441" s="1160"/>
      <c r="D441" s="28" t="s">
        <v>257</v>
      </c>
      <c r="E441" s="94"/>
      <c r="F441" s="181">
        <v>27</v>
      </c>
      <c r="G441" s="181">
        <v>50</v>
      </c>
      <c r="H441" s="181">
        <v>245</v>
      </c>
      <c r="I441" s="181">
        <v>529</v>
      </c>
      <c r="J441" s="80">
        <v>688</v>
      </c>
      <c r="K441" s="28">
        <v>796</v>
      </c>
      <c r="L441" s="21"/>
    </row>
    <row r="442" spans="1:12" x14ac:dyDescent="0.25">
      <c r="A442" s="1776"/>
      <c r="B442" s="1151"/>
      <c r="C442" s="1160"/>
      <c r="D442" s="28" t="s">
        <v>263</v>
      </c>
      <c r="E442" s="94"/>
      <c r="F442" s="181">
        <v>9</v>
      </c>
      <c r="G442" s="181">
        <v>9</v>
      </c>
      <c r="H442" s="181">
        <v>41</v>
      </c>
      <c r="I442" s="181">
        <v>106</v>
      </c>
      <c r="J442" s="80">
        <v>128</v>
      </c>
      <c r="K442" s="28">
        <v>136</v>
      </c>
      <c r="L442" s="21"/>
    </row>
    <row r="443" spans="1:12" ht="16.5" thickBot="1" x14ac:dyDescent="0.3">
      <c r="A443" s="1776"/>
      <c r="B443" s="1151"/>
      <c r="C443" s="1161"/>
      <c r="D443" s="203" t="s">
        <v>270</v>
      </c>
      <c r="E443" s="104"/>
      <c r="F443" s="253">
        <f>(F442/F440)*100</f>
        <v>25</v>
      </c>
      <c r="G443" s="253">
        <f t="shared" ref="G443:K443" si="41">(G442/G440)*100</f>
        <v>15.254237288135593</v>
      </c>
      <c r="H443" s="253">
        <f t="shared" si="41"/>
        <v>14.335664335664337</v>
      </c>
      <c r="I443" s="253">
        <f t="shared" si="41"/>
        <v>16.69291338582677</v>
      </c>
      <c r="J443" s="253">
        <f t="shared" si="41"/>
        <v>15.686274509803921</v>
      </c>
      <c r="K443" s="253">
        <f t="shared" si="41"/>
        <v>14.592274678111588</v>
      </c>
      <c r="L443" s="22"/>
    </row>
    <row r="444" spans="1:12" ht="14.85" customHeight="1" x14ac:dyDescent="0.25">
      <c r="A444" s="1776"/>
      <c r="B444" s="1151"/>
      <c r="C444" s="1159" t="s">
        <v>581</v>
      </c>
      <c r="D444" s="248" t="s">
        <v>251</v>
      </c>
      <c r="E444" s="249"/>
      <c r="F444" s="250">
        <v>56</v>
      </c>
      <c r="G444" s="250">
        <v>64</v>
      </c>
      <c r="H444" s="250">
        <v>65</v>
      </c>
      <c r="I444" s="250">
        <v>59</v>
      </c>
      <c r="J444" s="250">
        <v>54</v>
      </c>
      <c r="K444" s="36">
        <v>57</v>
      </c>
      <c r="L444" s="20"/>
    </row>
    <row r="445" spans="1:12" ht="14.85" customHeight="1" x14ac:dyDescent="0.25">
      <c r="A445" s="1776"/>
      <c r="B445" s="1151"/>
      <c r="C445" s="1160"/>
      <c r="D445" s="28" t="s">
        <v>257</v>
      </c>
      <c r="E445" s="94"/>
      <c r="F445" s="181">
        <v>55</v>
      </c>
      <c r="G445" s="181">
        <v>63</v>
      </c>
      <c r="H445" s="181">
        <v>62</v>
      </c>
      <c r="I445" s="181">
        <v>56</v>
      </c>
      <c r="J445" s="80">
        <v>51</v>
      </c>
      <c r="K445" s="28">
        <v>56</v>
      </c>
      <c r="L445" s="21"/>
    </row>
    <row r="446" spans="1:12" x14ac:dyDescent="0.25">
      <c r="A446" s="1776"/>
      <c r="B446" s="1151"/>
      <c r="C446" s="1160"/>
      <c r="D446" s="28" t="s">
        <v>263</v>
      </c>
      <c r="E446" s="94"/>
      <c r="F446" s="181">
        <v>1</v>
      </c>
      <c r="G446" s="181">
        <v>1</v>
      </c>
      <c r="H446" s="181">
        <v>3</v>
      </c>
      <c r="I446" s="181">
        <v>3</v>
      </c>
      <c r="J446" s="80">
        <v>3</v>
      </c>
      <c r="K446" s="28">
        <v>1</v>
      </c>
      <c r="L446" s="21"/>
    </row>
    <row r="447" spans="1:12" ht="16.5" thickBot="1" x14ac:dyDescent="0.3">
      <c r="A447" s="1776"/>
      <c r="B447" s="1151"/>
      <c r="C447" s="1161"/>
      <c r="D447" s="203" t="s">
        <v>270</v>
      </c>
      <c r="E447" s="106"/>
      <c r="F447" s="253">
        <f>(F446/F444)*100</f>
        <v>1.7857142857142856</v>
      </c>
      <c r="G447" s="253">
        <f t="shared" ref="G447:K447" si="42">(G446/G444)*100</f>
        <v>1.5625</v>
      </c>
      <c r="H447" s="253">
        <f t="shared" si="42"/>
        <v>4.6153846153846159</v>
      </c>
      <c r="I447" s="253">
        <f t="shared" si="42"/>
        <v>5.0847457627118651</v>
      </c>
      <c r="J447" s="253">
        <f t="shared" si="42"/>
        <v>5.5555555555555554</v>
      </c>
      <c r="K447" s="253">
        <f t="shared" si="42"/>
        <v>1.7543859649122806</v>
      </c>
      <c r="L447" s="22"/>
    </row>
    <row r="448" spans="1:12" ht="14.85" customHeight="1" x14ac:dyDescent="0.25">
      <c r="A448" s="1776"/>
      <c r="B448" s="1151"/>
      <c r="C448" s="1159" t="s">
        <v>582</v>
      </c>
      <c r="D448" s="248" t="s">
        <v>251</v>
      </c>
      <c r="E448" s="249"/>
      <c r="F448" s="250">
        <v>106</v>
      </c>
      <c r="G448" s="250">
        <v>83</v>
      </c>
      <c r="H448" s="250">
        <v>75</v>
      </c>
      <c r="I448" s="250">
        <v>59</v>
      </c>
      <c r="J448" s="250">
        <v>142</v>
      </c>
      <c r="K448" s="36">
        <v>322</v>
      </c>
      <c r="L448" s="20"/>
    </row>
    <row r="449" spans="1:12" ht="14.85" customHeight="1" x14ac:dyDescent="0.25">
      <c r="A449" s="1776"/>
      <c r="B449" s="1151"/>
      <c r="C449" s="1160"/>
      <c r="D449" s="28" t="s">
        <v>257</v>
      </c>
      <c r="E449" s="94"/>
      <c r="F449" s="181">
        <v>96</v>
      </c>
      <c r="G449" s="181">
        <v>77</v>
      </c>
      <c r="H449" s="181">
        <v>70</v>
      </c>
      <c r="I449" s="181">
        <v>53</v>
      </c>
      <c r="J449" s="80">
        <v>135</v>
      </c>
      <c r="K449" s="28">
        <v>306</v>
      </c>
      <c r="L449" s="21"/>
    </row>
    <row r="450" spans="1:12" x14ac:dyDescent="0.25">
      <c r="A450" s="1776"/>
      <c r="B450" s="1151"/>
      <c r="C450" s="1160"/>
      <c r="D450" s="28" t="s">
        <v>263</v>
      </c>
      <c r="E450" s="94"/>
      <c r="F450" s="181">
        <v>10</v>
      </c>
      <c r="G450" s="181">
        <v>6</v>
      </c>
      <c r="H450" s="181">
        <v>5</v>
      </c>
      <c r="I450" s="181">
        <v>6</v>
      </c>
      <c r="J450" s="80">
        <v>7</v>
      </c>
      <c r="K450" s="28">
        <v>16</v>
      </c>
      <c r="L450" s="21"/>
    </row>
    <row r="451" spans="1:12" ht="16.5" thickBot="1" x14ac:dyDescent="0.3">
      <c r="A451" s="1776"/>
      <c r="B451" s="1151"/>
      <c r="C451" s="1161"/>
      <c r="D451" s="203" t="s">
        <v>270</v>
      </c>
      <c r="E451" s="106"/>
      <c r="F451" s="253">
        <f>(F450/F448)*100</f>
        <v>9.433962264150944</v>
      </c>
      <c r="G451" s="253">
        <f>(G450/G448)*100</f>
        <v>7.2289156626506017</v>
      </c>
      <c r="H451" s="253">
        <f t="shared" ref="H451:K451" si="43">(H450/H448)*100</f>
        <v>6.666666666666667</v>
      </c>
      <c r="I451" s="253">
        <f t="shared" si="43"/>
        <v>10.16949152542373</v>
      </c>
      <c r="J451" s="253">
        <f t="shared" si="43"/>
        <v>4.929577464788732</v>
      </c>
      <c r="K451" s="253">
        <f t="shared" si="43"/>
        <v>4.9689440993788816</v>
      </c>
      <c r="L451" s="22"/>
    </row>
    <row r="452" spans="1:12" ht="14.85" customHeight="1" x14ac:dyDescent="0.25">
      <c r="A452" s="1776"/>
      <c r="B452" s="1151"/>
      <c r="C452" s="1159" t="s">
        <v>470</v>
      </c>
      <c r="D452" s="248" t="s">
        <v>251</v>
      </c>
      <c r="E452" s="249"/>
      <c r="F452" s="250">
        <v>788</v>
      </c>
      <c r="G452" s="250">
        <v>276</v>
      </c>
      <c r="H452" s="250">
        <v>428</v>
      </c>
      <c r="I452" s="250">
        <v>707</v>
      </c>
      <c r="J452" s="250">
        <v>883</v>
      </c>
      <c r="K452" s="36">
        <v>839</v>
      </c>
      <c r="L452" s="20"/>
    </row>
    <row r="453" spans="1:12" ht="14.85" customHeight="1" x14ac:dyDescent="0.25">
      <c r="A453" s="1776"/>
      <c r="B453" s="1151"/>
      <c r="C453" s="1160"/>
      <c r="D453" s="28" t="s">
        <v>257</v>
      </c>
      <c r="E453" s="94"/>
      <c r="F453" s="181">
        <v>334</v>
      </c>
      <c r="G453" s="181">
        <v>55</v>
      </c>
      <c r="H453" s="181">
        <v>66</v>
      </c>
      <c r="I453" s="181">
        <v>93</v>
      </c>
      <c r="J453" s="80">
        <v>113</v>
      </c>
      <c r="K453" s="28">
        <v>118</v>
      </c>
      <c r="L453" s="21"/>
    </row>
    <row r="454" spans="1:12" x14ac:dyDescent="0.25">
      <c r="A454" s="1776"/>
      <c r="B454" s="1151"/>
      <c r="C454" s="1160"/>
      <c r="D454" s="28" t="s">
        <v>263</v>
      </c>
      <c r="E454" s="94"/>
      <c r="F454" s="181">
        <v>454</v>
      </c>
      <c r="G454" s="181">
        <v>221</v>
      </c>
      <c r="H454" s="181">
        <v>362</v>
      </c>
      <c r="I454" s="181">
        <v>614</v>
      </c>
      <c r="J454" s="80">
        <v>770</v>
      </c>
      <c r="K454" s="28">
        <v>721</v>
      </c>
      <c r="L454" s="21"/>
    </row>
    <row r="455" spans="1:12" ht="16.5" thickBot="1" x14ac:dyDescent="0.3">
      <c r="A455" s="1776"/>
      <c r="B455" s="1151"/>
      <c r="C455" s="1161"/>
      <c r="D455" s="203" t="s">
        <v>270</v>
      </c>
      <c r="E455" s="106"/>
      <c r="F455" s="252">
        <f>(F454/F452)*100</f>
        <v>57.614213197969541</v>
      </c>
      <c r="G455" s="251">
        <f t="shared" ref="G455:K455" si="44">(G454/G452)*100</f>
        <v>80.072463768115938</v>
      </c>
      <c r="H455" s="251">
        <f t="shared" si="44"/>
        <v>84.579439252336456</v>
      </c>
      <c r="I455" s="251">
        <f t="shared" si="44"/>
        <v>86.845827439886847</v>
      </c>
      <c r="J455" s="251">
        <f t="shared" si="44"/>
        <v>87.202718006795024</v>
      </c>
      <c r="K455" s="251">
        <f t="shared" si="44"/>
        <v>85.935637663885572</v>
      </c>
      <c r="L455" s="22"/>
    </row>
    <row r="456" spans="1:12" ht="14.85" customHeight="1" x14ac:dyDescent="0.25">
      <c r="A456" s="1776"/>
      <c r="B456" s="1151"/>
      <c r="C456" s="1159" t="s">
        <v>471</v>
      </c>
      <c r="D456" s="248" t="s">
        <v>251</v>
      </c>
      <c r="E456" s="249"/>
      <c r="F456" s="250">
        <v>45</v>
      </c>
      <c r="G456" s="250">
        <v>47</v>
      </c>
      <c r="H456" s="250">
        <v>293</v>
      </c>
      <c r="I456" s="250">
        <v>410</v>
      </c>
      <c r="J456" s="250">
        <v>546</v>
      </c>
      <c r="K456" s="36">
        <v>663</v>
      </c>
      <c r="L456" s="20"/>
    </row>
    <row r="457" spans="1:12" ht="14.85" customHeight="1" x14ac:dyDescent="0.25">
      <c r="A457" s="1776"/>
      <c r="B457" s="1151"/>
      <c r="C457" s="1160"/>
      <c r="D457" s="28" t="s">
        <v>257</v>
      </c>
      <c r="E457" s="94"/>
      <c r="F457" s="181">
        <v>26</v>
      </c>
      <c r="G457" s="181">
        <v>28</v>
      </c>
      <c r="H457" s="181">
        <v>176</v>
      </c>
      <c r="I457" s="181">
        <v>230</v>
      </c>
      <c r="J457" s="80">
        <v>289</v>
      </c>
      <c r="K457" s="28">
        <v>346</v>
      </c>
      <c r="L457" s="21"/>
    </row>
    <row r="458" spans="1:12" x14ac:dyDescent="0.25">
      <c r="A458" s="1776"/>
      <c r="B458" s="1151"/>
      <c r="C458" s="1160"/>
      <c r="D458" s="28" t="s">
        <v>263</v>
      </c>
      <c r="E458" s="94"/>
      <c r="F458" s="181">
        <v>19</v>
      </c>
      <c r="G458" s="181">
        <v>19</v>
      </c>
      <c r="H458" s="181">
        <v>117</v>
      </c>
      <c r="I458" s="181">
        <v>180</v>
      </c>
      <c r="J458" s="80">
        <v>257</v>
      </c>
      <c r="K458" s="28">
        <v>317</v>
      </c>
      <c r="L458" s="21"/>
    </row>
    <row r="459" spans="1:12" ht="16.5" thickBot="1" x14ac:dyDescent="0.3">
      <c r="A459" s="1776"/>
      <c r="B459" s="1151"/>
      <c r="C459" s="1161"/>
      <c r="D459" s="203" t="s">
        <v>270</v>
      </c>
      <c r="E459" s="106"/>
      <c r="F459" s="252">
        <f>(F458/F456)*100</f>
        <v>42.222222222222221</v>
      </c>
      <c r="G459" s="252">
        <f>(G458/G456)*100</f>
        <v>40.425531914893611</v>
      </c>
      <c r="H459" s="253">
        <f>(H458/H456)*100</f>
        <v>39.931740614334473</v>
      </c>
      <c r="I459" s="252">
        <f t="shared" ref="I459:K459" si="45">(I458/I456)*100</f>
        <v>43.902439024390247</v>
      </c>
      <c r="J459" s="252">
        <f t="shared" si="45"/>
        <v>47.069597069597066</v>
      </c>
      <c r="K459" s="252">
        <f t="shared" si="45"/>
        <v>47.812971342383108</v>
      </c>
      <c r="L459" s="22"/>
    </row>
    <row r="460" spans="1:12" ht="14.85" customHeight="1" x14ac:dyDescent="0.25">
      <c r="A460" s="1776"/>
      <c r="B460" s="1151"/>
      <c r="C460" s="1159" t="s">
        <v>585</v>
      </c>
      <c r="D460" s="248" t="s">
        <v>251</v>
      </c>
      <c r="E460" s="249"/>
      <c r="F460" s="344"/>
      <c r="G460" s="344"/>
      <c r="H460" s="344"/>
      <c r="I460" s="344">
        <v>31</v>
      </c>
      <c r="J460" s="250">
        <v>21</v>
      </c>
      <c r="K460" s="36">
        <v>23</v>
      </c>
      <c r="L460" s="20"/>
    </row>
    <row r="461" spans="1:12" ht="14.85" customHeight="1" x14ac:dyDescent="0.25">
      <c r="A461" s="1776"/>
      <c r="B461" s="1151"/>
      <c r="C461" s="1160"/>
      <c r="D461" s="28" t="s">
        <v>257</v>
      </c>
      <c r="E461" s="94"/>
      <c r="F461" s="181"/>
      <c r="G461" s="181"/>
      <c r="H461" s="181"/>
      <c r="I461" s="181">
        <v>15</v>
      </c>
      <c r="J461" s="80">
        <v>6</v>
      </c>
      <c r="K461" s="28">
        <v>5</v>
      </c>
      <c r="L461" s="21"/>
    </row>
    <row r="462" spans="1:12" x14ac:dyDescent="0.25">
      <c r="A462" s="1776"/>
      <c r="B462" s="1151"/>
      <c r="C462" s="1160"/>
      <c r="D462" s="28" t="s">
        <v>263</v>
      </c>
      <c r="E462" s="94"/>
      <c r="F462" s="181"/>
      <c r="G462" s="181"/>
      <c r="H462" s="181"/>
      <c r="I462" s="181">
        <v>16</v>
      </c>
      <c r="J462" s="80">
        <v>15</v>
      </c>
      <c r="K462" s="28">
        <v>18</v>
      </c>
      <c r="L462" s="21"/>
    </row>
    <row r="463" spans="1:12" ht="16.5" thickBot="1" x14ac:dyDescent="0.3">
      <c r="A463" s="1776"/>
      <c r="B463" s="1151"/>
      <c r="C463" s="1161"/>
      <c r="D463" s="203" t="s">
        <v>270</v>
      </c>
      <c r="E463" s="106"/>
      <c r="F463" s="106"/>
      <c r="G463" s="106"/>
      <c r="H463" s="106"/>
      <c r="I463" s="252">
        <f t="shared" ref="I463:K463" si="46">(I462/I460)*100</f>
        <v>51.612903225806448</v>
      </c>
      <c r="J463" s="251">
        <f t="shared" si="46"/>
        <v>71.428571428571431</v>
      </c>
      <c r="K463" s="251">
        <f t="shared" si="46"/>
        <v>78.260869565217391</v>
      </c>
      <c r="L463" s="22"/>
    </row>
    <row r="464" spans="1:12" ht="14.85" customHeight="1" x14ac:dyDescent="0.25">
      <c r="A464" s="1776"/>
      <c r="B464" s="1151"/>
      <c r="C464" s="1159" t="s">
        <v>541</v>
      </c>
      <c r="D464" s="248" t="s">
        <v>251</v>
      </c>
      <c r="E464" s="249"/>
      <c r="F464" s="344"/>
      <c r="G464" s="344"/>
      <c r="H464" s="250">
        <v>260</v>
      </c>
      <c r="I464" s="250">
        <v>235</v>
      </c>
      <c r="J464" s="250">
        <v>258</v>
      </c>
      <c r="K464" s="36">
        <v>262</v>
      </c>
      <c r="L464" s="20"/>
    </row>
    <row r="465" spans="1:12" ht="14.85" customHeight="1" x14ac:dyDescent="0.25">
      <c r="A465" s="1776"/>
      <c r="B465" s="1151"/>
      <c r="C465" s="1160"/>
      <c r="D465" s="28" t="s">
        <v>257</v>
      </c>
      <c r="E465" s="94"/>
      <c r="F465" s="181"/>
      <c r="G465" s="181"/>
      <c r="H465" s="80">
        <v>145</v>
      </c>
      <c r="I465" s="80">
        <v>138</v>
      </c>
      <c r="J465" s="80">
        <v>165</v>
      </c>
      <c r="K465" s="28">
        <v>168</v>
      </c>
      <c r="L465" s="21"/>
    </row>
    <row r="466" spans="1:12" x14ac:dyDescent="0.25">
      <c r="A466" s="1776"/>
      <c r="B466" s="1151"/>
      <c r="C466" s="1160"/>
      <c r="D466" s="28" t="s">
        <v>263</v>
      </c>
      <c r="E466" s="94"/>
      <c r="F466" s="181"/>
      <c r="G466" s="181"/>
      <c r="H466" s="80">
        <v>115</v>
      </c>
      <c r="I466" s="80">
        <v>97</v>
      </c>
      <c r="J466" s="80">
        <v>93</v>
      </c>
      <c r="K466" s="28">
        <v>94</v>
      </c>
      <c r="L466" s="21"/>
    </row>
    <row r="467" spans="1:12" ht="16.5" thickBot="1" x14ac:dyDescent="0.3">
      <c r="A467" s="1776"/>
      <c r="B467" s="1151"/>
      <c r="C467" s="1161"/>
      <c r="D467" s="203" t="s">
        <v>270</v>
      </c>
      <c r="E467" s="106"/>
      <c r="F467" s="106"/>
      <c r="G467" s="106"/>
      <c r="H467" s="252">
        <f t="shared" ref="H467:K467" si="47">(H466/H464)*100</f>
        <v>44.230769230769226</v>
      </c>
      <c r="I467" s="252">
        <f t="shared" si="47"/>
        <v>41.276595744680847</v>
      </c>
      <c r="J467" s="253">
        <f t="shared" si="47"/>
        <v>36.046511627906973</v>
      </c>
      <c r="K467" s="253">
        <f t="shared" si="47"/>
        <v>35.877862595419849</v>
      </c>
      <c r="L467" s="22"/>
    </row>
    <row r="468" spans="1:12" ht="14.85" customHeight="1" x14ac:dyDescent="0.25">
      <c r="A468" s="1776"/>
      <c r="B468" s="1151"/>
      <c r="C468" s="1159" t="s">
        <v>604</v>
      </c>
      <c r="D468" s="248" t="s">
        <v>251</v>
      </c>
      <c r="E468" s="249"/>
      <c r="F468" s="344"/>
      <c r="G468" s="344"/>
      <c r="H468" s="344"/>
      <c r="I468" s="250"/>
      <c r="J468" s="250">
        <v>29</v>
      </c>
      <c r="K468" s="36">
        <v>52</v>
      </c>
      <c r="L468" s="20"/>
    </row>
    <row r="469" spans="1:12" ht="14.85" customHeight="1" x14ac:dyDescent="0.25">
      <c r="A469" s="1776"/>
      <c r="B469" s="1151"/>
      <c r="C469" s="1160"/>
      <c r="D469" s="28" t="s">
        <v>257</v>
      </c>
      <c r="E469" s="94"/>
      <c r="F469" s="181"/>
      <c r="G469" s="181"/>
      <c r="H469" s="181"/>
      <c r="I469" s="80"/>
      <c r="J469" s="80">
        <v>25</v>
      </c>
      <c r="K469" s="28">
        <v>47</v>
      </c>
      <c r="L469" s="21"/>
    </row>
    <row r="470" spans="1:12" x14ac:dyDescent="0.25">
      <c r="A470" s="1776"/>
      <c r="B470" s="1151"/>
      <c r="C470" s="1160"/>
      <c r="D470" s="28" t="s">
        <v>263</v>
      </c>
      <c r="E470" s="94"/>
      <c r="F470" s="181"/>
      <c r="G470" s="181"/>
      <c r="H470" s="181"/>
      <c r="I470" s="80"/>
      <c r="J470" s="80">
        <v>4</v>
      </c>
      <c r="K470" s="28">
        <v>5</v>
      </c>
      <c r="L470" s="21"/>
    </row>
    <row r="471" spans="1:12" ht="16.5" thickBot="1" x14ac:dyDescent="0.3">
      <c r="A471" s="1776"/>
      <c r="B471" s="1151"/>
      <c r="C471" s="1161"/>
      <c r="D471" s="203" t="s">
        <v>270</v>
      </c>
      <c r="E471" s="106"/>
      <c r="F471" s="106"/>
      <c r="G471" s="106"/>
      <c r="H471" s="106"/>
      <c r="I471" s="106"/>
      <c r="J471" s="253">
        <f t="shared" ref="J471:K471" si="48">(J470/J468)*100</f>
        <v>13.793103448275861</v>
      </c>
      <c r="K471" s="253">
        <f t="shared" si="48"/>
        <v>9.6153846153846168</v>
      </c>
      <c r="L471" s="22"/>
    </row>
    <row r="472" spans="1:12" ht="14.85" customHeight="1" x14ac:dyDescent="0.25">
      <c r="A472" s="1776"/>
      <c r="B472" s="1151"/>
      <c r="C472" s="1159" t="s">
        <v>469</v>
      </c>
      <c r="D472" s="248" t="s">
        <v>251</v>
      </c>
      <c r="E472" s="249"/>
      <c r="F472" s="344">
        <v>39</v>
      </c>
      <c r="G472" s="344">
        <v>64</v>
      </c>
      <c r="H472" s="250">
        <v>101</v>
      </c>
      <c r="I472" s="250">
        <v>110</v>
      </c>
      <c r="J472" s="250">
        <v>120</v>
      </c>
      <c r="K472" s="36">
        <v>95</v>
      </c>
      <c r="L472" s="20"/>
    </row>
    <row r="473" spans="1:12" ht="14.85" customHeight="1" x14ac:dyDescent="0.25">
      <c r="A473" s="1776"/>
      <c r="B473" s="1151"/>
      <c r="C473" s="1160"/>
      <c r="D473" s="28" t="s">
        <v>257</v>
      </c>
      <c r="E473" s="94"/>
      <c r="F473" s="181">
        <v>32</v>
      </c>
      <c r="G473" s="181">
        <v>51</v>
      </c>
      <c r="H473" s="80">
        <v>79</v>
      </c>
      <c r="I473" s="80">
        <v>85</v>
      </c>
      <c r="J473" s="80">
        <v>93</v>
      </c>
      <c r="K473" s="28">
        <v>72</v>
      </c>
      <c r="L473" s="21"/>
    </row>
    <row r="474" spans="1:12" x14ac:dyDescent="0.25">
      <c r="A474" s="1776"/>
      <c r="B474" s="1151"/>
      <c r="C474" s="1160"/>
      <c r="D474" s="28" t="s">
        <v>263</v>
      </c>
      <c r="E474" s="94"/>
      <c r="F474" s="181">
        <v>7</v>
      </c>
      <c r="G474" s="181">
        <v>13</v>
      </c>
      <c r="H474" s="80">
        <v>22</v>
      </c>
      <c r="I474" s="80">
        <v>25</v>
      </c>
      <c r="J474" s="80">
        <v>27</v>
      </c>
      <c r="K474" s="28">
        <v>23</v>
      </c>
      <c r="L474" s="21"/>
    </row>
    <row r="475" spans="1:12" ht="16.5" thickBot="1" x14ac:dyDescent="0.3">
      <c r="A475" s="1776"/>
      <c r="B475" s="1151"/>
      <c r="C475" s="1161"/>
      <c r="D475" s="203" t="s">
        <v>270</v>
      </c>
      <c r="E475" s="106"/>
      <c r="F475" s="1050">
        <f t="shared" ref="F475:K475" si="49">(F474/F472)*100</f>
        <v>17.948717948717949</v>
      </c>
      <c r="G475" s="1050">
        <f t="shared" si="49"/>
        <v>20.3125</v>
      </c>
      <c r="H475" s="1050">
        <f t="shared" si="49"/>
        <v>21.782178217821784</v>
      </c>
      <c r="I475" s="1050">
        <f t="shared" si="49"/>
        <v>22.727272727272727</v>
      </c>
      <c r="J475" s="1050">
        <f t="shared" si="49"/>
        <v>22.5</v>
      </c>
      <c r="K475" s="1050">
        <f t="shared" si="49"/>
        <v>24.210526315789473</v>
      </c>
      <c r="L475" s="22"/>
    </row>
    <row r="476" spans="1:12" x14ac:dyDescent="0.25">
      <c r="A476" s="1776"/>
      <c r="B476" s="1678"/>
      <c r="C476" s="1166" t="s">
        <v>472</v>
      </c>
      <c r="D476" s="308" t="s">
        <v>473</v>
      </c>
      <c r="E476" s="612"/>
      <c r="F476" s="261">
        <v>50</v>
      </c>
      <c r="G476" s="261">
        <v>50</v>
      </c>
      <c r="H476" s="261">
        <f>5/9*100</f>
        <v>55.555555555555557</v>
      </c>
      <c r="I476" s="261">
        <v>40</v>
      </c>
      <c r="J476" s="261">
        <f>6/11*100</f>
        <v>54.54545454545454</v>
      </c>
      <c r="K476" s="261">
        <f>5/11*100</f>
        <v>45.454545454545453</v>
      </c>
      <c r="L476" s="20"/>
    </row>
    <row r="477" spans="1:12" x14ac:dyDescent="0.25">
      <c r="A477" s="1776"/>
      <c r="B477" s="1678"/>
      <c r="C477" s="1167"/>
      <c r="D477" s="232" t="s">
        <v>474</v>
      </c>
      <c r="E477" s="92"/>
      <c r="F477" s="234">
        <v>25</v>
      </c>
      <c r="G477" s="234">
        <v>25</v>
      </c>
      <c r="H477" s="234">
        <f>2/9*100</f>
        <v>22.222222222222221</v>
      </c>
      <c r="I477" s="234">
        <v>20</v>
      </c>
      <c r="J477" s="234">
        <f>3/11*100</f>
        <v>27.27272727272727</v>
      </c>
      <c r="K477" s="234">
        <f>3/11*100</f>
        <v>27.27272727272727</v>
      </c>
      <c r="L477" s="21"/>
    </row>
    <row r="478" spans="1:12" ht="16.5" thickBot="1" x14ac:dyDescent="0.3">
      <c r="A478" s="1776"/>
      <c r="B478" s="1745"/>
      <c r="C478" s="1255"/>
      <c r="D478" s="311" t="s">
        <v>475</v>
      </c>
      <c r="E478" s="106"/>
      <c r="F478" s="312">
        <v>25</v>
      </c>
      <c r="G478" s="312">
        <v>25</v>
      </c>
      <c r="H478" s="312">
        <f>2/9*100</f>
        <v>22.222222222222221</v>
      </c>
      <c r="I478" s="312">
        <v>40</v>
      </c>
      <c r="J478" s="312">
        <f>2/11*100</f>
        <v>18.181818181818183</v>
      </c>
      <c r="K478" s="312">
        <f>3/11*100</f>
        <v>27.27272727272727</v>
      </c>
      <c r="L478" s="22"/>
    </row>
    <row r="479" spans="1:12" ht="16.5" thickBot="1" x14ac:dyDescent="0.3">
      <c r="A479" s="1775"/>
      <c r="B479" s="823" t="s">
        <v>249</v>
      </c>
      <c r="C479" s="1675"/>
      <c r="D479" s="1675"/>
      <c r="E479" s="112" t="s">
        <v>442</v>
      </c>
      <c r="F479" s="112" t="s">
        <v>443</v>
      </c>
      <c r="G479" s="112" t="s">
        <v>444</v>
      </c>
      <c r="H479" s="112" t="s">
        <v>445</v>
      </c>
      <c r="I479" s="112" t="s">
        <v>446</v>
      </c>
      <c r="J479" s="112" t="s">
        <v>447</v>
      </c>
      <c r="K479" s="112" t="s">
        <v>448</v>
      </c>
      <c r="L479" s="284" t="s">
        <v>449</v>
      </c>
    </row>
    <row r="480" spans="1:12" x14ac:dyDescent="0.25">
      <c r="A480" s="1776"/>
      <c r="B480" s="1744" t="s">
        <v>219</v>
      </c>
      <c r="C480" s="1251" t="s">
        <v>459</v>
      </c>
      <c r="D480" s="1206"/>
      <c r="E480" s="40"/>
      <c r="F480" s="260"/>
      <c r="G480" s="260"/>
      <c r="H480" s="359">
        <v>122</v>
      </c>
      <c r="I480" s="260">
        <v>488</v>
      </c>
      <c r="J480" s="359">
        <v>574</v>
      </c>
      <c r="K480" s="40">
        <v>561</v>
      </c>
      <c r="L480" s="20"/>
    </row>
    <row r="481" spans="1:12" x14ac:dyDescent="0.25">
      <c r="A481" s="1776"/>
      <c r="B481" s="1678"/>
      <c r="C481" s="1123" t="s">
        <v>436</v>
      </c>
      <c r="D481" s="1124"/>
      <c r="E481" s="28"/>
      <c r="F481" s="187"/>
      <c r="G481" s="187"/>
      <c r="H481" s="358">
        <v>66</v>
      </c>
      <c r="I481" s="187">
        <v>289</v>
      </c>
      <c r="J481" s="358">
        <v>345</v>
      </c>
      <c r="K481" s="28">
        <v>350</v>
      </c>
      <c r="L481" s="21"/>
    </row>
    <row r="482" spans="1:12" x14ac:dyDescent="0.25">
      <c r="A482" s="1776"/>
      <c r="B482" s="1678"/>
      <c r="C482" s="1123" t="s">
        <v>437</v>
      </c>
      <c r="D482" s="1124"/>
      <c r="E482" s="96"/>
      <c r="F482" s="96"/>
      <c r="G482" s="96"/>
      <c r="H482" s="96">
        <v>56</v>
      </c>
      <c r="I482" s="96">
        <v>199</v>
      </c>
      <c r="J482" s="96">
        <v>229</v>
      </c>
      <c r="K482" s="96">
        <v>211</v>
      </c>
      <c r="L482" s="21"/>
    </row>
    <row r="483" spans="1:12" x14ac:dyDescent="0.25">
      <c r="A483" s="1776"/>
      <c r="B483" s="1678"/>
      <c r="C483" s="1111" t="s">
        <v>353</v>
      </c>
      <c r="D483" s="1112"/>
      <c r="E483" s="157"/>
      <c r="F483" s="157"/>
      <c r="G483" s="157"/>
      <c r="H483" s="157">
        <f>H482-H481</f>
        <v>-10</v>
      </c>
      <c r="I483" s="157">
        <f>I482-I481</f>
        <v>-90</v>
      </c>
      <c r="J483" s="157">
        <f>J482-J481</f>
        <v>-116</v>
      </c>
      <c r="K483" s="157">
        <f>K482-K481</f>
        <v>-139</v>
      </c>
      <c r="L483" s="21"/>
    </row>
    <row r="484" spans="1:12" ht="16.5" thickBot="1" x14ac:dyDescent="0.3">
      <c r="A484" s="1776"/>
      <c r="B484" s="1678"/>
      <c r="C484" s="1353" t="s">
        <v>270</v>
      </c>
      <c r="D484" s="1178"/>
      <c r="E484" s="360"/>
      <c r="F484" s="360"/>
      <c r="G484" s="360"/>
      <c r="H484" s="435">
        <f>H482/H480*100</f>
        <v>45.901639344262293</v>
      </c>
      <c r="I484" s="435">
        <f>I482/I480*100</f>
        <v>40.778688524590159</v>
      </c>
      <c r="J484" s="423">
        <f>J482/J480*100</f>
        <v>39.89547038327526</v>
      </c>
      <c r="K484" s="423">
        <f>K482/K480*100</f>
        <v>37.611408199643492</v>
      </c>
      <c r="L484" s="53"/>
    </row>
    <row r="485" spans="1:12" x14ac:dyDescent="0.25">
      <c r="A485" s="1776"/>
      <c r="B485" s="1678"/>
      <c r="C485" s="1406" t="s">
        <v>484</v>
      </c>
      <c r="D485" s="1405"/>
      <c r="E485" s="225"/>
      <c r="F485" s="225"/>
      <c r="G485" s="225"/>
      <c r="H485" s="261">
        <f>2/5*100</f>
        <v>40</v>
      </c>
      <c r="I485" s="261">
        <f>5/10*100</f>
        <v>50</v>
      </c>
      <c r="J485" s="261">
        <f>5/11*100</f>
        <v>45.454545454545453</v>
      </c>
      <c r="K485" s="315">
        <v>50</v>
      </c>
      <c r="L485" s="20"/>
    </row>
    <row r="486" spans="1:12" x14ac:dyDescent="0.25">
      <c r="A486" s="1776"/>
      <c r="B486" s="1678"/>
      <c r="C486" s="1111" t="s">
        <v>485</v>
      </c>
      <c r="D486" s="1112"/>
      <c r="E486" s="96"/>
      <c r="F486" s="96"/>
      <c r="G486" s="96"/>
      <c r="H486" s="235">
        <v>0</v>
      </c>
      <c r="I486" s="235">
        <v>0</v>
      </c>
      <c r="J486" s="235">
        <v>0</v>
      </c>
      <c r="K486" s="237">
        <v>25</v>
      </c>
      <c r="L486" s="21"/>
    </row>
    <row r="487" spans="1:12" x14ac:dyDescent="0.25">
      <c r="A487" s="1777"/>
      <c r="B487" s="1679"/>
      <c r="C487" s="1277" t="s">
        <v>486</v>
      </c>
      <c r="D487" s="1142"/>
      <c r="E487" s="360"/>
      <c r="F487" s="360"/>
      <c r="G487" s="360"/>
      <c r="H487" s="356">
        <f>3/5*100</f>
        <v>60</v>
      </c>
      <c r="I487" s="356">
        <f>5/10*100</f>
        <v>50</v>
      </c>
      <c r="J487" s="356">
        <f>6/11*100</f>
        <v>54.54545454545454</v>
      </c>
      <c r="K487" s="361">
        <v>25</v>
      </c>
      <c r="L487" s="53"/>
    </row>
    <row r="488" spans="1:12" ht="16.5" thickBot="1" x14ac:dyDescent="0.3">
      <c r="A488" s="338" t="s">
        <v>248</v>
      </c>
      <c r="B488" s="463" t="s">
        <v>249</v>
      </c>
      <c r="C488" s="1422"/>
      <c r="D488" s="1422"/>
      <c r="E488" s="616">
        <v>2005</v>
      </c>
      <c r="F488" s="616">
        <v>2010</v>
      </c>
      <c r="G488" s="616">
        <v>2015</v>
      </c>
      <c r="H488" s="616">
        <v>2020</v>
      </c>
      <c r="I488" s="616">
        <v>2021</v>
      </c>
      <c r="J488" s="616">
        <v>2022</v>
      </c>
      <c r="K488" s="616">
        <v>2023</v>
      </c>
      <c r="L488" s="616" t="s">
        <v>449</v>
      </c>
    </row>
    <row r="489" spans="1:12" ht="15" customHeight="1" x14ac:dyDescent="0.25">
      <c r="A489" s="1735" t="s">
        <v>487</v>
      </c>
      <c r="B489" s="1692" t="s">
        <v>227</v>
      </c>
      <c r="C489" s="1206" t="s">
        <v>435</v>
      </c>
      <c r="D489" s="1206"/>
      <c r="E489" s="36"/>
      <c r="F489" s="36"/>
      <c r="G489" s="36"/>
      <c r="H489" s="36"/>
      <c r="I489" s="36"/>
      <c r="J489" s="36"/>
      <c r="K489" s="195">
        <v>865</v>
      </c>
      <c r="L489" s="325">
        <v>922</v>
      </c>
    </row>
    <row r="490" spans="1:12" x14ac:dyDescent="0.25">
      <c r="A490" s="1736"/>
      <c r="B490" s="1693"/>
      <c r="C490" s="1124" t="s">
        <v>533</v>
      </c>
      <c r="D490" s="1124"/>
      <c r="E490" s="28"/>
      <c r="F490" s="28"/>
      <c r="G490" s="28"/>
      <c r="H490" s="28"/>
      <c r="I490" s="28"/>
      <c r="J490" s="28"/>
      <c r="K490" s="28">
        <v>306</v>
      </c>
      <c r="L490" s="21">
        <v>328</v>
      </c>
    </row>
    <row r="491" spans="1:12" x14ac:dyDescent="0.25">
      <c r="A491" s="1736"/>
      <c r="B491" s="1693"/>
      <c r="C491" s="1124" t="s">
        <v>534</v>
      </c>
      <c r="D491" s="1124"/>
      <c r="E491" s="28"/>
      <c r="F491" s="28"/>
      <c r="G491" s="28"/>
      <c r="H491" s="28"/>
      <c r="I491" s="28"/>
      <c r="J491" s="28"/>
      <c r="K491" s="28">
        <v>559</v>
      </c>
      <c r="L491" s="21">
        <v>594</v>
      </c>
    </row>
    <row r="492" spans="1:12" x14ac:dyDescent="0.25">
      <c r="A492" s="1736"/>
      <c r="B492" s="1693"/>
      <c r="C492" s="1128" t="s">
        <v>353</v>
      </c>
      <c r="D492" s="1128"/>
      <c r="E492" s="28"/>
      <c r="F492" s="28"/>
      <c r="G492" s="28"/>
      <c r="H492" s="28"/>
      <c r="I492" s="28"/>
      <c r="J492" s="28"/>
      <c r="K492" s="262">
        <f t="shared" ref="K492" si="50">K491-K490</f>
        <v>253</v>
      </c>
      <c r="L492" s="317">
        <v>266</v>
      </c>
    </row>
    <row r="493" spans="1:12" ht="16.5" thickBot="1" x14ac:dyDescent="0.3">
      <c r="A493" s="1736"/>
      <c r="B493" s="1875"/>
      <c r="C493" s="1178" t="s">
        <v>270</v>
      </c>
      <c r="D493" s="1178"/>
      <c r="E493" s="441"/>
      <c r="F493" s="441"/>
      <c r="G493" s="441"/>
      <c r="H493" s="441"/>
      <c r="I493" s="441"/>
      <c r="J493" s="441"/>
      <c r="K493" s="165">
        <f t="shared" ref="K493" si="51">K491/K489*100</f>
        <v>64.624277456647391</v>
      </c>
      <c r="L493" s="166">
        <v>64.425162689804765</v>
      </c>
    </row>
    <row r="494" spans="1:12" x14ac:dyDescent="0.25">
      <c r="A494" s="1736"/>
      <c r="B494" s="1692" t="s">
        <v>488</v>
      </c>
      <c r="C494" s="1405" t="s">
        <v>489</v>
      </c>
      <c r="D494" s="1405"/>
      <c r="E494" s="40"/>
      <c r="F494" s="40">
        <v>71</v>
      </c>
      <c r="G494" s="40">
        <v>82</v>
      </c>
      <c r="H494" s="40">
        <v>105</v>
      </c>
      <c r="I494" s="36"/>
      <c r="J494" s="36"/>
      <c r="K494" s="40">
        <v>122</v>
      </c>
      <c r="L494" s="1072">
        <v>49</v>
      </c>
    </row>
    <row r="495" spans="1:12" x14ac:dyDescent="0.25">
      <c r="A495" s="1736"/>
      <c r="B495" s="1693"/>
      <c r="C495" s="1112" t="s">
        <v>490</v>
      </c>
      <c r="D495" s="1112"/>
      <c r="E495" s="157"/>
      <c r="F495" s="44">
        <v>1</v>
      </c>
      <c r="G495" s="44">
        <v>0</v>
      </c>
      <c r="H495" s="44">
        <v>0</v>
      </c>
      <c r="I495" s="28"/>
      <c r="J495" s="28"/>
      <c r="K495" s="44">
        <v>1</v>
      </c>
      <c r="L495" s="1072">
        <v>1</v>
      </c>
    </row>
    <row r="496" spans="1:12" x14ac:dyDescent="0.25">
      <c r="A496" s="1874"/>
      <c r="B496" s="1875"/>
      <c r="C496" s="1142" t="s">
        <v>491</v>
      </c>
      <c r="D496" s="1142"/>
      <c r="E496" s="336"/>
      <c r="F496" s="165">
        <f>F495/F494*100</f>
        <v>1.4084507042253522</v>
      </c>
      <c r="G496" s="165">
        <f t="shared" ref="G496:H496" si="52">G495/G494*100</f>
        <v>0</v>
      </c>
      <c r="H496" s="165">
        <f t="shared" si="52"/>
        <v>0</v>
      </c>
      <c r="I496" s="336"/>
      <c r="J496" s="336"/>
      <c r="K496" s="165">
        <f>K495/K494*100</f>
        <v>0.81967213114754101</v>
      </c>
      <c r="L496" s="859">
        <v>2.0408163265306118</v>
      </c>
    </row>
    <row r="497" spans="1:12" ht="16.5" thickBot="1" x14ac:dyDescent="0.3">
      <c r="A497" s="338" t="s">
        <v>248</v>
      </c>
      <c r="B497" s="824" t="s">
        <v>249</v>
      </c>
      <c r="C497" s="1433"/>
      <c r="D497" s="1433"/>
      <c r="E497" s="617">
        <v>2005</v>
      </c>
      <c r="F497" s="617">
        <v>2010</v>
      </c>
      <c r="G497" s="617">
        <v>2015</v>
      </c>
      <c r="H497" s="617">
        <v>2020</v>
      </c>
      <c r="I497" s="617">
        <v>2021</v>
      </c>
      <c r="J497" s="617">
        <v>2022</v>
      </c>
      <c r="K497" s="617">
        <v>2023</v>
      </c>
      <c r="L497" s="616">
        <v>2024</v>
      </c>
    </row>
    <row r="498" spans="1:12" ht="15" customHeight="1" x14ac:dyDescent="0.25">
      <c r="A498" s="1621" t="s">
        <v>492</v>
      </c>
      <c r="B498" s="1624" t="s">
        <v>493</v>
      </c>
      <c r="C498" s="1251" t="s">
        <v>459</v>
      </c>
      <c r="D498" s="1206"/>
      <c r="E498" s="40"/>
      <c r="F498" s="195">
        <v>1166</v>
      </c>
      <c r="G498" s="195">
        <v>1257</v>
      </c>
      <c r="H498" s="195">
        <v>1778</v>
      </c>
      <c r="I498" s="195">
        <v>2049</v>
      </c>
      <c r="J498" s="195">
        <v>2534</v>
      </c>
      <c r="K498" s="195">
        <v>2409</v>
      </c>
      <c r="L498" s="195">
        <v>2286</v>
      </c>
    </row>
    <row r="499" spans="1:12" x14ac:dyDescent="0.25">
      <c r="A499" s="1622"/>
      <c r="B499" s="1625"/>
      <c r="C499" s="1160" t="s">
        <v>436</v>
      </c>
      <c r="D499" s="28" t="s">
        <v>494</v>
      </c>
      <c r="E499" s="28"/>
      <c r="F499" s="96">
        <f>512</f>
        <v>512</v>
      </c>
      <c r="G499" s="96">
        <f>543</f>
        <v>543</v>
      </c>
      <c r="H499" s="96">
        <v>863</v>
      </c>
      <c r="I499" s="96">
        <v>1017</v>
      </c>
      <c r="J499" s="96">
        <v>1175</v>
      </c>
      <c r="K499" s="96">
        <v>1227</v>
      </c>
      <c r="L499" s="96">
        <v>1127</v>
      </c>
    </row>
    <row r="500" spans="1:12" x14ac:dyDescent="0.25">
      <c r="A500" s="1622"/>
      <c r="B500" s="1625"/>
      <c r="C500" s="1160"/>
      <c r="D500" s="28" t="s">
        <v>495</v>
      </c>
      <c r="E500" s="28"/>
      <c r="F500" s="96">
        <f>92</f>
        <v>92</v>
      </c>
      <c r="G500" s="96">
        <f>89</f>
        <v>89</v>
      </c>
      <c r="H500" s="96">
        <v>125</v>
      </c>
      <c r="I500" s="96">
        <v>153</v>
      </c>
      <c r="J500" s="96">
        <v>191</v>
      </c>
      <c r="K500" s="96">
        <v>173</v>
      </c>
      <c r="L500" s="96">
        <v>152</v>
      </c>
    </row>
    <row r="501" spans="1:12" x14ac:dyDescent="0.25">
      <c r="A501" s="1622"/>
      <c r="B501" s="1625"/>
      <c r="C501" s="1160" t="s">
        <v>437</v>
      </c>
      <c r="D501" s="28" t="s">
        <v>496</v>
      </c>
      <c r="E501" s="28"/>
      <c r="F501" s="96">
        <f>184</f>
        <v>184</v>
      </c>
      <c r="G501" s="96">
        <f>194</f>
        <v>194</v>
      </c>
      <c r="H501" s="96">
        <v>321</v>
      </c>
      <c r="I501" s="96">
        <v>347</v>
      </c>
      <c r="J501" s="96">
        <v>492</v>
      </c>
      <c r="K501" s="96">
        <v>440</v>
      </c>
      <c r="L501" s="96">
        <v>415</v>
      </c>
    </row>
    <row r="502" spans="1:12" ht="16.5" thickBot="1" x14ac:dyDescent="0.3">
      <c r="A502" s="1622"/>
      <c r="B502" s="1625"/>
      <c r="C502" s="1519"/>
      <c r="D502" s="110" t="s">
        <v>497</v>
      </c>
      <c r="E502" s="110"/>
      <c r="F502" s="360">
        <f>126</f>
        <v>126</v>
      </c>
      <c r="G502" s="360">
        <f>143</f>
        <v>143</v>
      </c>
      <c r="H502" s="360">
        <v>162</v>
      </c>
      <c r="I502" s="360">
        <v>220</v>
      </c>
      <c r="J502" s="360">
        <v>273</v>
      </c>
      <c r="K502" s="360">
        <v>263</v>
      </c>
      <c r="L502" s="360">
        <v>245</v>
      </c>
    </row>
    <row r="503" spans="1:12" x14ac:dyDescent="0.25">
      <c r="A503" s="1622"/>
      <c r="B503" s="1625"/>
      <c r="C503" s="1263" t="s">
        <v>353</v>
      </c>
      <c r="D503" s="40" t="s">
        <v>498</v>
      </c>
      <c r="E503" s="40"/>
      <c r="F503" s="81">
        <f>+F501-F499</f>
        <v>-328</v>
      </c>
      <c r="G503" s="81">
        <f t="shared" ref="G503:L503" si="53">+G501-G499</f>
        <v>-349</v>
      </c>
      <c r="H503" s="81">
        <f t="shared" si="53"/>
        <v>-542</v>
      </c>
      <c r="I503" s="81">
        <f t="shared" si="53"/>
        <v>-670</v>
      </c>
      <c r="J503" s="81">
        <f t="shared" si="53"/>
        <v>-683</v>
      </c>
      <c r="K503" s="81">
        <f t="shared" si="53"/>
        <v>-787</v>
      </c>
      <c r="L503" s="81">
        <f t="shared" si="53"/>
        <v>-712</v>
      </c>
    </row>
    <row r="504" spans="1:12" x14ac:dyDescent="0.25">
      <c r="A504" s="1622"/>
      <c r="B504" s="1625"/>
      <c r="C504" s="1256"/>
      <c r="D504" s="44" t="s">
        <v>499</v>
      </c>
      <c r="E504" s="44"/>
      <c r="F504" s="79">
        <f t="shared" ref="F504:L504" si="54">F502-F500</f>
        <v>34</v>
      </c>
      <c r="G504" s="79">
        <f t="shared" si="54"/>
        <v>54</v>
      </c>
      <c r="H504" s="79">
        <f t="shared" si="54"/>
        <v>37</v>
      </c>
      <c r="I504" s="79">
        <f t="shared" si="54"/>
        <v>67</v>
      </c>
      <c r="J504" s="79">
        <f t="shared" si="54"/>
        <v>82</v>
      </c>
      <c r="K504" s="79">
        <f t="shared" si="54"/>
        <v>90</v>
      </c>
      <c r="L504" s="79">
        <f t="shared" si="54"/>
        <v>93</v>
      </c>
    </row>
    <row r="505" spans="1:12" ht="16.5" customHeight="1" x14ac:dyDescent="0.25">
      <c r="A505" s="1622"/>
      <c r="B505" s="1625"/>
      <c r="C505" s="1256" t="s">
        <v>270</v>
      </c>
      <c r="D505" s="44" t="s">
        <v>500</v>
      </c>
      <c r="E505" s="44"/>
      <c r="F505" s="263">
        <f>+F501/(F501+F499)*100</f>
        <v>26.436781609195403</v>
      </c>
      <c r="G505" s="263">
        <f t="shared" ref="G505:L506" si="55">+G501/(G501+G499)*100</f>
        <v>26.322930800542743</v>
      </c>
      <c r="H505" s="263">
        <f t="shared" si="55"/>
        <v>27.111486486486484</v>
      </c>
      <c r="I505" s="263">
        <f t="shared" si="55"/>
        <v>25.439882697947212</v>
      </c>
      <c r="J505" s="263">
        <f t="shared" si="55"/>
        <v>29.514097180563887</v>
      </c>
      <c r="K505" s="263">
        <f t="shared" si="55"/>
        <v>26.394721055788846</v>
      </c>
      <c r="L505" s="263">
        <f t="shared" si="55"/>
        <v>26.913099870298314</v>
      </c>
    </row>
    <row r="506" spans="1:12" ht="16.5" thickBot="1" x14ac:dyDescent="0.3">
      <c r="A506" s="1623"/>
      <c r="B506" s="1626"/>
      <c r="C506" s="1257"/>
      <c r="D506" s="203" t="s">
        <v>501</v>
      </c>
      <c r="E506" s="203"/>
      <c r="F506" s="230">
        <f>+F502/(F502+F500)*100</f>
        <v>57.798165137614674</v>
      </c>
      <c r="G506" s="230">
        <f t="shared" si="55"/>
        <v>61.637931034482762</v>
      </c>
      <c r="H506" s="230">
        <f t="shared" si="55"/>
        <v>56.445993031358888</v>
      </c>
      <c r="I506" s="230">
        <f t="shared" si="55"/>
        <v>58.981233243967822</v>
      </c>
      <c r="J506" s="230">
        <f t="shared" si="55"/>
        <v>58.836206896551722</v>
      </c>
      <c r="K506" s="230">
        <f t="shared" si="55"/>
        <v>60.321100917431195</v>
      </c>
      <c r="L506" s="230">
        <f t="shared" si="55"/>
        <v>61.712846347607055</v>
      </c>
    </row>
  </sheetData>
  <mergeCells count="237">
    <mergeCell ref="C505:C506"/>
    <mergeCell ref="B498:B506"/>
    <mergeCell ref="A498:A506"/>
    <mergeCell ref="A351:A360"/>
    <mergeCell ref="B351:B360"/>
    <mergeCell ref="C354:C356"/>
    <mergeCell ref="C361:D361"/>
    <mergeCell ref="A362:A487"/>
    <mergeCell ref="B362:B370"/>
    <mergeCell ref="C362:C364"/>
    <mergeCell ref="C365:C367"/>
    <mergeCell ref="C368:D368"/>
    <mergeCell ref="C369:D369"/>
    <mergeCell ref="C370:D370"/>
    <mergeCell ref="C372:D372"/>
    <mergeCell ref="C373:D373"/>
    <mergeCell ref="C374:D374"/>
    <mergeCell ref="C375:D375"/>
    <mergeCell ref="C428:D428"/>
    <mergeCell ref="C429:D429"/>
    <mergeCell ref="C430:D430"/>
    <mergeCell ref="C431:D431"/>
    <mergeCell ref="B480:B487"/>
    <mergeCell ref="C480:D480"/>
    <mergeCell ref="A489:A496"/>
    <mergeCell ref="B489:B493"/>
    <mergeCell ref="C489:D489"/>
    <mergeCell ref="C490:D490"/>
    <mergeCell ref="C491:D491"/>
    <mergeCell ref="C493:D493"/>
    <mergeCell ref="B494:B496"/>
    <mergeCell ref="C494:D494"/>
    <mergeCell ref="C496:D496"/>
    <mergeCell ref="C479:D479"/>
    <mergeCell ref="C476:C478"/>
    <mergeCell ref="C482:D482"/>
    <mergeCell ref="C484:D484"/>
    <mergeCell ref="C485:D485"/>
    <mergeCell ref="C486:D486"/>
    <mergeCell ref="C487:D487"/>
    <mergeCell ref="C492:D492"/>
    <mergeCell ref="C499:C500"/>
    <mergeCell ref="C497:D497"/>
    <mergeCell ref="C483:D483"/>
    <mergeCell ref="C481:D481"/>
    <mergeCell ref="C498:D498"/>
    <mergeCell ref="C488:D488"/>
    <mergeCell ref="C495:D495"/>
    <mergeCell ref="C501:C502"/>
    <mergeCell ref="C503:C504"/>
    <mergeCell ref="C316:D316"/>
    <mergeCell ref="C341:D341"/>
    <mergeCell ref="A342:A349"/>
    <mergeCell ref="B342:B345"/>
    <mergeCell ref="C342:D342"/>
    <mergeCell ref="C343:D343"/>
    <mergeCell ref="C344:D344"/>
    <mergeCell ref="C345:D345"/>
    <mergeCell ref="B346:B349"/>
    <mergeCell ref="C346:D346"/>
    <mergeCell ref="C347:D347"/>
    <mergeCell ref="C348:D348"/>
    <mergeCell ref="C349:D349"/>
    <mergeCell ref="B326:B335"/>
    <mergeCell ref="C326:C330"/>
    <mergeCell ref="A317:A340"/>
    <mergeCell ref="B317:B321"/>
    <mergeCell ref="B336:B340"/>
    <mergeCell ref="B322:B325"/>
    <mergeCell ref="C317:D317"/>
    <mergeCell ref="C351:C353"/>
    <mergeCell ref="B372:B426"/>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93:C296"/>
    <mergeCell ref="C297:C300"/>
    <mergeCell ref="C301:C304"/>
    <mergeCell ref="C305:C308"/>
    <mergeCell ref="C309:C312"/>
    <mergeCell ref="C313:D313"/>
    <mergeCell ref="C314:D314"/>
    <mergeCell ref="C221:C224"/>
    <mergeCell ref="C225:C228"/>
    <mergeCell ref="C229:C232"/>
    <mergeCell ref="C233:C236"/>
    <mergeCell ref="C237:C240"/>
    <mergeCell ref="C241:C244"/>
    <mergeCell ref="C245:C248"/>
    <mergeCell ref="C249:C252"/>
    <mergeCell ref="C253:C256"/>
    <mergeCell ref="C257:C260"/>
    <mergeCell ref="C261:C264"/>
    <mergeCell ref="C265:C268"/>
    <mergeCell ref="C269:C272"/>
    <mergeCell ref="C273:C276"/>
    <mergeCell ref="C277:C280"/>
    <mergeCell ref="C281:C284"/>
    <mergeCell ref="C285:C288"/>
    <mergeCell ref="C289:C292"/>
    <mergeCell ref="C408:C411"/>
    <mergeCell ref="C412:C415"/>
    <mergeCell ref="C416:C419"/>
    <mergeCell ref="C424:C426"/>
    <mergeCell ref="C315:D315"/>
    <mergeCell ref="C331:C335"/>
    <mergeCell ref="C318:D318"/>
    <mergeCell ref="C319:D319"/>
    <mergeCell ref="C320:D320"/>
    <mergeCell ref="C321:D321"/>
    <mergeCell ref="C322:D322"/>
    <mergeCell ref="C323:D323"/>
    <mergeCell ref="C324:D324"/>
    <mergeCell ref="C325:D325"/>
    <mergeCell ref="C350:D350"/>
    <mergeCell ref="C358:D358"/>
    <mergeCell ref="C359:D359"/>
    <mergeCell ref="C336:D336"/>
    <mergeCell ref="C337:D337"/>
    <mergeCell ref="C338:D338"/>
    <mergeCell ref="C339:D339"/>
    <mergeCell ref="C340:D340"/>
    <mergeCell ref="C360:D360"/>
    <mergeCell ref="C357:D357"/>
    <mergeCell ref="B428:B478"/>
    <mergeCell ref="C460:C463"/>
    <mergeCell ref="C464:C467"/>
    <mergeCell ref="C468:C471"/>
    <mergeCell ref="C472:C475"/>
    <mergeCell ref="C427:D427"/>
    <mergeCell ref="C371:D371"/>
    <mergeCell ref="C432:C435"/>
    <mergeCell ref="C436:C439"/>
    <mergeCell ref="C440:C443"/>
    <mergeCell ref="C444:C447"/>
    <mergeCell ref="C448:C451"/>
    <mergeCell ref="C452:C455"/>
    <mergeCell ref="C456:C459"/>
    <mergeCell ref="C376:C379"/>
    <mergeCell ref="C380:C383"/>
    <mergeCell ref="C384:C387"/>
    <mergeCell ref="C388:C391"/>
    <mergeCell ref="C392:C395"/>
    <mergeCell ref="C396:C399"/>
    <mergeCell ref="C420:C423"/>
    <mergeCell ref="C400:C403"/>
    <mergeCell ref="C404:C407"/>
  </mergeCells>
  <conditionalFormatting sqref="E50 G50:L50">
    <cfRule type="cellIs" dxfId="135" priority="234" operator="greaterThan">
      <formula>1</formula>
    </cfRule>
    <cfRule type="cellIs" dxfId="134" priority="236" operator="greaterThan">
      <formula>1</formula>
    </cfRule>
    <cfRule type="cellIs" dxfId="133" priority="235" operator="lessThan">
      <formula>1</formula>
    </cfRule>
    <cfRule type="cellIs" dxfId="132" priority="233" operator="greaterThan">
      <formula>1</formula>
    </cfRule>
    <cfRule type="cellIs" dxfId="131" priority="232" operator="lessThan">
      <formula>1</formula>
    </cfRule>
  </conditionalFormatting>
  <conditionalFormatting sqref="E51 G51:L51">
    <cfRule type="cellIs" dxfId="130" priority="244" operator="lessThan">
      <formula>50</formula>
    </cfRule>
    <cfRule type="cellIs" dxfId="129" priority="243" operator="greaterThan">
      <formula>50</formula>
    </cfRule>
  </conditionalFormatting>
  <conditionalFormatting sqref="E349:F349">
    <cfRule type="cellIs" dxfId="128" priority="219" operator="lessThan">
      <formula>0</formula>
    </cfRule>
    <cfRule type="cellIs" dxfId="127" priority="220" operator="greaterThan">
      <formula>0</formula>
    </cfRule>
  </conditionalFormatting>
  <conditionalFormatting sqref="E39:L39">
    <cfRule type="cellIs" dxfId="126" priority="454" operator="greaterThan">
      <formula>1</formula>
    </cfRule>
    <cfRule type="cellIs" dxfId="125" priority="453" operator="lessThan">
      <formula>1</formula>
    </cfRule>
    <cfRule type="cellIs" dxfId="124" priority="452" operator="greaterThan">
      <formula>1</formula>
    </cfRule>
    <cfRule type="cellIs" dxfId="123" priority="451" operator="greaterThan">
      <formula>1</formula>
    </cfRule>
  </conditionalFormatting>
  <conditionalFormatting sqref="E40:L40">
    <cfRule type="cellIs" dxfId="122" priority="455" operator="lessThan">
      <formula>50</formula>
    </cfRule>
    <cfRule type="cellIs" dxfId="121" priority="450" operator="greaterThan">
      <formula>50</formula>
    </cfRule>
    <cfRule type="cellIs" dxfId="120" priority="456" operator="greaterThan">
      <formula>50</formula>
    </cfRule>
  </conditionalFormatting>
  <conditionalFormatting sqref="E44:L44">
    <cfRule type="cellIs" dxfId="119" priority="448" operator="lessThan">
      <formula>1</formula>
    </cfRule>
    <cfRule type="cellIs" dxfId="118" priority="449" operator="greaterThan">
      <formula>1</formula>
    </cfRule>
    <cfRule type="cellIs" dxfId="117" priority="447" operator="greaterThan">
      <formula>1</formula>
    </cfRule>
    <cfRule type="cellIs" dxfId="116" priority="446" operator="greaterThan">
      <formula>1</formula>
    </cfRule>
  </conditionalFormatting>
  <conditionalFormatting sqref="E45:L45">
    <cfRule type="cellIs" dxfId="115" priority="445" operator="greaterThan">
      <formula>50</formula>
    </cfRule>
    <cfRule type="cellIs" dxfId="114" priority="444" operator="lessThan">
      <formula>50</formula>
    </cfRule>
    <cfRule type="cellIs" dxfId="113" priority="443" operator="greaterThan">
      <formula>50</formula>
    </cfRule>
  </conditionalFormatting>
  <conditionalFormatting sqref="F370:K370">
    <cfRule type="cellIs" dxfId="112" priority="114" operator="lessThan">
      <formula>0</formula>
    </cfRule>
  </conditionalFormatting>
  <conditionalFormatting sqref="F475:K475">
    <cfRule type="cellIs" dxfId="111" priority="59" operator="between">
      <formula>0</formula>
      <formula>19.99</formula>
    </cfRule>
    <cfRule type="cellIs" dxfId="110" priority="55" operator="between">
      <formula>80</formula>
      <formula>100</formula>
    </cfRule>
    <cfRule type="cellIs" dxfId="109" priority="56" operator="between">
      <formula>60</formula>
      <formula>79.99</formula>
    </cfRule>
    <cfRule type="cellIs" dxfId="108" priority="57" operator="between">
      <formula>40</formula>
      <formula>59.99</formula>
    </cfRule>
    <cfRule type="cellIs" dxfId="107" priority="58" operator="between">
      <formula>20</formula>
      <formula>39.99</formula>
    </cfRule>
  </conditionalFormatting>
  <conditionalFormatting sqref="F320:L321">
    <cfRule type="cellIs" dxfId="106" priority="129" operator="lessThan">
      <formula>1</formula>
    </cfRule>
  </conditionalFormatting>
  <conditionalFormatting sqref="F503:L503">
    <cfRule type="cellIs" dxfId="105" priority="18" operator="lessThan">
      <formula>0</formula>
    </cfRule>
  </conditionalFormatting>
  <conditionalFormatting sqref="F504:L506">
    <cfRule type="cellIs" dxfId="104" priority="16" operator="greaterThan">
      <formula>0</formula>
    </cfRule>
  </conditionalFormatting>
  <conditionalFormatting sqref="F506:L506">
    <cfRule type="cellIs" dxfId="103" priority="21" operator="lessThan">
      <formula>0</formula>
    </cfRule>
    <cfRule type="cellIs" dxfId="102" priority="20" operator="greaterThan">
      <formula>0</formula>
    </cfRule>
  </conditionalFormatting>
  <conditionalFormatting sqref="G360 I360">
    <cfRule type="cellIs" dxfId="101" priority="116" operator="greaterThan">
      <formula>0</formula>
    </cfRule>
    <cfRule type="cellIs" dxfId="100" priority="115" operator="lessThan">
      <formula>0</formula>
    </cfRule>
  </conditionalFormatting>
  <conditionalFormatting sqref="G325:L325">
    <cfRule type="cellIs" dxfId="99" priority="135" operator="lessThan">
      <formula>1</formula>
    </cfRule>
    <cfRule type="cellIs" dxfId="98" priority="134" operator="greaterThan">
      <formula>0</formula>
    </cfRule>
  </conditionalFormatting>
  <conditionalFormatting sqref="H483:J483">
    <cfRule type="cellIs" dxfId="97" priority="3" operator="greaterThan">
      <formula>0</formula>
    </cfRule>
  </conditionalFormatting>
  <conditionalFormatting sqref="H59:K59">
    <cfRule type="cellIs" dxfId="96" priority="239" operator="greaterThan">
      <formula>0</formula>
    </cfRule>
  </conditionalFormatting>
  <conditionalFormatting sqref="H60:K60">
    <cfRule type="cellIs" dxfId="95" priority="237" operator="lessThan">
      <formula>50</formula>
    </cfRule>
    <cfRule type="cellIs" dxfId="94" priority="238" operator="greaterThan">
      <formula>50</formula>
    </cfRule>
    <cfRule type="cellIs" dxfId="93" priority="240" operator="lessThan">
      <formula>50</formula>
    </cfRule>
    <cfRule type="cellIs" dxfId="92" priority="241" operator="greaterThan">
      <formula>50</formula>
    </cfRule>
  </conditionalFormatting>
  <conditionalFormatting sqref="H339:K339">
    <cfRule type="cellIs" dxfId="91" priority="141" operator="greaterThan">
      <formula>0</formula>
    </cfRule>
    <cfRule type="cellIs" dxfId="90" priority="142" operator="lessThan">
      <formula>0</formula>
    </cfRule>
    <cfRule type="cellIs" dxfId="89" priority="143" operator="greaterThan">
      <formula>0</formula>
    </cfRule>
    <cfRule type="cellIs" dxfId="88" priority="137" operator="lessThan">
      <formula>0</formula>
    </cfRule>
  </conditionalFormatting>
  <conditionalFormatting sqref="H340:K340">
    <cfRule type="cellIs" dxfId="87" priority="136" operator="lessThan">
      <formula>50</formula>
    </cfRule>
    <cfRule type="cellIs" dxfId="86" priority="118" operator="greaterThan">
      <formula>50</formula>
    </cfRule>
    <cfRule type="cellIs" dxfId="85" priority="140" operator="greaterThan">
      <formula>50</formula>
    </cfRule>
  </conditionalFormatting>
  <conditionalFormatting sqref="H483:K483">
    <cfRule type="cellIs" dxfId="84" priority="2" operator="lessThan">
      <formula>0</formula>
    </cfRule>
  </conditionalFormatting>
  <conditionalFormatting sqref="H55:L55">
    <cfRule type="cellIs" dxfId="83" priority="242" operator="greaterThan">
      <formula>0</formula>
    </cfRule>
  </conditionalFormatting>
  <conditionalFormatting sqref="I329:J329">
    <cfRule type="cellIs" dxfId="82" priority="131" operator="lessThan">
      <formula>0</formula>
    </cfRule>
    <cfRule type="cellIs" dxfId="81" priority="124" operator="greaterThan">
      <formula>0</formula>
    </cfRule>
  </conditionalFormatting>
  <conditionalFormatting sqref="I330:J330">
    <cfRule type="cellIs" dxfId="80" priority="130" operator="greaterThan">
      <formula>50</formula>
    </cfRule>
    <cfRule type="cellIs" dxfId="79" priority="30" operator="lessThan">
      <formula>50</formula>
    </cfRule>
    <cfRule type="cellIs" dxfId="78" priority="27" operator="greaterThan">
      <formula>50</formula>
    </cfRule>
  </conditionalFormatting>
  <conditionalFormatting sqref="I334:L334">
    <cfRule type="cellIs" dxfId="77" priority="139" operator="lessThan">
      <formula>1</formula>
    </cfRule>
    <cfRule type="cellIs" dxfId="76" priority="138" operator="greaterThan">
      <formula>0</formula>
    </cfRule>
    <cfRule type="cellIs" dxfId="75" priority="121" operator="greaterThan">
      <formula>0</formula>
    </cfRule>
  </conditionalFormatting>
  <conditionalFormatting sqref="I335:L335">
    <cfRule type="cellIs" dxfId="74" priority="119" operator="greaterThan">
      <formula>50</formula>
    </cfRule>
  </conditionalFormatting>
  <conditionalFormatting sqref="J484:K484">
    <cfRule type="cellIs" dxfId="73" priority="1" operator="lessThan">
      <formula>50</formula>
    </cfRule>
  </conditionalFormatting>
  <conditionalFormatting sqref="K493">
    <cfRule type="cellIs" dxfId="72" priority="15" operator="greaterThan">
      <formula>50</formula>
    </cfRule>
    <cfRule type="cellIs" dxfId="71" priority="14" operator="lessThan">
      <formula>50</formula>
    </cfRule>
    <cfRule type="cellIs" dxfId="70" priority="13" operator="lessThan">
      <formula>50</formula>
    </cfRule>
  </conditionalFormatting>
  <hyperlinks>
    <hyperlink ref="M1" location="INDICADORES!A1" display="INDICADORES" xr:uid="{48D4C424-5C5B-4ABF-B940-91DAF5DA03C7}"/>
    <hyperlink ref="O1" location="DISTRITOS!A1" display="DISTRITOS" xr:uid="{11EBF647-B0FD-4C9A-A81E-0AD8E13A1C09}"/>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A2A55-0D2E-487D-BAC6-6B94855BC360}">
  <sheetPr codeName="Hoja24">
    <tabColor theme="8" tint="-0.249977111117893"/>
  </sheetPr>
  <dimension ref="A1:O904"/>
  <sheetViews>
    <sheetView showGridLines="0" topLeftCell="B1" zoomScale="70" zoomScaleNormal="70" workbookViewId="0">
      <pane ySplit="2" topLeftCell="A31" activePane="bottomLeft" state="frozen"/>
      <selection activeCell="C3" activeCellId="1" sqref="K60 C3:K3"/>
      <selection pane="bottomLeft" activeCell="B31" sqref="B31:B35"/>
    </sheetView>
  </sheetViews>
  <sheetFormatPr baseColWidth="10" defaultColWidth="11.42578125" defaultRowHeight="15.75" x14ac:dyDescent="0.25"/>
  <cols>
    <col min="1" max="1" width="26.5703125" style="11" customWidth="1"/>
    <col min="2" max="2" width="50.5703125" style="11" customWidth="1"/>
    <col min="3" max="4" width="30.5703125" style="11" customWidth="1"/>
    <col min="5" max="12" width="13.5703125" style="11" customWidth="1"/>
    <col min="13" max="13" width="15" style="11" customWidth="1"/>
    <col min="14" max="14" width="6.7109375" style="11" customWidth="1"/>
    <col min="15" max="15" width="14.140625" style="11" customWidth="1"/>
    <col min="16" max="16384" width="11.42578125" style="11"/>
  </cols>
  <sheetData>
    <row r="1" spans="1:15" ht="30" customHeight="1" thickTop="1" thickBot="1" x14ac:dyDescent="0.3">
      <c r="A1" s="1020" t="s">
        <v>605</v>
      </c>
      <c r="B1" s="1020"/>
      <c r="C1" s="1020"/>
      <c r="D1" s="1020"/>
      <c r="E1" s="1020"/>
      <c r="F1" s="1020"/>
      <c r="G1" s="1020"/>
      <c r="H1" s="1020"/>
      <c r="I1" s="1020"/>
      <c r="J1" s="1020"/>
      <c r="K1" s="1020"/>
      <c r="M1" s="479" t="s">
        <v>246</v>
      </c>
      <c r="N1" s="480"/>
      <c r="O1" s="481" t="s">
        <v>247</v>
      </c>
    </row>
    <row r="2" spans="1:15" ht="18" customHeight="1" thickTop="1" thickBot="1" x14ac:dyDescent="0.3">
      <c r="A2" s="338" t="s">
        <v>248</v>
      </c>
      <c r="B2" s="463" t="s">
        <v>249</v>
      </c>
      <c r="C2" s="1422"/>
      <c r="D2" s="1422"/>
      <c r="E2" s="616">
        <v>2005</v>
      </c>
      <c r="F2" s="616">
        <v>2010</v>
      </c>
      <c r="G2" s="616">
        <v>2015</v>
      </c>
      <c r="H2" s="616">
        <v>2020</v>
      </c>
      <c r="I2" s="616">
        <v>2021</v>
      </c>
      <c r="J2" s="616">
        <v>2022</v>
      </c>
      <c r="K2" s="616">
        <v>2023</v>
      </c>
      <c r="L2" s="616">
        <v>2024</v>
      </c>
      <c r="M2" s="482"/>
    </row>
    <row r="3" spans="1:15" s="64" customFormat="1" x14ac:dyDescent="0.25">
      <c r="A3" s="1782" t="s">
        <v>26</v>
      </c>
      <c r="B3" s="1716" t="s">
        <v>568</v>
      </c>
      <c r="C3" s="1211" t="s">
        <v>251</v>
      </c>
      <c r="D3" s="1211"/>
      <c r="E3" s="81">
        <v>42180</v>
      </c>
      <c r="F3" s="81">
        <v>45797</v>
      </c>
      <c r="G3" s="81">
        <v>45747</v>
      </c>
      <c r="H3" s="81">
        <v>50010</v>
      </c>
      <c r="I3" s="81">
        <v>50077</v>
      </c>
      <c r="J3" s="81">
        <v>48404</v>
      </c>
      <c r="K3" s="81">
        <v>48646</v>
      </c>
      <c r="L3" s="82">
        <v>49612</v>
      </c>
    </row>
    <row r="4" spans="1:15" x14ac:dyDescent="0.25">
      <c r="A4" s="1783"/>
      <c r="B4" s="1717"/>
      <c r="C4" s="1213" t="s">
        <v>257</v>
      </c>
      <c r="D4" s="1213"/>
      <c r="E4" s="80">
        <v>20853</v>
      </c>
      <c r="F4" s="80">
        <v>22347</v>
      </c>
      <c r="G4" s="80">
        <v>22234</v>
      </c>
      <c r="H4" s="80">
        <v>24149</v>
      </c>
      <c r="I4" s="80">
        <v>24171</v>
      </c>
      <c r="J4" s="80">
        <v>23275</v>
      </c>
      <c r="K4" s="80">
        <v>23332</v>
      </c>
      <c r="L4" s="83">
        <v>23837</v>
      </c>
    </row>
    <row r="5" spans="1:15" x14ac:dyDescent="0.25">
      <c r="A5" s="1783"/>
      <c r="B5" s="1717"/>
      <c r="C5" s="1213" t="s">
        <v>263</v>
      </c>
      <c r="D5" s="1213"/>
      <c r="E5" s="80">
        <v>21327</v>
      </c>
      <c r="F5" s="80">
        <v>23450</v>
      </c>
      <c r="G5" s="80">
        <v>23513</v>
      </c>
      <c r="H5" s="80">
        <v>25861</v>
      </c>
      <c r="I5" s="80">
        <v>25906</v>
      </c>
      <c r="J5" s="80">
        <v>25129</v>
      </c>
      <c r="K5" s="80">
        <v>25314</v>
      </c>
      <c r="L5" s="83">
        <v>25775</v>
      </c>
    </row>
    <row r="6" spans="1:15" s="64" customFormat="1" x14ac:dyDescent="0.25">
      <c r="A6" s="1783"/>
      <c r="B6" s="1718"/>
      <c r="C6" s="1215" t="s">
        <v>269</v>
      </c>
      <c r="D6" s="1215"/>
      <c r="E6" s="363">
        <f>+E5-E4</f>
        <v>474</v>
      </c>
      <c r="F6" s="363">
        <f t="shared" ref="F6:L6" si="0">+F5-F4</f>
        <v>1103</v>
      </c>
      <c r="G6" s="363">
        <f t="shared" si="0"/>
        <v>1279</v>
      </c>
      <c r="H6" s="363">
        <f t="shared" si="0"/>
        <v>1712</v>
      </c>
      <c r="I6" s="363">
        <f t="shared" si="0"/>
        <v>1735</v>
      </c>
      <c r="J6" s="363">
        <f t="shared" si="0"/>
        <v>1854</v>
      </c>
      <c r="K6" s="363">
        <f t="shared" si="0"/>
        <v>1982</v>
      </c>
      <c r="L6" s="365">
        <f t="shared" si="0"/>
        <v>1938</v>
      </c>
    </row>
    <row r="7" spans="1:15" s="64" customFormat="1" ht="16.5" thickBot="1" x14ac:dyDescent="0.3">
      <c r="A7" s="1783"/>
      <c r="B7" s="1719"/>
      <c r="C7" s="1126" t="s">
        <v>270</v>
      </c>
      <c r="D7" s="1126"/>
      <c r="E7" s="366">
        <f>E5/E3*100</f>
        <v>50.56187766714082</v>
      </c>
      <c r="F7" s="366">
        <f t="shared" ref="F7:L7" si="1">F5/F3*100</f>
        <v>51.204227351136531</v>
      </c>
      <c r="G7" s="366">
        <f t="shared" si="1"/>
        <v>51.397905873609197</v>
      </c>
      <c r="H7" s="366">
        <f t="shared" si="1"/>
        <v>51.711657668466302</v>
      </c>
      <c r="I7" s="366">
        <f t="shared" si="1"/>
        <v>51.732332208399065</v>
      </c>
      <c r="J7" s="366">
        <f t="shared" si="1"/>
        <v>51.915130980910675</v>
      </c>
      <c r="K7" s="366">
        <f t="shared" si="1"/>
        <v>52.037166467952147</v>
      </c>
      <c r="L7" s="367">
        <f t="shared" si="1"/>
        <v>51.953156494396509</v>
      </c>
    </row>
    <row r="8" spans="1:15" s="64" customFormat="1" x14ac:dyDescent="0.25">
      <c r="A8" s="1783"/>
      <c r="B8" s="1759" t="s">
        <v>569</v>
      </c>
      <c r="C8" s="1306" t="s">
        <v>257</v>
      </c>
      <c r="D8" s="168" t="s">
        <v>272</v>
      </c>
      <c r="E8" s="81">
        <v>20853</v>
      </c>
      <c r="F8" s="81">
        <v>22347</v>
      </c>
      <c r="G8" s="81">
        <v>22234</v>
      </c>
      <c r="H8" s="81">
        <v>24149</v>
      </c>
      <c r="I8" s="81">
        <v>24171</v>
      </c>
      <c r="J8" s="81">
        <v>23275</v>
      </c>
      <c r="K8" s="81">
        <v>23332</v>
      </c>
      <c r="L8" s="82">
        <v>23837</v>
      </c>
      <c r="M8" s="11"/>
    </row>
    <row r="9" spans="1:15" x14ac:dyDescent="0.25">
      <c r="A9" s="1783"/>
      <c r="B9" s="1760"/>
      <c r="C9" s="1301"/>
      <c r="D9" s="164" t="s">
        <v>275</v>
      </c>
      <c r="E9" s="80">
        <v>3483</v>
      </c>
      <c r="F9" s="80">
        <v>4203</v>
      </c>
      <c r="G9" s="80">
        <v>4424</v>
      </c>
      <c r="H9" s="80">
        <v>4709</v>
      </c>
      <c r="I9" s="80">
        <v>4577</v>
      </c>
      <c r="J9" s="80">
        <v>4186</v>
      </c>
      <c r="K9" s="80">
        <v>4076</v>
      </c>
      <c r="L9" s="83">
        <v>3719</v>
      </c>
    </row>
    <row r="10" spans="1:15" x14ac:dyDescent="0.25">
      <c r="A10" s="1783"/>
      <c r="B10" s="1760"/>
      <c r="C10" s="1301"/>
      <c r="D10" s="164" t="s">
        <v>282</v>
      </c>
      <c r="E10" s="80">
        <v>15322</v>
      </c>
      <c r="F10" s="80">
        <v>15500</v>
      </c>
      <c r="G10" s="80">
        <v>14437</v>
      </c>
      <c r="H10" s="80">
        <v>15590</v>
      </c>
      <c r="I10" s="80">
        <v>15758</v>
      </c>
      <c r="J10" s="80">
        <v>15196</v>
      </c>
      <c r="K10" s="80">
        <v>15263</v>
      </c>
      <c r="L10" s="83">
        <v>16036</v>
      </c>
    </row>
    <row r="11" spans="1:15" x14ac:dyDescent="0.25">
      <c r="A11" s="1783"/>
      <c r="B11" s="1760"/>
      <c r="C11" s="1301"/>
      <c r="D11" s="164" t="s">
        <v>288</v>
      </c>
      <c r="E11" s="80">
        <v>2048</v>
      </c>
      <c r="F11" s="80">
        <v>2644</v>
      </c>
      <c r="G11" s="80">
        <v>3373</v>
      </c>
      <c r="H11" s="80">
        <v>3850</v>
      </c>
      <c r="I11" s="80">
        <v>3836</v>
      </c>
      <c r="J11" s="80">
        <v>3893</v>
      </c>
      <c r="K11" s="80">
        <v>3993</v>
      </c>
      <c r="L11" s="83">
        <v>4082</v>
      </c>
    </row>
    <row r="12" spans="1:15" x14ac:dyDescent="0.25">
      <c r="A12" s="1783"/>
      <c r="B12" s="1760"/>
      <c r="C12" s="1301"/>
      <c r="D12" s="164" t="s">
        <v>295</v>
      </c>
      <c r="E12" s="96">
        <v>355</v>
      </c>
      <c r="F12" s="96">
        <v>469</v>
      </c>
      <c r="G12" s="96">
        <v>667</v>
      </c>
      <c r="H12" s="96">
        <v>918</v>
      </c>
      <c r="I12" s="96">
        <v>966</v>
      </c>
      <c r="J12" s="96">
        <v>999</v>
      </c>
      <c r="K12" s="96">
        <v>1073</v>
      </c>
      <c r="L12" s="83">
        <v>1177</v>
      </c>
    </row>
    <row r="13" spans="1:15" ht="16.5" thickBot="1" x14ac:dyDescent="0.3">
      <c r="A13" s="1783"/>
      <c r="B13" s="1760"/>
      <c r="C13" s="1302"/>
      <c r="D13" s="169" t="s">
        <v>296</v>
      </c>
      <c r="E13" s="190">
        <v>0</v>
      </c>
      <c r="F13" s="190">
        <v>0</v>
      </c>
      <c r="G13" s="190">
        <v>0</v>
      </c>
      <c r="H13" s="190">
        <v>0</v>
      </c>
      <c r="I13" s="190">
        <v>0</v>
      </c>
      <c r="J13" s="190">
        <v>0</v>
      </c>
      <c r="K13" s="190">
        <v>0</v>
      </c>
      <c r="L13" s="268">
        <v>0</v>
      </c>
    </row>
    <row r="14" spans="1:15" x14ac:dyDescent="0.25">
      <c r="A14" s="1783"/>
      <c r="B14" s="1760"/>
      <c r="C14" s="1303" t="s">
        <v>263</v>
      </c>
      <c r="D14" s="168" t="s">
        <v>272</v>
      </c>
      <c r="E14" s="81">
        <v>21327</v>
      </c>
      <c r="F14" s="81">
        <v>23450</v>
      </c>
      <c r="G14" s="81">
        <v>23513</v>
      </c>
      <c r="H14" s="81">
        <v>25861</v>
      </c>
      <c r="I14" s="81">
        <v>25906</v>
      </c>
      <c r="J14" s="81">
        <v>25129</v>
      </c>
      <c r="K14" s="81">
        <v>25314</v>
      </c>
      <c r="L14" s="82">
        <v>25775</v>
      </c>
    </row>
    <row r="15" spans="1:15" x14ac:dyDescent="0.25">
      <c r="A15" s="1783"/>
      <c r="B15" s="1760"/>
      <c r="C15" s="1304"/>
      <c r="D15" s="164" t="s">
        <v>275</v>
      </c>
      <c r="E15" s="80">
        <v>3270</v>
      </c>
      <c r="F15" s="80">
        <v>3823</v>
      </c>
      <c r="G15" s="80">
        <v>3974</v>
      </c>
      <c r="H15" s="80">
        <v>4333</v>
      </c>
      <c r="I15" s="80">
        <v>4268</v>
      </c>
      <c r="J15" s="80">
        <v>3912</v>
      </c>
      <c r="K15" s="80">
        <v>3801</v>
      </c>
      <c r="L15" s="83">
        <v>3425</v>
      </c>
    </row>
    <row r="16" spans="1:15" x14ac:dyDescent="0.25">
      <c r="A16" s="1783"/>
      <c r="B16" s="1760"/>
      <c r="C16" s="1304"/>
      <c r="D16" s="164" t="s">
        <v>282</v>
      </c>
      <c r="E16" s="80">
        <v>15597</v>
      </c>
      <c r="F16" s="80">
        <v>16335</v>
      </c>
      <c r="G16" s="80">
        <v>15291</v>
      </c>
      <c r="H16" s="80">
        <v>16423</v>
      </c>
      <c r="I16" s="80">
        <v>16517</v>
      </c>
      <c r="J16" s="80">
        <v>16023</v>
      </c>
      <c r="K16" s="80">
        <v>16226</v>
      </c>
      <c r="L16" s="83">
        <v>16951</v>
      </c>
    </row>
    <row r="17" spans="1:13" x14ac:dyDescent="0.25">
      <c r="A17" s="1783"/>
      <c r="B17" s="1760"/>
      <c r="C17" s="1304"/>
      <c r="D17" s="164" t="s">
        <v>288</v>
      </c>
      <c r="E17" s="80">
        <v>2460</v>
      </c>
      <c r="F17" s="80">
        <v>3292</v>
      </c>
      <c r="G17" s="80">
        <v>4248</v>
      </c>
      <c r="H17" s="80">
        <v>5105</v>
      </c>
      <c r="I17" s="80">
        <v>5121</v>
      </c>
      <c r="J17" s="80">
        <v>5194</v>
      </c>
      <c r="K17" s="80">
        <v>5287</v>
      </c>
      <c r="L17" s="83">
        <v>5399</v>
      </c>
    </row>
    <row r="18" spans="1:13" x14ac:dyDescent="0.25">
      <c r="A18" s="1783"/>
      <c r="B18" s="1760"/>
      <c r="C18" s="1304"/>
      <c r="D18" s="164" t="s">
        <v>295</v>
      </c>
      <c r="E18" s="96">
        <v>666</v>
      </c>
      <c r="F18" s="96">
        <v>916</v>
      </c>
      <c r="G18" s="96">
        <v>1104</v>
      </c>
      <c r="H18" s="96">
        <v>1313</v>
      </c>
      <c r="I18" s="96">
        <v>1386</v>
      </c>
      <c r="J18" s="96">
        <v>1439</v>
      </c>
      <c r="K18" s="96">
        <v>1508</v>
      </c>
      <c r="L18" s="83">
        <v>1603</v>
      </c>
    </row>
    <row r="19" spans="1:13" ht="16.5" thickBot="1" x14ac:dyDescent="0.3">
      <c r="A19" s="1783"/>
      <c r="B19" s="1760"/>
      <c r="C19" s="1305"/>
      <c r="D19" s="169" t="s">
        <v>296</v>
      </c>
      <c r="E19" s="190">
        <v>0</v>
      </c>
      <c r="F19" s="190">
        <v>0</v>
      </c>
      <c r="G19" s="190">
        <v>0</v>
      </c>
      <c r="H19" s="190">
        <v>0</v>
      </c>
      <c r="I19" s="190">
        <v>0</v>
      </c>
      <c r="J19" s="190">
        <v>0</v>
      </c>
      <c r="K19" s="190">
        <v>0</v>
      </c>
      <c r="L19" s="268">
        <v>0</v>
      </c>
    </row>
    <row r="20" spans="1:13" x14ac:dyDescent="0.25">
      <c r="A20" s="1783"/>
      <c r="B20" s="1760"/>
      <c r="C20" s="1306" t="s">
        <v>269</v>
      </c>
      <c r="D20" s="535" t="s">
        <v>272</v>
      </c>
      <c r="E20" s="375">
        <f>E14-E8</f>
        <v>474</v>
      </c>
      <c r="F20" s="375">
        <f t="shared" ref="F20:L20" si="2">F14-F8</f>
        <v>1103</v>
      </c>
      <c r="G20" s="375">
        <f t="shared" si="2"/>
        <v>1279</v>
      </c>
      <c r="H20" s="375">
        <f t="shared" si="2"/>
        <v>1712</v>
      </c>
      <c r="I20" s="375">
        <f t="shared" si="2"/>
        <v>1735</v>
      </c>
      <c r="J20" s="375">
        <f t="shared" si="2"/>
        <v>1854</v>
      </c>
      <c r="K20" s="375">
        <f t="shared" si="2"/>
        <v>1982</v>
      </c>
      <c r="L20" s="376">
        <f t="shared" si="2"/>
        <v>1938</v>
      </c>
    </row>
    <row r="21" spans="1:13" x14ac:dyDescent="0.25">
      <c r="A21" s="1783"/>
      <c r="B21" s="1760"/>
      <c r="C21" s="1307"/>
      <c r="D21" s="527" t="s">
        <v>275</v>
      </c>
      <c r="E21" s="157">
        <f t="shared" ref="E21:L24" si="3">E15-E9</f>
        <v>-213</v>
      </c>
      <c r="F21" s="157">
        <f t="shared" si="3"/>
        <v>-380</v>
      </c>
      <c r="G21" s="157">
        <f t="shared" si="3"/>
        <v>-450</v>
      </c>
      <c r="H21" s="157">
        <f t="shared" si="3"/>
        <v>-376</v>
      </c>
      <c r="I21" s="157">
        <f t="shared" si="3"/>
        <v>-309</v>
      </c>
      <c r="J21" s="157">
        <f t="shared" si="3"/>
        <v>-274</v>
      </c>
      <c r="K21" s="157">
        <f t="shared" si="3"/>
        <v>-275</v>
      </c>
      <c r="L21" s="160">
        <f t="shared" si="3"/>
        <v>-294</v>
      </c>
    </row>
    <row r="22" spans="1:13" x14ac:dyDescent="0.25">
      <c r="A22" s="1783"/>
      <c r="B22" s="1760"/>
      <c r="C22" s="1307"/>
      <c r="D22" s="527" t="s">
        <v>282</v>
      </c>
      <c r="E22" s="363">
        <f t="shared" si="3"/>
        <v>275</v>
      </c>
      <c r="F22" s="363">
        <f t="shared" si="3"/>
        <v>835</v>
      </c>
      <c r="G22" s="363">
        <f t="shared" si="3"/>
        <v>854</v>
      </c>
      <c r="H22" s="363">
        <f t="shared" si="3"/>
        <v>833</v>
      </c>
      <c r="I22" s="363">
        <f t="shared" si="3"/>
        <v>759</v>
      </c>
      <c r="J22" s="363">
        <f t="shared" si="3"/>
        <v>827</v>
      </c>
      <c r="K22" s="363">
        <f t="shared" si="3"/>
        <v>963</v>
      </c>
      <c r="L22" s="365">
        <f t="shared" si="3"/>
        <v>915</v>
      </c>
    </row>
    <row r="23" spans="1:13" x14ac:dyDescent="0.25">
      <c r="A23" s="1783"/>
      <c r="B23" s="1760"/>
      <c r="C23" s="1307"/>
      <c r="D23" s="527" t="s">
        <v>288</v>
      </c>
      <c r="E23" s="363">
        <f t="shared" si="3"/>
        <v>412</v>
      </c>
      <c r="F23" s="363">
        <f t="shared" si="3"/>
        <v>648</v>
      </c>
      <c r="G23" s="363">
        <f t="shared" si="3"/>
        <v>875</v>
      </c>
      <c r="H23" s="363">
        <f t="shared" si="3"/>
        <v>1255</v>
      </c>
      <c r="I23" s="363">
        <f t="shared" si="3"/>
        <v>1285</v>
      </c>
      <c r="J23" s="363">
        <f t="shared" si="3"/>
        <v>1301</v>
      </c>
      <c r="K23" s="363">
        <f t="shared" si="3"/>
        <v>1294</v>
      </c>
      <c r="L23" s="365">
        <f t="shared" si="3"/>
        <v>1317</v>
      </c>
    </row>
    <row r="24" spans="1:13" ht="16.5" thickBot="1" x14ac:dyDescent="0.3">
      <c r="A24" s="1783"/>
      <c r="B24" s="1760"/>
      <c r="C24" s="1540"/>
      <c r="D24" s="545" t="s">
        <v>295</v>
      </c>
      <c r="E24" s="459">
        <f t="shared" si="3"/>
        <v>311</v>
      </c>
      <c r="F24" s="459">
        <f t="shared" si="3"/>
        <v>447</v>
      </c>
      <c r="G24" s="459">
        <f t="shared" si="3"/>
        <v>437</v>
      </c>
      <c r="H24" s="459">
        <f t="shared" si="3"/>
        <v>395</v>
      </c>
      <c r="I24" s="459">
        <f t="shared" si="3"/>
        <v>420</v>
      </c>
      <c r="J24" s="459">
        <f t="shared" si="3"/>
        <v>440</v>
      </c>
      <c r="K24" s="459">
        <f t="shared" si="3"/>
        <v>435</v>
      </c>
      <c r="L24" s="460">
        <f t="shared" si="3"/>
        <v>426</v>
      </c>
    </row>
    <row r="25" spans="1:13" ht="15" customHeight="1" x14ac:dyDescent="0.25">
      <c r="A25" s="1783"/>
      <c r="B25" s="1760"/>
      <c r="C25" s="1265" t="s">
        <v>270</v>
      </c>
      <c r="D25" s="535" t="s">
        <v>272</v>
      </c>
      <c r="E25" s="384">
        <f>E14/E3*100</f>
        <v>50.56187766714082</v>
      </c>
      <c r="F25" s="384">
        <f t="shared" ref="F25:L25" si="4">F14/F3*100</f>
        <v>51.204227351136531</v>
      </c>
      <c r="G25" s="384">
        <f t="shared" si="4"/>
        <v>51.397905873609197</v>
      </c>
      <c r="H25" s="384">
        <f t="shared" si="4"/>
        <v>51.711657668466302</v>
      </c>
      <c r="I25" s="384">
        <f t="shared" si="4"/>
        <v>51.732332208399065</v>
      </c>
      <c r="J25" s="384">
        <f t="shared" si="4"/>
        <v>51.915130980910675</v>
      </c>
      <c r="K25" s="384">
        <f t="shared" si="4"/>
        <v>52.037166467952147</v>
      </c>
      <c r="L25" s="385">
        <f t="shared" si="4"/>
        <v>51.953156494396509</v>
      </c>
    </row>
    <row r="26" spans="1:13" x14ac:dyDescent="0.25">
      <c r="A26" s="1783"/>
      <c r="B26" s="1760"/>
      <c r="C26" s="1360"/>
      <c r="D26" s="527" t="s">
        <v>275</v>
      </c>
      <c r="E26" s="158">
        <f>(E15/(E15+E9))*100</f>
        <v>48.422923145268769</v>
      </c>
      <c r="F26" s="158">
        <f t="shared" ref="F26:L27" si="5">(F15/(F15+F9))*100</f>
        <v>47.632693745327686</v>
      </c>
      <c r="G26" s="158">
        <f t="shared" si="5"/>
        <v>47.320790664443912</v>
      </c>
      <c r="H26" s="158">
        <f t="shared" si="5"/>
        <v>47.920813979208141</v>
      </c>
      <c r="I26" s="158">
        <f t="shared" si="5"/>
        <v>48.253250423968339</v>
      </c>
      <c r="J26" s="158">
        <f t="shared" si="5"/>
        <v>48.308224252901951</v>
      </c>
      <c r="K26" s="158">
        <f t="shared" si="5"/>
        <v>48.254411578011933</v>
      </c>
      <c r="L26" s="330">
        <f t="shared" si="5"/>
        <v>47.942329227323626</v>
      </c>
    </row>
    <row r="27" spans="1:13" x14ac:dyDescent="0.25">
      <c r="A27" s="1783"/>
      <c r="B27" s="1760"/>
      <c r="C27" s="1360"/>
      <c r="D27" s="527" t="s">
        <v>282</v>
      </c>
      <c r="E27" s="364">
        <f>(E16/(E16+E10))*100</f>
        <v>50.44471037226301</v>
      </c>
      <c r="F27" s="364">
        <f t="shared" si="5"/>
        <v>51.311449662321337</v>
      </c>
      <c r="G27" s="364">
        <f t="shared" si="5"/>
        <v>51.436356297093646</v>
      </c>
      <c r="H27" s="364">
        <f t="shared" si="5"/>
        <v>51.301033954955798</v>
      </c>
      <c r="I27" s="364">
        <f t="shared" si="5"/>
        <v>51.175832687838884</v>
      </c>
      <c r="J27" s="364">
        <f t="shared" si="5"/>
        <v>51.32451391780647</v>
      </c>
      <c r="K27" s="364">
        <f t="shared" si="5"/>
        <v>51.529105401886376</v>
      </c>
      <c r="L27" s="386">
        <f t="shared" si="5"/>
        <v>51.386909994846455</v>
      </c>
    </row>
    <row r="28" spans="1:13" x14ac:dyDescent="0.25">
      <c r="A28" s="1783"/>
      <c r="B28" s="1760"/>
      <c r="C28" s="1360"/>
      <c r="D28" s="527" t="s">
        <v>288</v>
      </c>
      <c r="E28" s="364">
        <f t="shared" ref="E28:L29" si="6">(E17/(E17+E11))*100</f>
        <v>54.569653948535937</v>
      </c>
      <c r="F28" s="364">
        <f t="shared" si="6"/>
        <v>55.458221024258755</v>
      </c>
      <c r="G28" s="364">
        <f t="shared" si="6"/>
        <v>55.740716441411884</v>
      </c>
      <c r="H28" s="364">
        <f t="shared" si="6"/>
        <v>57.007258514796199</v>
      </c>
      <c r="I28" s="364">
        <f t="shared" si="6"/>
        <v>57.173160656469804</v>
      </c>
      <c r="J28" s="364">
        <f t="shared" si="6"/>
        <v>57.158578188621114</v>
      </c>
      <c r="K28" s="364">
        <f t="shared" si="6"/>
        <v>56.97198275862069</v>
      </c>
      <c r="L28" s="386">
        <f t="shared" si="6"/>
        <v>56.945469887142707</v>
      </c>
    </row>
    <row r="29" spans="1:13" ht="16.5" thickBot="1" x14ac:dyDescent="0.3">
      <c r="A29" s="1783"/>
      <c r="B29" s="1902"/>
      <c r="C29" s="1361"/>
      <c r="D29" s="538" t="s">
        <v>295</v>
      </c>
      <c r="E29" s="366">
        <f t="shared" si="6"/>
        <v>65.230166503428009</v>
      </c>
      <c r="F29" s="366">
        <f t="shared" si="6"/>
        <v>66.137184115523468</v>
      </c>
      <c r="G29" s="366">
        <f t="shared" si="6"/>
        <v>62.337662337662337</v>
      </c>
      <c r="H29" s="366">
        <f t="shared" si="6"/>
        <v>58.852532496638275</v>
      </c>
      <c r="I29" s="366">
        <f t="shared" si="6"/>
        <v>58.928571428571431</v>
      </c>
      <c r="J29" s="366">
        <f t="shared" si="6"/>
        <v>59.023789991796548</v>
      </c>
      <c r="K29" s="366">
        <f t="shared" si="6"/>
        <v>58.426966292134829</v>
      </c>
      <c r="L29" s="367">
        <f t="shared" si="6"/>
        <v>57.661870503597122</v>
      </c>
    </row>
    <row r="30" spans="1:13" ht="17.25" thickTop="1" thickBot="1" x14ac:dyDescent="0.3">
      <c r="A30" s="1783"/>
      <c r="B30" s="823" t="s">
        <v>249</v>
      </c>
      <c r="C30" s="1675"/>
      <c r="D30" s="1675"/>
      <c r="E30" s="112">
        <v>2005</v>
      </c>
      <c r="F30" s="112">
        <v>2010</v>
      </c>
      <c r="G30" s="112">
        <v>2015</v>
      </c>
      <c r="H30" s="112">
        <v>2020</v>
      </c>
      <c r="I30" s="112">
        <v>2021</v>
      </c>
      <c r="J30" s="112">
        <v>2022</v>
      </c>
      <c r="K30" s="112">
        <v>2023</v>
      </c>
      <c r="L30" s="112">
        <v>2024</v>
      </c>
      <c r="M30" s="482"/>
    </row>
    <row r="31" spans="1:13" x14ac:dyDescent="0.25">
      <c r="A31" s="1817"/>
      <c r="B31" s="1194" t="s">
        <v>570</v>
      </c>
      <c r="C31" s="1211" t="s">
        <v>272</v>
      </c>
      <c r="D31" s="1541"/>
      <c r="E31" s="919">
        <v>4208</v>
      </c>
      <c r="F31" s="919">
        <v>6112</v>
      </c>
      <c r="G31" s="919">
        <v>4022</v>
      </c>
      <c r="H31" s="919">
        <v>5053</v>
      </c>
      <c r="I31" s="919">
        <v>5136</v>
      </c>
      <c r="J31" s="919">
        <v>4861</v>
      </c>
      <c r="K31" s="919">
        <v>5171</v>
      </c>
      <c r="L31" s="920">
        <f>L32+L33</f>
        <v>5743</v>
      </c>
    </row>
    <row r="32" spans="1:13" x14ac:dyDescent="0.25">
      <c r="A32" s="1817"/>
      <c r="B32" s="1195"/>
      <c r="C32" s="1124" t="s">
        <v>257</v>
      </c>
      <c r="D32" s="1124"/>
      <c r="E32" s="181">
        <v>2050</v>
      </c>
      <c r="F32" s="181">
        <v>2916</v>
      </c>
      <c r="G32" s="181">
        <v>1786</v>
      </c>
      <c r="H32" s="181">
        <v>2245</v>
      </c>
      <c r="I32" s="181">
        <v>2288</v>
      </c>
      <c r="J32" s="181">
        <v>2169</v>
      </c>
      <c r="K32" s="181">
        <v>2331</v>
      </c>
      <c r="L32" s="199">
        <v>2656</v>
      </c>
    </row>
    <row r="33" spans="1:12" x14ac:dyDescent="0.25">
      <c r="A33" s="1817"/>
      <c r="B33" s="1195"/>
      <c r="C33" s="1124" t="s">
        <v>263</v>
      </c>
      <c r="D33" s="1124"/>
      <c r="E33" s="181">
        <v>2158</v>
      </c>
      <c r="F33" s="181">
        <v>3196</v>
      </c>
      <c r="G33" s="181">
        <v>2236</v>
      </c>
      <c r="H33" s="181">
        <v>2808</v>
      </c>
      <c r="I33" s="181">
        <v>2848</v>
      </c>
      <c r="J33" s="181">
        <v>2692</v>
      </c>
      <c r="K33" s="181">
        <v>2840</v>
      </c>
      <c r="L33" s="199">
        <v>3087</v>
      </c>
    </row>
    <row r="34" spans="1:12" x14ac:dyDescent="0.25">
      <c r="A34" s="1817"/>
      <c r="B34" s="1195"/>
      <c r="C34" s="1112" t="s">
        <v>269</v>
      </c>
      <c r="D34" s="1112"/>
      <c r="E34" s="157">
        <f>+E33-E32</f>
        <v>108</v>
      </c>
      <c r="F34" s="157">
        <f t="shared" ref="F34:L34" si="7">+F33-F32</f>
        <v>280</v>
      </c>
      <c r="G34" s="157">
        <f t="shared" si="7"/>
        <v>450</v>
      </c>
      <c r="H34" s="157">
        <f t="shared" si="7"/>
        <v>563</v>
      </c>
      <c r="I34" s="157">
        <f t="shared" si="7"/>
        <v>560</v>
      </c>
      <c r="J34" s="157">
        <f t="shared" si="7"/>
        <v>523</v>
      </c>
      <c r="K34" s="157">
        <f t="shared" si="7"/>
        <v>509</v>
      </c>
      <c r="L34" s="160">
        <f t="shared" si="7"/>
        <v>431</v>
      </c>
    </row>
    <row r="35" spans="1:12" ht="16.5" thickBot="1" x14ac:dyDescent="0.3">
      <c r="A35" s="1817"/>
      <c r="B35" s="1595"/>
      <c r="C35" s="1126" t="s">
        <v>270</v>
      </c>
      <c r="D35" s="1126"/>
      <c r="E35" s="366">
        <f>E33/E31*100</f>
        <v>51.283269961977183</v>
      </c>
      <c r="F35" s="366">
        <f t="shared" ref="F35:L35" si="8">F33/F31*100</f>
        <v>52.290575916230367</v>
      </c>
      <c r="G35" s="366">
        <f t="shared" si="8"/>
        <v>55.594231725509701</v>
      </c>
      <c r="H35" s="366">
        <f t="shared" si="8"/>
        <v>55.570947951711858</v>
      </c>
      <c r="I35" s="366">
        <f t="shared" si="8"/>
        <v>55.451713395638627</v>
      </c>
      <c r="J35" s="366">
        <f t="shared" si="8"/>
        <v>55.379551532606463</v>
      </c>
      <c r="K35" s="366">
        <f t="shared" si="8"/>
        <v>54.921678592148517</v>
      </c>
      <c r="L35" s="367">
        <f t="shared" si="8"/>
        <v>53.752394219049279</v>
      </c>
    </row>
    <row r="36" spans="1:12" ht="15" customHeight="1" x14ac:dyDescent="0.25">
      <c r="A36" s="1817"/>
      <c r="B36" s="1194" t="s">
        <v>342</v>
      </c>
      <c r="C36" s="1147" t="s">
        <v>343</v>
      </c>
      <c r="D36" s="1147"/>
      <c r="E36" s="195">
        <f>E37+E38</f>
        <v>780</v>
      </c>
      <c r="F36" s="195">
        <f t="shared" ref="F36:L36" si="9">F37+F38</f>
        <v>1041</v>
      </c>
      <c r="G36" s="195">
        <f t="shared" si="9"/>
        <v>1301</v>
      </c>
      <c r="H36" s="195">
        <f t="shared" si="9"/>
        <v>1667</v>
      </c>
      <c r="I36" s="195">
        <f t="shared" si="9"/>
        <v>1712</v>
      </c>
      <c r="J36" s="195">
        <f t="shared" si="9"/>
        <v>1788</v>
      </c>
      <c r="K36" s="195">
        <f t="shared" si="9"/>
        <v>1860</v>
      </c>
      <c r="L36" s="196">
        <f t="shared" si="9"/>
        <v>1932</v>
      </c>
    </row>
    <row r="37" spans="1:12" x14ac:dyDescent="0.25">
      <c r="A37" s="1817"/>
      <c r="B37" s="1195"/>
      <c r="C37" s="1124" t="s">
        <v>344</v>
      </c>
      <c r="D37" s="1124"/>
      <c r="E37" s="96">
        <v>164</v>
      </c>
      <c r="F37" s="96">
        <v>228</v>
      </c>
      <c r="G37" s="80">
        <v>324</v>
      </c>
      <c r="H37" s="96">
        <v>466</v>
      </c>
      <c r="I37" s="96">
        <v>478</v>
      </c>
      <c r="J37" s="96">
        <v>501</v>
      </c>
      <c r="K37" s="96">
        <v>523</v>
      </c>
      <c r="L37" s="200">
        <v>523</v>
      </c>
    </row>
    <row r="38" spans="1:12" x14ac:dyDescent="0.25">
      <c r="A38" s="1817"/>
      <c r="B38" s="1195"/>
      <c r="C38" s="1124" t="s">
        <v>345</v>
      </c>
      <c r="D38" s="1124"/>
      <c r="E38" s="96">
        <v>616</v>
      </c>
      <c r="F38" s="96">
        <v>813</v>
      </c>
      <c r="G38" s="96">
        <v>977</v>
      </c>
      <c r="H38" s="96">
        <v>1201</v>
      </c>
      <c r="I38" s="96">
        <v>1234</v>
      </c>
      <c r="J38" s="96">
        <v>1287</v>
      </c>
      <c r="K38" s="96">
        <v>1337</v>
      </c>
      <c r="L38" s="200">
        <v>1409</v>
      </c>
    </row>
    <row r="39" spans="1:12" x14ac:dyDescent="0.25">
      <c r="A39" s="1817"/>
      <c r="B39" s="1195"/>
      <c r="C39" s="1112" t="s">
        <v>269</v>
      </c>
      <c r="D39" s="1112"/>
      <c r="E39" s="157">
        <f>E38-E37</f>
        <v>452</v>
      </c>
      <c r="F39" s="157">
        <f t="shared" ref="F39:L39" si="10">F38-F37</f>
        <v>585</v>
      </c>
      <c r="G39" s="157">
        <f t="shared" si="10"/>
        <v>653</v>
      </c>
      <c r="H39" s="157">
        <f t="shared" si="10"/>
        <v>735</v>
      </c>
      <c r="I39" s="157">
        <f t="shared" si="10"/>
        <v>756</v>
      </c>
      <c r="J39" s="157">
        <f t="shared" si="10"/>
        <v>786</v>
      </c>
      <c r="K39" s="157">
        <f t="shared" si="10"/>
        <v>814</v>
      </c>
      <c r="L39" s="160">
        <f t="shared" si="10"/>
        <v>886</v>
      </c>
    </row>
    <row r="40" spans="1:12" ht="16.5" thickBot="1" x14ac:dyDescent="0.3">
      <c r="A40" s="1817"/>
      <c r="B40" s="1595"/>
      <c r="C40" s="1126" t="s">
        <v>346</v>
      </c>
      <c r="D40" s="1126"/>
      <c r="E40" s="161">
        <f t="shared" ref="E40:L40" si="11">E38/E36*100</f>
        <v>78.974358974358978</v>
      </c>
      <c r="F40" s="161">
        <f t="shared" si="11"/>
        <v>78.097982708933728</v>
      </c>
      <c r="G40" s="161">
        <f t="shared" si="11"/>
        <v>75.096079938508836</v>
      </c>
      <c r="H40" s="161">
        <f t="shared" si="11"/>
        <v>72.045590881823642</v>
      </c>
      <c r="I40" s="161">
        <f t="shared" si="11"/>
        <v>72.079439252336456</v>
      </c>
      <c r="J40" s="161">
        <f t="shared" si="11"/>
        <v>71.979865771812086</v>
      </c>
      <c r="K40" s="161">
        <f t="shared" si="11"/>
        <v>71.881720430107535</v>
      </c>
      <c r="L40" s="162">
        <f t="shared" si="11"/>
        <v>72.929606625258799</v>
      </c>
    </row>
    <row r="41" spans="1:12" ht="15" customHeight="1" x14ac:dyDescent="0.25">
      <c r="A41" s="1817"/>
      <c r="B41" s="1194" t="s">
        <v>134</v>
      </c>
      <c r="C41" s="1206" t="s">
        <v>348</v>
      </c>
      <c r="D41" s="1206"/>
      <c r="E41" s="195">
        <f t="shared" ref="E41:L41" si="12">E42+E43</f>
        <v>295</v>
      </c>
      <c r="F41" s="195">
        <f t="shared" si="12"/>
        <v>448</v>
      </c>
      <c r="G41" s="195">
        <f t="shared" si="12"/>
        <v>606</v>
      </c>
      <c r="H41" s="195">
        <f t="shared" si="12"/>
        <v>704</v>
      </c>
      <c r="I41" s="195">
        <f t="shared" si="12"/>
        <v>675</v>
      </c>
      <c r="J41" s="195">
        <f t="shared" si="12"/>
        <v>634</v>
      </c>
      <c r="K41" s="195">
        <f t="shared" si="12"/>
        <v>594</v>
      </c>
      <c r="L41" s="196">
        <f t="shared" si="12"/>
        <v>629</v>
      </c>
    </row>
    <row r="42" spans="1:12" x14ac:dyDescent="0.25">
      <c r="A42" s="1817"/>
      <c r="B42" s="1195"/>
      <c r="C42" s="1124" t="s">
        <v>349</v>
      </c>
      <c r="D42" s="1124"/>
      <c r="E42" s="28">
        <v>68</v>
      </c>
      <c r="F42" s="28">
        <v>93</v>
      </c>
      <c r="G42" s="28">
        <v>128</v>
      </c>
      <c r="H42" s="28">
        <v>148</v>
      </c>
      <c r="I42" s="28">
        <v>141</v>
      </c>
      <c r="J42" s="28">
        <v>137</v>
      </c>
      <c r="K42" s="28">
        <v>131</v>
      </c>
      <c r="L42" s="21">
        <v>138</v>
      </c>
    </row>
    <row r="43" spans="1:12" x14ac:dyDescent="0.25">
      <c r="A43" s="1817"/>
      <c r="B43" s="1195"/>
      <c r="C43" s="1124" t="s">
        <v>350</v>
      </c>
      <c r="D43" s="1124"/>
      <c r="E43" s="28">
        <v>227</v>
      </c>
      <c r="F43" s="28">
        <v>355</v>
      </c>
      <c r="G43" s="96">
        <v>478</v>
      </c>
      <c r="H43" s="28">
        <v>556</v>
      </c>
      <c r="I43" s="28">
        <v>534</v>
      </c>
      <c r="J43" s="28">
        <v>497</v>
      </c>
      <c r="K43" s="28">
        <v>463</v>
      </c>
      <c r="L43" s="21">
        <v>491</v>
      </c>
    </row>
    <row r="44" spans="1:12" x14ac:dyDescent="0.25">
      <c r="A44" s="1817"/>
      <c r="B44" s="1195"/>
      <c r="C44" s="1112" t="s">
        <v>269</v>
      </c>
      <c r="D44" s="1112"/>
      <c r="E44" s="157">
        <f>E43-E42</f>
        <v>159</v>
      </c>
      <c r="F44" s="157">
        <f t="shared" ref="F44:L44" si="13">F43-F42</f>
        <v>262</v>
      </c>
      <c r="G44" s="157">
        <f t="shared" si="13"/>
        <v>350</v>
      </c>
      <c r="H44" s="157">
        <f t="shared" si="13"/>
        <v>408</v>
      </c>
      <c r="I44" s="157">
        <f t="shared" si="13"/>
        <v>393</v>
      </c>
      <c r="J44" s="157">
        <f t="shared" si="13"/>
        <v>360</v>
      </c>
      <c r="K44" s="157">
        <f t="shared" si="13"/>
        <v>332</v>
      </c>
      <c r="L44" s="160">
        <f t="shared" si="13"/>
        <v>353</v>
      </c>
    </row>
    <row r="45" spans="1:12" ht="16.5" thickBot="1" x14ac:dyDescent="0.3">
      <c r="A45" s="1915"/>
      <c r="B45" s="1595"/>
      <c r="C45" s="1126" t="s">
        <v>351</v>
      </c>
      <c r="D45" s="1126"/>
      <c r="E45" s="161">
        <f>E43/E41*100</f>
        <v>76.949152542372872</v>
      </c>
      <c r="F45" s="161">
        <f t="shared" ref="F45:L45" si="14">F43/F41*100</f>
        <v>79.241071428571431</v>
      </c>
      <c r="G45" s="161">
        <f t="shared" si="14"/>
        <v>78.877887788778878</v>
      </c>
      <c r="H45" s="161">
        <f t="shared" si="14"/>
        <v>78.977272727272734</v>
      </c>
      <c r="I45" s="161">
        <f t="shared" si="14"/>
        <v>79.111111111111114</v>
      </c>
      <c r="J45" s="161">
        <f t="shared" si="14"/>
        <v>78.391167192429023</v>
      </c>
      <c r="K45" s="161">
        <f t="shared" si="14"/>
        <v>77.946127946127945</v>
      </c>
      <c r="L45" s="162">
        <f t="shared" si="14"/>
        <v>78.060413354530994</v>
      </c>
    </row>
    <row r="46" spans="1:12" ht="16.5" thickBot="1" x14ac:dyDescent="0.3">
      <c r="A46" s="380" t="s">
        <v>248</v>
      </c>
      <c r="B46" s="822" t="s">
        <v>249</v>
      </c>
      <c r="C46" s="1411"/>
      <c r="D46" s="1411"/>
      <c r="E46" s="613">
        <v>2005</v>
      </c>
      <c r="F46" s="613">
        <v>2010</v>
      </c>
      <c r="G46" s="613">
        <v>2015</v>
      </c>
      <c r="H46" s="613">
        <v>2020</v>
      </c>
      <c r="I46" s="613">
        <v>2021</v>
      </c>
      <c r="J46" s="613">
        <v>2022</v>
      </c>
      <c r="K46" s="274">
        <v>2023</v>
      </c>
      <c r="L46" s="613">
        <v>2024</v>
      </c>
    </row>
    <row r="47" spans="1:12" s="64" customFormat="1" ht="15" customHeight="1" x14ac:dyDescent="0.25">
      <c r="A47" s="1814" t="s">
        <v>38</v>
      </c>
      <c r="B47" s="1916" t="s">
        <v>352</v>
      </c>
      <c r="C47" s="1146" t="s">
        <v>251</v>
      </c>
      <c r="D47" s="1147"/>
      <c r="E47" s="195">
        <v>1402</v>
      </c>
      <c r="F47" s="195">
        <v>2367</v>
      </c>
      <c r="G47" s="195">
        <v>2390</v>
      </c>
      <c r="H47" s="195">
        <v>2345</v>
      </c>
      <c r="I47" s="195">
        <v>2323</v>
      </c>
      <c r="J47" s="195">
        <v>1640</v>
      </c>
      <c r="K47" s="195">
        <v>1545</v>
      </c>
      <c r="L47" s="82" t="s">
        <v>606</v>
      </c>
    </row>
    <row r="48" spans="1:12" x14ac:dyDescent="0.25">
      <c r="A48" s="1907"/>
      <c r="B48" s="1917"/>
      <c r="C48" s="1148" t="s">
        <v>257</v>
      </c>
      <c r="D48" s="1124"/>
      <c r="E48" s="96">
        <v>631</v>
      </c>
      <c r="F48" s="96">
        <v>1178</v>
      </c>
      <c r="G48" s="96">
        <v>1126</v>
      </c>
      <c r="H48" s="96">
        <v>1025</v>
      </c>
      <c r="I48" s="96">
        <v>972</v>
      </c>
      <c r="J48" s="96">
        <v>642</v>
      </c>
      <c r="K48" s="96">
        <v>608</v>
      </c>
      <c r="L48" s="83" t="s">
        <v>607</v>
      </c>
    </row>
    <row r="49" spans="1:12" x14ac:dyDescent="0.25">
      <c r="A49" s="1907"/>
      <c r="B49" s="1917"/>
      <c r="C49" s="1148" t="s">
        <v>263</v>
      </c>
      <c r="D49" s="1124"/>
      <c r="E49" s="96">
        <v>771</v>
      </c>
      <c r="F49" s="96">
        <v>1189</v>
      </c>
      <c r="G49" s="96">
        <v>1264</v>
      </c>
      <c r="H49" s="96">
        <v>1320</v>
      </c>
      <c r="I49" s="96">
        <v>1351</v>
      </c>
      <c r="J49" s="96">
        <v>998</v>
      </c>
      <c r="K49" s="96">
        <v>937</v>
      </c>
      <c r="L49" s="83" t="s">
        <v>608</v>
      </c>
    </row>
    <row r="50" spans="1:12" x14ac:dyDescent="0.25">
      <c r="A50" s="1907"/>
      <c r="B50" s="1917"/>
      <c r="C50" s="1190" t="s">
        <v>353</v>
      </c>
      <c r="D50" s="1112"/>
      <c r="E50" s="157">
        <f t="shared" ref="E50:J50" si="15">+E49-E48</f>
        <v>140</v>
      </c>
      <c r="F50" s="157">
        <f t="shared" si="15"/>
        <v>11</v>
      </c>
      <c r="G50" s="157">
        <f t="shared" si="15"/>
        <v>138</v>
      </c>
      <c r="H50" s="157">
        <f t="shared" si="15"/>
        <v>295</v>
      </c>
      <c r="I50" s="157">
        <f t="shared" si="15"/>
        <v>379</v>
      </c>
      <c r="J50" s="157">
        <f t="shared" si="15"/>
        <v>356</v>
      </c>
      <c r="K50" s="157">
        <f>+K49-K48</f>
        <v>329</v>
      </c>
      <c r="L50" s="160">
        <f>+L49-L48</f>
        <v>274</v>
      </c>
    </row>
    <row r="51" spans="1:12" ht="16.5" thickBot="1" x14ac:dyDescent="0.3">
      <c r="A51" s="1907"/>
      <c r="B51" s="1918"/>
      <c r="C51" s="1169" t="s">
        <v>270</v>
      </c>
      <c r="D51" s="1126"/>
      <c r="E51" s="161">
        <f>E49/E47*100</f>
        <v>54.992867332382311</v>
      </c>
      <c r="F51" s="161">
        <f t="shared" ref="F51:L51" si="16">F49/F47*100</f>
        <v>50.232361639205749</v>
      </c>
      <c r="G51" s="161">
        <f t="shared" si="16"/>
        <v>52.887029288702927</v>
      </c>
      <c r="H51" s="161">
        <f t="shared" si="16"/>
        <v>56.289978678038381</v>
      </c>
      <c r="I51" s="161">
        <f t="shared" si="16"/>
        <v>58.157554885923382</v>
      </c>
      <c r="J51" s="161">
        <f t="shared" si="16"/>
        <v>60.853658536585364</v>
      </c>
      <c r="K51" s="161">
        <f t="shared" si="16"/>
        <v>60.64724919093851</v>
      </c>
      <c r="L51" s="162">
        <f t="shared" si="16"/>
        <v>59.661495063469673</v>
      </c>
    </row>
    <row r="52" spans="1:12" s="64" customFormat="1" x14ac:dyDescent="0.25">
      <c r="A52" s="1815"/>
      <c r="B52" s="1916" t="s">
        <v>146</v>
      </c>
      <c r="C52" s="1146" t="s">
        <v>251</v>
      </c>
      <c r="D52" s="1147"/>
      <c r="E52" s="40"/>
      <c r="F52" s="40"/>
      <c r="G52" s="40"/>
      <c r="H52" s="40">
        <v>7.46</v>
      </c>
      <c r="I52" s="40">
        <v>6.04</v>
      </c>
      <c r="J52" s="40">
        <v>4.87</v>
      </c>
      <c r="K52" s="40">
        <v>4.59</v>
      </c>
      <c r="L52" s="325">
        <v>4.79</v>
      </c>
    </row>
    <row r="53" spans="1:12" x14ac:dyDescent="0.25">
      <c r="A53" s="1907"/>
      <c r="B53" s="1917"/>
      <c r="C53" s="1148" t="s">
        <v>257</v>
      </c>
      <c r="D53" s="1124"/>
      <c r="E53" s="28"/>
      <c r="F53" s="28"/>
      <c r="G53" s="28"/>
      <c r="H53" s="28">
        <v>6.77</v>
      </c>
      <c r="I53" s="28">
        <v>5.14</v>
      </c>
      <c r="J53" s="28">
        <v>4.0599999999999996</v>
      </c>
      <c r="K53" s="28">
        <v>3.91</v>
      </c>
      <c r="L53" s="21">
        <v>3.91</v>
      </c>
    </row>
    <row r="54" spans="1:12" x14ac:dyDescent="0.25">
      <c r="A54" s="1907"/>
      <c r="B54" s="1917"/>
      <c r="C54" s="1222" t="s">
        <v>263</v>
      </c>
      <c r="D54" s="1223"/>
      <c r="E54" s="28"/>
      <c r="F54" s="28"/>
      <c r="G54" s="28"/>
      <c r="H54" s="28">
        <v>8.1199999999999992</v>
      </c>
      <c r="I54" s="28">
        <v>6.9</v>
      </c>
      <c r="J54" s="28">
        <v>5.63</v>
      </c>
      <c r="K54" s="28">
        <v>5.23</v>
      </c>
      <c r="L54" s="21">
        <v>5.62</v>
      </c>
    </row>
    <row r="55" spans="1:12" ht="16.5" thickBot="1" x14ac:dyDescent="0.3">
      <c r="A55" s="1907"/>
      <c r="B55" s="1918"/>
      <c r="C55" s="1224" t="s">
        <v>354</v>
      </c>
      <c r="D55" s="1225"/>
      <c r="E55" s="33"/>
      <c r="F55" s="33"/>
      <c r="G55" s="33"/>
      <c r="H55" s="34">
        <f>+H54-H53</f>
        <v>1.3499999999999996</v>
      </c>
      <c r="I55" s="34">
        <f>+I54-I53</f>
        <v>1.7600000000000007</v>
      </c>
      <c r="J55" s="34">
        <f>+J54-J53</f>
        <v>1.5700000000000003</v>
      </c>
      <c r="K55" s="34">
        <f>+K54-K53</f>
        <v>1.3200000000000003</v>
      </c>
      <c r="L55" s="35">
        <f>+L54-L53</f>
        <v>1.71</v>
      </c>
    </row>
    <row r="56" spans="1:12" s="64" customFormat="1" x14ac:dyDescent="0.25">
      <c r="A56" s="1815"/>
      <c r="B56" s="1219" t="s">
        <v>151</v>
      </c>
      <c r="C56" s="1316" t="s">
        <v>251</v>
      </c>
      <c r="D56" s="1317"/>
      <c r="E56" s="40"/>
      <c r="F56" s="40"/>
      <c r="G56" s="40"/>
      <c r="H56" s="195">
        <v>237</v>
      </c>
      <c r="I56" s="195">
        <v>257</v>
      </c>
      <c r="J56" s="195">
        <v>254</v>
      </c>
      <c r="K56" s="195">
        <v>231</v>
      </c>
      <c r="L56" s="325"/>
    </row>
    <row r="57" spans="1:12" x14ac:dyDescent="0.25">
      <c r="A57" s="1907"/>
      <c r="B57" s="1220"/>
      <c r="C57" s="1229" t="s">
        <v>257</v>
      </c>
      <c r="D57" s="1230"/>
      <c r="E57" s="28"/>
      <c r="F57" s="28"/>
      <c r="G57" s="28"/>
      <c r="H57" s="96">
        <v>94</v>
      </c>
      <c r="I57" s="96">
        <v>86</v>
      </c>
      <c r="J57" s="96">
        <v>85</v>
      </c>
      <c r="K57" s="96">
        <v>88</v>
      </c>
      <c r="L57" s="21"/>
    </row>
    <row r="58" spans="1:12" x14ac:dyDescent="0.25">
      <c r="A58" s="1907"/>
      <c r="B58" s="1220"/>
      <c r="C58" s="1148" t="s">
        <v>263</v>
      </c>
      <c r="D58" s="1124"/>
      <c r="E58" s="28"/>
      <c r="F58" s="28"/>
      <c r="G58" s="28"/>
      <c r="H58" s="96">
        <v>143</v>
      </c>
      <c r="I58" s="96">
        <v>171</v>
      </c>
      <c r="J58" s="96">
        <v>169</v>
      </c>
      <c r="K58" s="96">
        <v>143</v>
      </c>
      <c r="L58" s="21"/>
    </row>
    <row r="59" spans="1:12" x14ac:dyDescent="0.25">
      <c r="A59" s="1907"/>
      <c r="B59" s="1220"/>
      <c r="C59" s="1190" t="s">
        <v>353</v>
      </c>
      <c r="D59" s="1112"/>
      <c r="E59" s="28"/>
      <c r="F59" s="28"/>
      <c r="G59" s="28"/>
      <c r="H59" s="44">
        <f>+H58-H57</f>
        <v>49</v>
      </c>
      <c r="I59" s="44">
        <f>+I58-I57</f>
        <v>85</v>
      </c>
      <c r="J59" s="44">
        <f>+J58-J57</f>
        <v>84</v>
      </c>
      <c r="K59" s="44">
        <f>+K58-K57</f>
        <v>55</v>
      </c>
      <c r="L59" s="21"/>
    </row>
    <row r="60" spans="1:12" ht="16.5" thickBot="1" x14ac:dyDescent="0.3">
      <c r="A60" s="1907"/>
      <c r="B60" s="1221"/>
      <c r="C60" s="1169" t="s">
        <v>270</v>
      </c>
      <c r="D60" s="1126"/>
      <c r="E60" s="33"/>
      <c r="F60" s="33"/>
      <c r="G60" s="33"/>
      <c r="H60" s="161">
        <f>H58/H56*100</f>
        <v>60.337552742616026</v>
      </c>
      <c r="I60" s="161">
        <f>I58/I56*100</f>
        <v>66.536964980544738</v>
      </c>
      <c r="J60" s="161">
        <f>J58/J56*100</f>
        <v>66.535433070866148</v>
      </c>
      <c r="K60" s="161">
        <f>K58/K56*100</f>
        <v>61.904761904761905</v>
      </c>
      <c r="L60" s="22"/>
    </row>
    <row r="61" spans="1:12" ht="16.5" thickBot="1" x14ac:dyDescent="0.3">
      <c r="A61" s="1220"/>
      <c r="B61" s="1055" t="s">
        <v>249</v>
      </c>
      <c r="C61" s="1919"/>
      <c r="D61" s="1675"/>
      <c r="E61" s="112"/>
      <c r="F61" s="112">
        <v>2011</v>
      </c>
      <c r="G61" s="112"/>
      <c r="H61" s="112"/>
      <c r="I61" s="112">
        <v>2021</v>
      </c>
      <c r="J61" s="112"/>
      <c r="K61" s="112"/>
      <c r="L61" s="616">
        <v>2024</v>
      </c>
    </row>
    <row r="62" spans="1:12" x14ac:dyDescent="0.25">
      <c r="A62" s="1220"/>
      <c r="B62" s="1916" t="s">
        <v>156</v>
      </c>
      <c r="C62" s="1920" t="s">
        <v>355</v>
      </c>
      <c r="D62" s="207" t="s">
        <v>251</v>
      </c>
      <c r="E62" s="612"/>
      <c r="F62" s="81">
        <v>21320</v>
      </c>
      <c r="G62" s="103"/>
      <c r="H62" s="103"/>
      <c r="I62" s="81">
        <v>22044</v>
      </c>
      <c r="J62" s="40"/>
      <c r="K62" s="36"/>
      <c r="L62" s="20"/>
    </row>
    <row r="63" spans="1:12" ht="15" customHeight="1" x14ac:dyDescent="0.25">
      <c r="A63" s="1220"/>
      <c r="B63" s="1917"/>
      <c r="C63" s="1336"/>
      <c r="D63" s="28" t="s">
        <v>257</v>
      </c>
      <c r="E63" s="94"/>
      <c r="F63" s="80">
        <v>10840</v>
      </c>
      <c r="G63" s="95"/>
      <c r="H63" s="95"/>
      <c r="I63" s="80">
        <v>11076</v>
      </c>
      <c r="J63" s="28"/>
      <c r="K63" s="28"/>
      <c r="L63" s="21"/>
    </row>
    <row r="64" spans="1:12" x14ac:dyDescent="0.25">
      <c r="A64" s="1220"/>
      <c r="B64" s="1917"/>
      <c r="C64" s="1336"/>
      <c r="D64" s="28" t="s">
        <v>263</v>
      </c>
      <c r="E64" s="94"/>
      <c r="F64" s="80">
        <v>10480</v>
      </c>
      <c r="G64" s="95"/>
      <c r="H64" s="95"/>
      <c r="I64" s="80">
        <v>10968</v>
      </c>
      <c r="J64" s="28"/>
      <c r="K64" s="28"/>
      <c r="L64" s="21"/>
    </row>
    <row r="65" spans="1:12" hidden="1" x14ac:dyDescent="0.25">
      <c r="A65" s="1220"/>
      <c r="B65" s="1917"/>
      <c r="C65" s="1117" t="s">
        <v>356</v>
      </c>
      <c r="D65" s="144" t="s">
        <v>251</v>
      </c>
      <c r="E65" s="94"/>
      <c r="F65" s="80">
        <v>235</v>
      </c>
      <c r="G65" s="95"/>
      <c r="H65" s="95"/>
      <c r="I65" s="96"/>
      <c r="J65" s="28"/>
      <c r="K65" s="28"/>
      <c r="L65" s="21"/>
    </row>
    <row r="66" spans="1:12" hidden="1" x14ac:dyDescent="0.25">
      <c r="A66" s="1220"/>
      <c r="B66" s="1917"/>
      <c r="C66" s="1117"/>
      <c r="D66" s="28" t="s">
        <v>257</v>
      </c>
      <c r="E66" s="94"/>
      <c r="F66" s="80">
        <v>220</v>
      </c>
      <c r="G66" s="95"/>
      <c r="H66" s="95"/>
      <c r="I66" s="96"/>
      <c r="J66" s="28"/>
      <c r="K66" s="28"/>
      <c r="L66" s="21"/>
    </row>
    <row r="67" spans="1:12" hidden="1" x14ac:dyDescent="0.25">
      <c r="A67" s="1220"/>
      <c r="B67" s="1917"/>
      <c r="C67" s="1117"/>
      <c r="D67" s="28" t="s">
        <v>263</v>
      </c>
      <c r="E67" s="94"/>
      <c r="F67" s="80">
        <v>15</v>
      </c>
      <c r="G67" s="95"/>
      <c r="H67" s="95"/>
      <c r="I67" s="96"/>
      <c r="J67" s="28"/>
      <c r="K67" s="28"/>
      <c r="L67" s="21"/>
    </row>
    <row r="68" spans="1:12" hidden="1" x14ac:dyDescent="0.25">
      <c r="A68" s="1220"/>
      <c r="B68" s="1917"/>
      <c r="C68" s="1117"/>
      <c r="D68" s="28" t="s">
        <v>357</v>
      </c>
      <c r="E68" s="94"/>
      <c r="F68" s="97">
        <f>F67/F65*100</f>
        <v>6.3829787234042552</v>
      </c>
      <c r="G68" s="94"/>
      <c r="H68" s="94"/>
      <c r="I68" s="28"/>
      <c r="J68" s="28"/>
      <c r="K68" s="28"/>
      <c r="L68" s="21"/>
    </row>
    <row r="69" spans="1:12" ht="14.85" hidden="1" customHeight="1" x14ac:dyDescent="0.25">
      <c r="A69" s="1220"/>
      <c r="B69" s="1917"/>
      <c r="C69" s="1117" t="s">
        <v>358</v>
      </c>
      <c r="D69" s="144" t="s">
        <v>251</v>
      </c>
      <c r="E69" s="94"/>
      <c r="F69" s="80">
        <v>530</v>
      </c>
      <c r="G69" s="80"/>
      <c r="H69" s="80"/>
      <c r="I69" s="80">
        <v>99</v>
      </c>
      <c r="J69" s="28"/>
      <c r="K69" s="28"/>
      <c r="L69" s="21"/>
    </row>
    <row r="70" spans="1:12" hidden="1" x14ac:dyDescent="0.25">
      <c r="A70" s="1220"/>
      <c r="B70" s="1917"/>
      <c r="C70" s="1117"/>
      <c r="D70" s="28" t="s">
        <v>257</v>
      </c>
      <c r="E70" s="94"/>
      <c r="F70" s="80">
        <v>420</v>
      </c>
      <c r="G70" s="80"/>
      <c r="H70" s="80"/>
      <c r="I70" s="80">
        <v>75</v>
      </c>
      <c r="J70" s="28"/>
      <c r="K70" s="28"/>
      <c r="L70" s="21"/>
    </row>
    <row r="71" spans="1:12" hidden="1" x14ac:dyDescent="0.25">
      <c r="A71" s="1220"/>
      <c r="B71" s="1917"/>
      <c r="C71" s="1117"/>
      <c r="D71" s="28" t="s">
        <v>263</v>
      </c>
      <c r="E71" s="94"/>
      <c r="F71" s="80">
        <v>110</v>
      </c>
      <c r="G71" s="80"/>
      <c r="H71" s="80"/>
      <c r="I71" s="80">
        <v>24</v>
      </c>
      <c r="J71" s="28"/>
      <c r="K71" s="28"/>
      <c r="L71" s="21"/>
    </row>
    <row r="72" spans="1:12" hidden="1" x14ac:dyDescent="0.25">
      <c r="A72" s="1220"/>
      <c r="B72" s="1917"/>
      <c r="C72" s="1117"/>
      <c r="D72" s="28" t="s">
        <v>357</v>
      </c>
      <c r="E72" s="94"/>
      <c r="F72" s="97">
        <f>F71/F69*100</f>
        <v>20.754716981132077</v>
      </c>
      <c r="G72" s="94"/>
      <c r="H72" s="94"/>
      <c r="I72" s="97">
        <f>I71/I69*100</f>
        <v>24.242424242424242</v>
      </c>
      <c r="J72" s="28"/>
      <c r="K72" s="28"/>
      <c r="L72" s="21"/>
    </row>
    <row r="73" spans="1:12" ht="14.85" hidden="1" customHeight="1" x14ac:dyDescent="0.25">
      <c r="A73" s="1220"/>
      <c r="B73" s="1917"/>
      <c r="C73" s="1117" t="s">
        <v>359</v>
      </c>
      <c r="D73" s="144" t="s">
        <v>251</v>
      </c>
      <c r="E73" s="94"/>
      <c r="F73" s="80">
        <v>895</v>
      </c>
      <c r="G73" s="80"/>
      <c r="H73" s="80"/>
      <c r="I73" s="80">
        <v>831</v>
      </c>
      <c r="J73" s="28"/>
      <c r="K73" s="28"/>
      <c r="L73" s="21"/>
    </row>
    <row r="74" spans="1:12" hidden="1" x14ac:dyDescent="0.25">
      <c r="A74" s="1220"/>
      <c r="B74" s="1917"/>
      <c r="C74" s="1117"/>
      <c r="D74" s="28" t="s">
        <v>257</v>
      </c>
      <c r="E74" s="94"/>
      <c r="F74" s="80">
        <v>535</v>
      </c>
      <c r="G74" s="80"/>
      <c r="H74" s="80"/>
      <c r="I74" s="80">
        <v>528</v>
      </c>
      <c r="J74" s="28"/>
      <c r="K74" s="28"/>
      <c r="L74" s="21"/>
    </row>
    <row r="75" spans="1:12" hidden="1" x14ac:dyDescent="0.25">
      <c r="A75" s="1220"/>
      <c r="B75" s="1917"/>
      <c r="C75" s="1117"/>
      <c r="D75" s="28" t="s">
        <v>263</v>
      </c>
      <c r="E75" s="94"/>
      <c r="F75" s="80">
        <v>360</v>
      </c>
      <c r="G75" s="80"/>
      <c r="H75" s="80"/>
      <c r="I75" s="80">
        <v>303</v>
      </c>
      <c r="J75" s="28"/>
      <c r="K75" s="28"/>
      <c r="L75" s="21"/>
    </row>
    <row r="76" spans="1:12" hidden="1" x14ac:dyDescent="0.25">
      <c r="A76" s="1220"/>
      <c r="B76" s="1917"/>
      <c r="C76" s="1117"/>
      <c r="D76" s="28" t="s">
        <v>357</v>
      </c>
      <c r="E76" s="94"/>
      <c r="F76" s="98">
        <f>F75/F73*100</f>
        <v>40.22346368715084</v>
      </c>
      <c r="G76" s="94"/>
      <c r="H76" s="94"/>
      <c r="I76" s="97">
        <f>I75/I73*100</f>
        <v>36.462093862815884</v>
      </c>
      <c r="J76" s="28"/>
      <c r="K76" s="28"/>
      <c r="L76" s="21"/>
    </row>
    <row r="77" spans="1:12" ht="14.85" hidden="1" customHeight="1" x14ac:dyDescent="0.25">
      <c r="A77" s="1220"/>
      <c r="B77" s="1917"/>
      <c r="C77" s="1117" t="s">
        <v>360</v>
      </c>
      <c r="D77" s="144" t="s">
        <v>251</v>
      </c>
      <c r="E77" s="94"/>
      <c r="F77" s="80">
        <v>695</v>
      </c>
      <c r="G77" s="80"/>
      <c r="H77" s="80"/>
      <c r="I77" s="80">
        <v>246</v>
      </c>
      <c r="J77" s="28"/>
      <c r="K77" s="28"/>
      <c r="L77" s="21"/>
    </row>
    <row r="78" spans="1:12" hidden="1" x14ac:dyDescent="0.25">
      <c r="A78" s="1220"/>
      <c r="B78" s="1917"/>
      <c r="C78" s="1117"/>
      <c r="D78" s="28" t="s">
        <v>257</v>
      </c>
      <c r="E78" s="94"/>
      <c r="F78" s="80">
        <v>460</v>
      </c>
      <c r="G78" s="80"/>
      <c r="H78" s="80"/>
      <c r="I78" s="80">
        <v>183</v>
      </c>
      <c r="J78" s="28"/>
      <c r="K78" s="28"/>
      <c r="L78" s="21"/>
    </row>
    <row r="79" spans="1:12" hidden="1" x14ac:dyDescent="0.25">
      <c r="A79" s="1220"/>
      <c r="B79" s="1917"/>
      <c r="C79" s="1117"/>
      <c r="D79" s="28" t="s">
        <v>263</v>
      </c>
      <c r="E79" s="94"/>
      <c r="F79" s="80">
        <v>235</v>
      </c>
      <c r="G79" s="80"/>
      <c r="H79" s="80"/>
      <c r="I79" s="80">
        <v>66</v>
      </c>
      <c r="J79" s="28"/>
      <c r="K79" s="28"/>
      <c r="L79" s="21"/>
    </row>
    <row r="80" spans="1:12" hidden="1" x14ac:dyDescent="0.25">
      <c r="A80" s="1220"/>
      <c r="B80" s="1917"/>
      <c r="C80" s="1117"/>
      <c r="D80" s="28" t="s">
        <v>357</v>
      </c>
      <c r="E80" s="94"/>
      <c r="F80" s="97">
        <f>F79/F77*100</f>
        <v>33.812949640287769</v>
      </c>
      <c r="G80" s="94"/>
      <c r="H80" s="94"/>
      <c r="I80" s="97">
        <f>I79/I77*100</f>
        <v>26.829268292682929</v>
      </c>
      <c r="J80" s="28"/>
      <c r="K80" s="28"/>
      <c r="L80" s="21"/>
    </row>
    <row r="81" spans="1:12" ht="14.85" hidden="1" customHeight="1" x14ac:dyDescent="0.25">
      <c r="A81" s="1220"/>
      <c r="B81" s="1917"/>
      <c r="C81" s="1117" t="s">
        <v>361</v>
      </c>
      <c r="D81" s="144" t="s">
        <v>251</v>
      </c>
      <c r="E81" s="94"/>
      <c r="F81" s="80">
        <v>130</v>
      </c>
      <c r="G81" s="80"/>
      <c r="H81" s="80"/>
      <c r="I81" s="80">
        <v>132</v>
      </c>
      <c r="J81" s="28"/>
      <c r="K81" s="28"/>
      <c r="L81" s="21"/>
    </row>
    <row r="82" spans="1:12" hidden="1" x14ac:dyDescent="0.25">
      <c r="A82" s="1220"/>
      <c r="B82" s="1917"/>
      <c r="C82" s="1117"/>
      <c r="D82" s="28" t="s">
        <v>257</v>
      </c>
      <c r="E82" s="94"/>
      <c r="F82" s="80">
        <v>115</v>
      </c>
      <c r="G82" s="80"/>
      <c r="H82" s="80"/>
      <c r="I82" s="80">
        <v>96</v>
      </c>
      <c r="J82" s="28"/>
      <c r="K82" s="28"/>
      <c r="L82" s="21"/>
    </row>
    <row r="83" spans="1:12" hidden="1" x14ac:dyDescent="0.25">
      <c r="A83" s="1220"/>
      <c r="B83" s="1917"/>
      <c r="C83" s="1117"/>
      <c r="D83" s="28" t="s">
        <v>263</v>
      </c>
      <c r="E83" s="94"/>
      <c r="F83" s="80">
        <v>10</v>
      </c>
      <c r="G83" s="80"/>
      <c r="H83" s="80"/>
      <c r="I83" s="80">
        <v>36</v>
      </c>
      <c r="J83" s="28"/>
      <c r="K83" s="28"/>
      <c r="L83" s="21"/>
    </row>
    <row r="84" spans="1:12" hidden="1" x14ac:dyDescent="0.25">
      <c r="A84" s="1220"/>
      <c r="B84" s="1917"/>
      <c r="C84" s="1117"/>
      <c r="D84" s="28" t="s">
        <v>357</v>
      </c>
      <c r="E84" s="94"/>
      <c r="F84" s="97">
        <f>(F83/F81)*100</f>
        <v>7.6923076923076925</v>
      </c>
      <c r="G84" s="94"/>
      <c r="H84" s="94"/>
      <c r="I84" s="97">
        <f>I83/I81*100</f>
        <v>27.27272727272727</v>
      </c>
      <c r="J84" s="28"/>
      <c r="K84" s="28"/>
      <c r="L84" s="21"/>
    </row>
    <row r="85" spans="1:12" ht="14.85" hidden="1" customHeight="1" x14ac:dyDescent="0.25">
      <c r="A85" s="1220"/>
      <c r="B85" s="1917"/>
      <c r="C85" s="1117" t="s">
        <v>362</v>
      </c>
      <c r="D85" s="144" t="s">
        <v>251</v>
      </c>
      <c r="E85" s="94"/>
      <c r="F85" s="80">
        <v>60</v>
      </c>
      <c r="G85" s="80"/>
      <c r="H85" s="80"/>
      <c r="I85" s="80">
        <v>201</v>
      </c>
      <c r="J85" s="28"/>
      <c r="K85" s="28"/>
      <c r="L85" s="21"/>
    </row>
    <row r="86" spans="1:12" ht="15" hidden="1" customHeight="1" x14ac:dyDescent="0.25">
      <c r="A86" s="1220"/>
      <c r="B86" s="1917"/>
      <c r="C86" s="1117"/>
      <c r="D86" s="28" t="s">
        <v>257</v>
      </c>
      <c r="E86" s="94"/>
      <c r="F86" s="80">
        <v>50</v>
      </c>
      <c r="G86" s="80"/>
      <c r="H86" s="80"/>
      <c r="I86" s="80">
        <v>138</v>
      </c>
      <c r="J86" s="28"/>
      <c r="K86" s="28"/>
      <c r="L86" s="21"/>
    </row>
    <row r="87" spans="1:12" hidden="1" x14ac:dyDescent="0.25">
      <c r="A87" s="1220"/>
      <c r="B87" s="1917"/>
      <c r="C87" s="1117"/>
      <c r="D87" s="28" t="s">
        <v>263</v>
      </c>
      <c r="E87" s="94"/>
      <c r="F87" s="80">
        <v>10</v>
      </c>
      <c r="G87" s="80"/>
      <c r="H87" s="80"/>
      <c r="I87" s="80">
        <v>63</v>
      </c>
      <c r="J87" s="28"/>
      <c r="K87" s="28"/>
      <c r="L87" s="21"/>
    </row>
    <row r="88" spans="1:12" hidden="1" x14ac:dyDescent="0.25">
      <c r="A88" s="1220"/>
      <c r="B88" s="1917"/>
      <c r="C88" s="1117"/>
      <c r="D88" s="28" t="s">
        <v>357</v>
      </c>
      <c r="E88" s="94"/>
      <c r="F88" s="97">
        <f>(F87/F85)*100</f>
        <v>16.666666666666664</v>
      </c>
      <c r="G88" s="94"/>
      <c r="H88" s="94"/>
      <c r="I88" s="97">
        <f>I87/I85*100</f>
        <v>31.343283582089555</v>
      </c>
      <c r="J88" s="28"/>
      <c r="K88" s="28"/>
      <c r="L88" s="21"/>
    </row>
    <row r="89" spans="1:12" hidden="1" x14ac:dyDescent="0.25">
      <c r="A89" s="1220"/>
      <c r="B89" s="1917"/>
      <c r="C89" s="1117" t="s">
        <v>363</v>
      </c>
      <c r="D89" s="144" t="s">
        <v>251</v>
      </c>
      <c r="E89" s="94"/>
      <c r="F89" s="80">
        <v>760</v>
      </c>
      <c r="G89" s="80"/>
      <c r="H89" s="80"/>
      <c r="I89" s="80">
        <v>918</v>
      </c>
      <c r="J89" s="28"/>
      <c r="K89" s="28"/>
      <c r="L89" s="21"/>
    </row>
    <row r="90" spans="1:12" hidden="1" x14ac:dyDescent="0.25">
      <c r="A90" s="1220"/>
      <c r="B90" s="1917"/>
      <c r="C90" s="1117"/>
      <c r="D90" s="28" t="s">
        <v>257</v>
      </c>
      <c r="E90" s="94"/>
      <c r="F90" s="80">
        <v>285</v>
      </c>
      <c r="G90" s="80"/>
      <c r="H90" s="80"/>
      <c r="I90" s="80">
        <v>234</v>
      </c>
      <c r="J90" s="28"/>
      <c r="K90" s="28"/>
      <c r="L90" s="21"/>
    </row>
    <row r="91" spans="1:12" hidden="1" x14ac:dyDescent="0.25">
      <c r="A91" s="1220"/>
      <c r="B91" s="1917"/>
      <c r="C91" s="1117"/>
      <c r="D91" s="28" t="s">
        <v>263</v>
      </c>
      <c r="E91" s="94"/>
      <c r="F91" s="80">
        <v>475</v>
      </c>
      <c r="G91" s="80"/>
      <c r="H91" s="80"/>
      <c r="I91" s="80">
        <v>684</v>
      </c>
      <c r="J91" s="28"/>
      <c r="K91" s="28"/>
      <c r="L91" s="21"/>
    </row>
    <row r="92" spans="1:12" hidden="1" x14ac:dyDescent="0.25">
      <c r="A92" s="1220"/>
      <c r="B92" s="1917"/>
      <c r="C92" s="1117"/>
      <c r="D92" s="28" t="s">
        <v>357</v>
      </c>
      <c r="E92" s="94"/>
      <c r="F92" s="99">
        <f>(F91/F89)*100</f>
        <v>62.5</v>
      </c>
      <c r="G92" s="94"/>
      <c r="H92" s="94"/>
      <c r="I92" s="99">
        <f>I91/I89*100</f>
        <v>74.509803921568633</v>
      </c>
      <c r="J92" s="28"/>
      <c r="K92" s="28"/>
      <c r="L92" s="21"/>
    </row>
    <row r="93" spans="1:12" ht="14.85" hidden="1" customHeight="1" x14ac:dyDescent="0.25">
      <c r="A93" s="1220"/>
      <c r="B93" s="1917"/>
      <c r="C93" s="1117" t="s">
        <v>364</v>
      </c>
      <c r="D93" s="144" t="s">
        <v>251</v>
      </c>
      <c r="E93" s="94"/>
      <c r="F93" s="80">
        <v>845</v>
      </c>
      <c r="G93" s="80"/>
      <c r="H93" s="80"/>
      <c r="I93" s="80">
        <v>1020</v>
      </c>
      <c r="J93" s="28"/>
      <c r="K93" s="28"/>
      <c r="L93" s="21"/>
    </row>
    <row r="94" spans="1:12" ht="14.85" hidden="1" customHeight="1" x14ac:dyDescent="0.25">
      <c r="A94" s="1220"/>
      <c r="B94" s="1917"/>
      <c r="C94" s="1117"/>
      <c r="D94" s="28" t="s">
        <v>257</v>
      </c>
      <c r="E94" s="94"/>
      <c r="F94" s="80">
        <v>335</v>
      </c>
      <c r="G94" s="80"/>
      <c r="H94" s="80"/>
      <c r="I94" s="80">
        <v>321</v>
      </c>
      <c r="J94" s="28"/>
      <c r="K94" s="28"/>
      <c r="L94" s="21"/>
    </row>
    <row r="95" spans="1:12" hidden="1" x14ac:dyDescent="0.25">
      <c r="A95" s="1220"/>
      <c r="B95" s="1917"/>
      <c r="C95" s="1117"/>
      <c r="D95" s="28" t="s">
        <v>263</v>
      </c>
      <c r="E95" s="94"/>
      <c r="F95" s="80">
        <v>515</v>
      </c>
      <c r="G95" s="80"/>
      <c r="H95" s="80"/>
      <c r="I95" s="80">
        <v>699</v>
      </c>
      <c r="J95" s="28"/>
      <c r="K95" s="28"/>
      <c r="L95" s="21"/>
    </row>
    <row r="96" spans="1:12" hidden="1" x14ac:dyDescent="0.25">
      <c r="A96" s="1220"/>
      <c r="B96" s="1917"/>
      <c r="C96" s="1117"/>
      <c r="D96" s="28" t="s">
        <v>357</v>
      </c>
      <c r="E96" s="94"/>
      <c r="F96" s="99">
        <f>(F95/F93)*100</f>
        <v>60.946745562130175</v>
      </c>
      <c r="G96" s="94"/>
      <c r="H96" s="94"/>
      <c r="I96" s="99">
        <f>I95/I93*100</f>
        <v>68.529411764705884</v>
      </c>
      <c r="J96" s="28"/>
      <c r="K96" s="28"/>
      <c r="L96" s="21"/>
    </row>
    <row r="97" spans="1:12" ht="14.85" hidden="1" customHeight="1" x14ac:dyDescent="0.25">
      <c r="A97" s="1220"/>
      <c r="B97" s="1917"/>
      <c r="C97" s="1117" t="s">
        <v>365</v>
      </c>
      <c r="D97" s="144" t="s">
        <v>251</v>
      </c>
      <c r="E97" s="94"/>
      <c r="F97" s="80">
        <v>150</v>
      </c>
      <c r="G97" s="80"/>
      <c r="H97" s="80"/>
      <c r="I97" s="80">
        <v>249</v>
      </c>
      <c r="J97" s="28"/>
      <c r="K97" s="28"/>
      <c r="L97" s="21"/>
    </row>
    <row r="98" spans="1:12" hidden="1" x14ac:dyDescent="0.25">
      <c r="A98" s="1220"/>
      <c r="B98" s="1917"/>
      <c r="C98" s="1117"/>
      <c r="D98" s="28" t="s">
        <v>257</v>
      </c>
      <c r="E98" s="94"/>
      <c r="F98" s="80">
        <v>65</v>
      </c>
      <c r="G98" s="80"/>
      <c r="H98" s="80"/>
      <c r="I98" s="80">
        <v>111</v>
      </c>
      <c r="J98" s="28"/>
      <c r="K98" s="28"/>
      <c r="L98" s="21"/>
    </row>
    <row r="99" spans="1:12" hidden="1" x14ac:dyDescent="0.25">
      <c r="A99" s="1220"/>
      <c r="B99" s="1917"/>
      <c r="C99" s="1117"/>
      <c r="D99" s="28" t="s">
        <v>263</v>
      </c>
      <c r="E99" s="94"/>
      <c r="F99" s="80">
        <v>85</v>
      </c>
      <c r="G99" s="80"/>
      <c r="H99" s="80"/>
      <c r="I99" s="80">
        <v>138</v>
      </c>
      <c r="J99" s="28"/>
      <c r="K99" s="28"/>
      <c r="L99" s="21"/>
    </row>
    <row r="100" spans="1:12" hidden="1" x14ac:dyDescent="0.25">
      <c r="A100" s="1220"/>
      <c r="B100" s="1917"/>
      <c r="C100" s="1117"/>
      <c r="D100" s="28" t="s">
        <v>357</v>
      </c>
      <c r="E100" s="94"/>
      <c r="F100" s="98">
        <f>F99/F97*100</f>
        <v>56.666666666666664</v>
      </c>
      <c r="G100" s="94"/>
      <c r="H100" s="94"/>
      <c r="I100" s="98">
        <f>I99/I97*100</f>
        <v>55.421686746987952</v>
      </c>
      <c r="J100" s="28"/>
      <c r="K100" s="28"/>
      <c r="L100" s="21"/>
    </row>
    <row r="101" spans="1:12" ht="14.85" hidden="1" customHeight="1" x14ac:dyDescent="0.25">
      <c r="A101" s="1220"/>
      <c r="B101" s="1917"/>
      <c r="C101" s="1117" t="s">
        <v>366</v>
      </c>
      <c r="D101" s="144" t="s">
        <v>251</v>
      </c>
      <c r="E101" s="94"/>
      <c r="F101" s="80">
        <v>1410</v>
      </c>
      <c r="G101" s="80"/>
      <c r="H101" s="80"/>
      <c r="I101" s="80">
        <v>1404</v>
      </c>
      <c r="J101" s="28"/>
      <c r="K101" s="28"/>
      <c r="L101" s="21"/>
    </row>
    <row r="102" spans="1:12" hidden="1" x14ac:dyDescent="0.25">
      <c r="A102" s="1220"/>
      <c r="B102" s="1917"/>
      <c r="C102" s="1117"/>
      <c r="D102" s="28" t="s">
        <v>257</v>
      </c>
      <c r="E102" s="94"/>
      <c r="F102" s="80">
        <v>935</v>
      </c>
      <c r="G102" s="80"/>
      <c r="H102" s="80"/>
      <c r="I102" s="80">
        <v>915</v>
      </c>
      <c r="J102" s="28"/>
      <c r="K102" s="28"/>
      <c r="L102" s="21"/>
    </row>
    <row r="103" spans="1:12" hidden="1" x14ac:dyDescent="0.25">
      <c r="A103" s="1220"/>
      <c r="B103" s="1917"/>
      <c r="C103" s="1117"/>
      <c r="D103" s="28" t="s">
        <v>263</v>
      </c>
      <c r="E103" s="94"/>
      <c r="F103" s="80">
        <v>475</v>
      </c>
      <c r="G103" s="80"/>
      <c r="H103" s="80"/>
      <c r="I103" s="80">
        <v>489</v>
      </c>
      <c r="J103" s="28"/>
      <c r="K103" s="28"/>
      <c r="L103" s="21"/>
    </row>
    <row r="104" spans="1:12" hidden="1" x14ac:dyDescent="0.25">
      <c r="A104" s="1220"/>
      <c r="B104" s="1917"/>
      <c r="C104" s="1117"/>
      <c r="D104" s="28" t="s">
        <v>357</v>
      </c>
      <c r="E104" s="94"/>
      <c r="F104" s="97">
        <f>(F103/F101)*100</f>
        <v>33.687943262411345</v>
      </c>
      <c r="G104" s="94"/>
      <c r="H104" s="94"/>
      <c r="I104" s="97">
        <f>I103/I101*100</f>
        <v>34.82905982905983</v>
      </c>
      <c r="J104" s="28"/>
      <c r="K104" s="28"/>
      <c r="L104" s="21"/>
    </row>
    <row r="105" spans="1:12" hidden="1" x14ac:dyDescent="0.25">
      <c r="A105" s="1220"/>
      <c r="B105" s="1917"/>
      <c r="C105" s="1117" t="s">
        <v>367</v>
      </c>
      <c r="D105" s="144" t="s">
        <v>251</v>
      </c>
      <c r="E105" s="94"/>
      <c r="F105" s="80">
        <v>170</v>
      </c>
      <c r="G105" s="80"/>
      <c r="H105" s="80"/>
      <c r="I105" s="80">
        <v>366</v>
      </c>
      <c r="J105" s="96"/>
      <c r="K105" s="28"/>
      <c r="L105" s="21"/>
    </row>
    <row r="106" spans="1:12" hidden="1" x14ac:dyDescent="0.25">
      <c r="A106" s="1220"/>
      <c r="B106" s="1917"/>
      <c r="C106" s="1117"/>
      <c r="D106" s="28" t="s">
        <v>257</v>
      </c>
      <c r="E106" s="94"/>
      <c r="F106" s="80">
        <v>130</v>
      </c>
      <c r="G106" s="80"/>
      <c r="H106" s="80"/>
      <c r="I106" s="80">
        <v>147</v>
      </c>
      <c r="J106" s="96"/>
      <c r="K106" s="28"/>
      <c r="L106" s="21"/>
    </row>
    <row r="107" spans="1:12" hidden="1" x14ac:dyDescent="0.25">
      <c r="A107" s="1220"/>
      <c r="B107" s="1917"/>
      <c r="C107" s="1117"/>
      <c r="D107" s="28" t="s">
        <v>263</v>
      </c>
      <c r="E107" s="94"/>
      <c r="F107" s="80">
        <v>40</v>
      </c>
      <c r="G107" s="80"/>
      <c r="H107" s="80"/>
      <c r="I107" s="80">
        <v>219</v>
      </c>
      <c r="J107" s="96"/>
      <c r="K107" s="28"/>
      <c r="L107" s="21"/>
    </row>
    <row r="108" spans="1:12" hidden="1" x14ac:dyDescent="0.25">
      <c r="A108" s="1220"/>
      <c r="B108" s="1917"/>
      <c r="C108" s="1117"/>
      <c r="D108" s="28" t="s">
        <v>357</v>
      </c>
      <c r="E108" s="94"/>
      <c r="F108" s="97">
        <f>(F107/F105)*100</f>
        <v>23.52941176470588</v>
      </c>
      <c r="G108" s="94"/>
      <c r="H108" s="94"/>
      <c r="I108" s="98">
        <f>I107/I105*100</f>
        <v>59.83606557377049</v>
      </c>
      <c r="J108" s="96"/>
      <c r="K108" s="28"/>
      <c r="L108" s="21"/>
    </row>
    <row r="109" spans="1:12" ht="14.85" hidden="1" customHeight="1" x14ac:dyDescent="0.25">
      <c r="A109" s="1220"/>
      <c r="B109" s="1917"/>
      <c r="C109" s="1117" t="s">
        <v>368</v>
      </c>
      <c r="D109" s="144" t="s">
        <v>251</v>
      </c>
      <c r="E109" s="94"/>
      <c r="F109" s="80">
        <v>735</v>
      </c>
      <c r="G109" s="80"/>
      <c r="H109" s="80"/>
      <c r="I109" s="80">
        <v>1146</v>
      </c>
      <c r="J109" s="96"/>
      <c r="K109" s="28"/>
      <c r="L109" s="21"/>
    </row>
    <row r="110" spans="1:12" hidden="1" x14ac:dyDescent="0.25">
      <c r="A110" s="1220"/>
      <c r="B110" s="1917"/>
      <c r="C110" s="1117"/>
      <c r="D110" s="28" t="s">
        <v>257</v>
      </c>
      <c r="E110" s="94"/>
      <c r="F110" s="80">
        <v>280</v>
      </c>
      <c r="G110" s="80"/>
      <c r="H110" s="80"/>
      <c r="I110" s="80">
        <v>531</v>
      </c>
      <c r="J110" s="96"/>
      <c r="K110" s="28"/>
      <c r="L110" s="21"/>
    </row>
    <row r="111" spans="1:12" hidden="1" x14ac:dyDescent="0.25">
      <c r="A111" s="1220"/>
      <c r="B111" s="1917"/>
      <c r="C111" s="1117"/>
      <c r="D111" s="28" t="s">
        <v>263</v>
      </c>
      <c r="E111" s="94"/>
      <c r="F111" s="80">
        <v>455</v>
      </c>
      <c r="G111" s="80"/>
      <c r="H111" s="80"/>
      <c r="I111" s="80">
        <v>615</v>
      </c>
      <c r="J111" s="96"/>
      <c r="K111" s="28"/>
      <c r="L111" s="21"/>
    </row>
    <row r="112" spans="1:12" hidden="1" x14ac:dyDescent="0.25">
      <c r="A112" s="1220"/>
      <c r="B112" s="1917"/>
      <c r="C112" s="1117"/>
      <c r="D112" s="28" t="s">
        <v>357</v>
      </c>
      <c r="E112" s="94"/>
      <c r="F112" s="99">
        <f>(F111/F109)*100</f>
        <v>61.904761904761905</v>
      </c>
      <c r="G112" s="94"/>
      <c r="H112" s="94"/>
      <c r="I112" s="98">
        <f>I111/I109*100</f>
        <v>53.664921465968582</v>
      </c>
      <c r="J112" s="96"/>
      <c r="K112" s="28"/>
      <c r="L112" s="21"/>
    </row>
    <row r="113" spans="1:12" ht="14.85" hidden="1" customHeight="1" x14ac:dyDescent="0.25">
      <c r="A113" s="1220"/>
      <c r="B113" s="1917"/>
      <c r="C113" s="1117" t="s">
        <v>369</v>
      </c>
      <c r="D113" s="144" t="s">
        <v>251</v>
      </c>
      <c r="E113" s="94"/>
      <c r="F113" s="80">
        <v>335</v>
      </c>
      <c r="G113" s="80"/>
      <c r="H113" s="80"/>
      <c r="I113" s="80">
        <v>741</v>
      </c>
      <c r="J113" s="96"/>
      <c r="K113" s="28"/>
      <c r="L113" s="21"/>
    </row>
    <row r="114" spans="1:12" hidden="1" x14ac:dyDescent="0.25">
      <c r="A114" s="1220"/>
      <c r="B114" s="1917"/>
      <c r="C114" s="1117"/>
      <c r="D114" s="28" t="s">
        <v>257</v>
      </c>
      <c r="E114" s="94"/>
      <c r="F114" s="80">
        <v>235</v>
      </c>
      <c r="G114" s="80"/>
      <c r="H114" s="80"/>
      <c r="I114" s="80">
        <v>513</v>
      </c>
      <c r="J114" s="96"/>
      <c r="K114" s="28"/>
      <c r="L114" s="21"/>
    </row>
    <row r="115" spans="1:12" hidden="1" x14ac:dyDescent="0.25">
      <c r="A115" s="1220"/>
      <c r="B115" s="1917"/>
      <c r="C115" s="1117"/>
      <c r="D115" s="28" t="s">
        <v>263</v>
      </c>
      <c r="E115" s="94"/>
      <c r="F115" s="80">
        <v>100</v>
      </c>
      <c r="G115" s="80"/>
      <c r="H115" s="80"/>
      <c r="I115" s="80">
        <v>228</v>
      </c>
      <c r="J115" s="96"/>
      <c r="K115" s="28"/>
      <c r="L115" s="21"/>
    </row>
    <row r="116" spans="1:12" hidden="1" x14ac:dyDescent="0.25">
      <c r="A116" s="1220"/>
      <c r="B116" s="1917"/>
      <c r="C116" s="1117"/>
      <c r="D116" s="28" t="s">
        <v>357</v>
      </c>
      <c r="E116" s="94"/>
      <c r="F116" s="97">
        <f>(F115/F113)*100</f>
        <v>29.850746268656714</v>
      </c>
      <c r="G116" s="94"/>
      <c r="H116" s="94"/>
      <c r="I116" s="97">
        <f>I115/I113*100</f>
        <v>30.76923076923077</v>
      </c>
      <c r="J116" s="96"/>
      <c r="K116" s="28"/>
      <c r="L116" s="21"/>
    </row>
    <row r="117" spans="1:12" ht="14.85" hidden="1" customHeight="1" x14ac:dyDescent="0.25">
      <c r="A117" s="1220"/>
      <c r="B117" s="1917"/>
      <c r="C117" s="1117" t="s">
        <v>370</v>
      </c>
      <c r="D117" s="144" t="s">
        <v>251</v>
      </c>
      <c r="E117" s="94"/>
      <c r="F117" s="80">
        <v>500</v>
      </c>
      <c r="G117" s="80"/>
      <c r="H117" s="80"/>
      <c r="I117" s="80">
        <v>324</v>
      </c>
      <c r="J117" s="96"/>
      <c r="K117" s="28"/>
      <c r="L117" s="21"/>
    </row>
    <row r="118" spans="1:12" hidden="1" x14ac:dyDescent="0.25">
      <c r="A118" s="1220"/>
      <c r="B118" s="1917"/>
      <c r="C118" s="1117"/>
      <c r="D118" s="28" t="s">
        <v>257</v>
      </c>
      <c r="E118" s="94"/>
      <c r="F118" s="80">
        <v>220</v>
      </c>
      <c r="G118" s="80"/>
      <c r="H118" s="80"/>
      <c r="I118" s="80">
        <v>96</v>
      </c>
      <c r="J118" s="96"/>
      <c r="K118" s="28"/>
      <c r="L118" s="21"/>
    </row>
    <row r="119" spans="1:12" hidden="1" x14ac:dyDescent="0.25">
      <c r="A119" s="1220"/>
      <c r="B119" s="1917"/>
      <c r="C119" s="1117"/>
      <c r="D119" s="28" t="s">
        <v>263</v>
      </c>
      <c r="E119" s="94"/>
      <c r="F119" s="80">
        <v>280</v>
      </c>
      <c r="G119" s="80"/>
      <c r="H119" s="80"/>
      <c r="I119" s="80">
        <v>228</v>
      </c>
      <c r="J119" s="96"/>
      <c r="K119" s="28"/>
      <c r="L119" s="21"/>
    </row>
    <row r="120" spans="1:12" hidden="1" x14ac:dyDescent="0.25">
      <c r="A120" s="1220"/>
      <c r="B120" s="1917"/>
      <c r="C120" s="1117"/>
      <c r="D120" s="28" t="s">
        <v>357</v>
      </c>
      <c r="E120" s="94"/>
      <c r="F120" s="98">
        <f>(F119/F117)*100</f>
        <v>56.000000000000007</v>
      </c>
      <c r="G120" s="94"/>
      <c r="H120" s="94"/>
      <c r="I120" s="99">
        <f>I119/I117*100</f>
        <v>70.370370370370367</v>
      </c>
      <c r="J120" s="96"/>
      <c r="K120" s="28"/>
      <c r="L120" s="21"/>
    </row>
    <row r="121" spans="1:12" ht="14.85" hidden="1" customHeight="1" x14ac:dyDescent="0.25">
      <c r="A121" s="1220"/>
      <c r="B121" s="1917"/>
      <c r="C121" s="1117" t="s">
        <v>371</v>
      </c>
      <c r="D121" s="144" t="s">
        <v>251</v>
      </c>
      <c r="E121" s="94"/>
      <c r="F121" s="80">
        <v>10</v>
      </c>
      <c r="G121" s="80"/>
      <c r="H121" s="80"/>
      <c r="I121" s="80">
        <v>339</v>
      </c>
      <c r="J121" s="96"/>
      <c r="K121" s="28"/>
      <c r="L121" s="21"/>
    </row>
    <row r="122" spans="1:12" hidden="1" x14ac:dyDescent="0.25">
      <c r="A122" s="1220"/>
      <c r="B122" s="1917"/>
      <c r="C122" s="1117"/>
      <c r="D122" s="28" t="s">
        <v>257</v>
      </c>
      <c r="E122" s="94"/>
      <c r="F122" s="80">
        <v>10</v>
      </c>
      <c r="G122" s="80"/>
      <c r="H122" s="80"/>
      <c r="I122" s="80">
        <v>168</v>
      </c>
      <c r="J122" s="96"/>
      <c r="K122" s="28"/>
      <c r="L122" s="21"/>
    </row>
    <row r="123" spans="1:12" hidden="1" x14ac:dyDescent="0.25">
      <c r="A123" s="1220"/>
      <c r="B123" s="1917"/>
      <c r="C123" s="1117"/>
      <c r="D123" s="28" t="s">
        <v>263</v>
      </c>
      <c r="E123" s="94"/>
      <c r="F123" s="80">
        <v>0</v>
      </c>
      <c r="G123" s="80"/>
      <c r="H123" s="80"/>
      <c r="I123" s="80">
        <v>168</v>
      </c>
      <c r="J123" s="96"/>
      <c r="K123" s="28"/>
      <c r="L123" s="21"/>
    </row>
    <row r="124" spans="1:12" hidden="1" x14ac:dyDescent="0.25">
      <c r="A124" s="1220"/>
      <c r="B124" s="1917"/>
      <c r="C124" s="1117"/>
      <c r="D124" s="28" t="s">
        <v>357</v>
      </c>
      <c r="E124" s="94"/>
      <c r="F124" s="97">
        <f>(F123/F121)*100</f>
        <v>0</v>
      </c>
      <c r="G124" s="94"/>
      <c r="H124" s="94"/>
      <c r="I124" s="98">
        <f>I123/I121*100</f>
        <v>49.557522123893804</v>
      </c>
      <c r="J124" s="96"/>
      <c r="K124" s="28"/>
      <c r="L124" s="21"/>
    </row>
    <row r="125" spans="1:12" ht="14.85" hidden="1" customHeight="1" x14ac:dyDescent="0.25">
      <c r="A125" s="1220"/>
      <c r="B125" s="1917"/>
      <c r="C125" s="1117" t="s">
        <v>372</v>
      </c>
      <c r="D125" s="144" t="s">
        <v>251</v>
      </c>
      <c r="E125" s="94"/>
      <c r="F125" s="80">
        <v>990</v>
      </c>
      <c r="G125" s="80"/>
      <c r="H125" s="80"/>
      <c r="I125" s="80">
        <v>567</v>
      </c>
      <c r="J125" s="96"/>
      <c r="K125" s="28"/>
      <c r="L125" s="21"/>
    </row>
    <row r="126" spans="1:12" ht="14.85" hidden="1" customHeight="1" x14ac:dyDescent="0.25">
      <c r="A126" s="1220"/>
      <c r="B126" s="1917"/>
      <c r="C126" s="1117"/>
      <c r="D126" s="28" t="s">
        <v>257</v>
      </c>
      <c r="E126" s="94"/>
      <c r="F126" s="80">
        <v>715</v>
      </c>
      <c r="G126" s="80"/>
      <c r="H126" s="80"/>
      <c r="I126" s="80">
        <v>411</v>
      </c>
      <c r="J126" s="96"/>
      <c r="K126" s="28"/>
      <c r="L126" s="21"/>
    </row>
    <row r="127" spans="1:12" hidden="1" x14ac:dyDescent="0.25">
      <c r="A127" s="1220"/>
      <c r="B127" s="1917"/>
      <c r="C127" s="1117"/>
      <c r="D127" s="28" t="s">
        <v>263</v>
      </c>
      <c r="E127" s="94"/>
      <c r="F127" s="80">
        <v>275</v>
      </c>
      <c r="G127" s="80"/>
      <c r="H127" s="80"/>
      <c r="I127" s="80">
        <v>156</v>
      </c>
      <c r="J127" s="96"/>
      <c r="K127" s="28"/>
      <c r="L127" s="21"/>
    </row>
    <row r="128" spans="1:12" hidden="1" x14ac:dyDescent="0.25">
      <c r="A128" s="1220"/>
      <c r="B128" s="1917"/>
      <c r="C128" s="1117"/>
      <c r="D128" s="28" t="s">
        <v>357</v>
      </c>
      <c r="E128" s="94"/>
      <c r="F128" s="97">
        <f>(F127/F125)*100</f>
        <v>27.777777777777779</v>
      </c>
      <c r="G128" s="94"/>
      <c r="H128" s="94"/>
      <c r="I128" s="97">
        <f>I127/I125*100</f>
        <v>27.513227513227513</v>
      </c>
      <c r="J128" s="96"/>
      <c r="K128" s="28"/>
      <c r="L128" s="21"/>
    </row>
    <row r="129" spans="1:12" ht="14.85" hidden="1" customHeight="1" x14ac:dyDescent="0.25">
      <c r="A129" s="1220"/>
      <c r="B129" s="1917"/>
      <c r="C129" s="1117" t="s">
        <v>373</v>
      </c>
      <c r="D129" s="144" t="s">
        <v>251</v>
      </c>
      <c r="E129" s="94"/>
      <c r="F129" s="80">
        <v>110</v>
      </c>
      <c r="G129" s="80"/>
      <c r="H129" s="80"/>
      <c r="I129" s="80">
        <v>60</v>
      </c>
      <c r="J129" s="96"/>
      <c r="K129" s="28"/>
      <c r="L129" s="21"/>
    </row>
    <row r="130" spans="1:12" hidden="1" x14ac:dyDescent="0.25">
      <c r="A130" s="1220"/>
      <c r="B130" s="1917"/>
      <c r="C130" s="1117"/>
      <c r="D130" s="28" t="s">
        <v>257</v>
      </c>
      <c r="E130" s="94"/>
      <c r="F130" s="80">
        <v>100</v>
      </c>
      <c r="G130" s="80"/>
      <c r="H130" s="80"/>
      <c r="I130" s="80">
        <v>51</v>
      </c>
      <c r="J130" s="96"/>
      <c r="K130" s="28"/>
      <c r="L130" s="21"/>
    </row>
    <row r="131" spans="1:12" hidden="1" x14ac:dyDescent="0.25">
      <c r="A131" s="1220"/>
      <c r="B131" s="1917"/>
      <c r="C131" s="1117"/>
      <c r="D131" s="28" t="s">
        <v>263</v>
      </c>
      <c r="E131" s="94"/>
      <c r="F131" s="80">
        <v>10</v>
      </c>
      <c r="G131" s="80"/>
      <c r="H131" s="80"/>
      <c r="I131" s="80">
        <v>9</v>
      </c>
      <c r="J131" s="96"/>
      <c r="K131" s="28"/>
      <c r="L131" s="21"/>
    </row>
    <row r="132" spans="1:12" hidden="1" x14ac:dyDescent="0.25">
      <c r="A132" s="1220"/>
      <c r="B132" s="1917"/>
      <c r="C132" s="1117"/>
      <c r="D132" s="28" t="s">
        <v>357</v>
      </c>
      <c r="E132" s="94"/>
      <c r="F132" s="97">
        <f>(F131/F129)*100</f>
        <v>9.0909090909090917</v>
      </c>
      <c r="G132" s="94"/>
      <c r="H132" s="94"/>
      <c r="I132" s="97">
        <f>I131/I129*100</f>
        <v>15</v>
      </c>
      <c r="J132" s="96"/>
      <c r="K132" s="28"/>
      <c r="L132" s="21"/>
    </row>
    <row r="133" spans="1:12" ht="14.85" hidden="1" customHeight="1" x14ac:dyDescent="0.25">
      <c r="A133" s="1220"/>
      <c r="B133" s="1917"/>
      <c r="C133" s="1117" t="s">
        <v>374</v>
      </c>
      <c r="D133" s="144" t="s">
        <v>251</v>
      </c>
      <c r="E133" s="94"/>
      <c r="F133" s="80">
        <v>25</v>
      </c>
      <c r="G133" s="80"/>
      <c r="H133" s="80"/>
      <c r="I133" s="80">
        <v>135</v>
      </c>
      <c r="J133" s="96"/>
      <c r="K133" s="28"/>
      <c r="L133" s="21"/>
    </row>
    <row r="134" spans="1:12" hidden="1" x14ac:dyDescent="0.25">
      <c r="A134" s="1220"/>
      <c r="B134" s="1917"/>
      <c r="C134" s="1117"/>
      <c r="D134" s="28" t="s">
        <v>257</v>
      </c>
      <c r="E134" s="94"/>
      <c r="F134" s="80">
        <v>0</v>
      </c>
      <c r="G134" s="80"/>
      <c r="H134" s="80"/>
      <c r="I134" s="80">
        <v>39</v>
      </c>
      <c r="J134" s="96"/>
      <c r="K134" s="28"/>
      <c r="L134" s="21"/>
    </row>
    <row r="135" spans="1:12" hidden="1" x14ac:dyDescent="0.25">
      <c r="A135" s="1220"/>
      <c r="B135" s="1917"/>
      <c r="C135" s="1117"/>
      <c r="D135" s="28" t="s">
        <v>263</v>
      </c>
      <c r="E135" s="94"/>
      <c r="F135" s="80">
        <v>25</v>
      </c>
      <c r="G135" s="80"/>
      <c r="H135" s="80"/>
      <c r="I135" s="80">
        <v>99</v>
      </c>
      <c r="J135" s="96"/>
      <c r="K135" s="28"/>
      <c r="L135" s="21"/>
    </row>
    <row r="136" spans="1:12" hidden="1" x14ac:dyDescent="0.25">
      <c r="A136" s="1220"/>
      <c r="B136" s="1917"/>
      <c r="C136" s="1117"/>
      <c r="D136" s="28" t="s">
        <v>357</v>
      </c>
      <c r="E136" s="94"/>
      <c r="F136" s="99">
        <f>(F135/F133)*100</f>
        <v>100</v>
      </c>
      <c r="G136" s="94"/>
      <c r="H136" s="94"/>
      <c r="I136" s="99">
        <f>I135/I133*100</f>
        <v>73.333333333333329</v>
      </c>
      <c r="J136" s="96"/>
      <c r="K136" s="28"/>
      <c r="L136" s="21"/>
    </row>
    <row r="137" spans="1:12" ht="14.85" hidden="1" customHeight="1" x14ac:dyDescent="0.25">
      <c r="A137" s="1220"/>
      <c r="B137" s="1917"/>
      <c r="C137" s="1117" t="s">
        <v>375</v>
      </c>
      <c r="D137" s="144" t="s">
        <v>251</v>
      </c>
      <c r="E137" s="94"/>
      <c r="F137" s="80">
        <v>115</v>
      </c>
      <c r="G137" s="80"/>
      <c r="H137" s="80"/>
      <c r="I137" s="80">
        <v>69</v>
      </c>
      <c r="J137" s="96"/>
      <c r="K137" s="28"/>
      <c r="L137" s="21"/>
    </row>
    <row r="138" spans="1:12" ht="14.85" hidden="1" customHeight="1" x14ac:dyDescent="0.25">
      <c r="A138" s="1220"/>
      <c r="B138" s="1917"/>
      <c r="C138" s="1117"/>
      <c r="D138" s="28" t="s">
        <v>257</v>
      </c>
      <c r="E138" s="94"/>
      <c r="F138" s="80">
        <v>40</v>
      </c>
      <c r="G138" s="80"/>
      <c r="H138" s="80"/>
      <c r="I138" s="80">
        <v>39</v>
      </c>
      <c r="J138" s="96"/>
      <c r="K138" s="28"/>
      <c r="L138" s="21"/>
    </row>
    <row r="139" spans="1:12" hidden="1" x14ac:dyDescent="0.25">
      <c r="A139" s="1220"/>
      <c r="B139" s="1917"/>
      <c r="C139" s="1117"/>
      <c r="D139" s="28" t="s">
        <v>263</v>
      </c>
      <c r="E139" s="94"/>
      <c r="F139" s="80">
        <v>75</v>
      </c>
      <c r="G139" s="80"/>
      <c r="H139" s="80"/>
      <c r="I139" s="80">
        <v>33</v>
      </c>
      <c r="J139" s="96"/>
      <c r="K139" s="28"/>
      <c r="L139" s="21"/>
    </row>
    <row r="140" spans="1:12" hidden="1" x14ac:dyDescent="0.25">
      <c r="A140" s="1220"/>
      <c r="B140" s="1917"/>
      <c r="C140" s="1117"/>
      <c r="D140" s="28" t="s">
        <v>357</v>
      </c>
      <c r="E140" s="94"/>
      <c r="F140" s="99">
        <f>(F139/F137)*100</f>
        <v>65.217391304347828</v>
      </c>
      <c r="G140" s="94"/>
      <c r="H140" s="94"/>
      <c r="I140" s="98">
        <f>I139/I137*100</f>
        <v>47.826086956521742</v>
      </c>
      <c r="J140" s="96"/>
      <c r="K140" s="28"/>
      <c r="L140" s="21"/>
    </row>
    <row r="141" spans="1:12" ht="14.85" hidden="1" customHeight="1" x14ac:dyDescent="0.25">
      <c r="A141" s="1220"/>
      <c r="B141" s="1917"/>
      <c r="C141" s="1117" t="s">
        <v>376</v>
      </c>
      <c r="D141" s="144" t="s">
        <v>251</v>
      </c>
      <c r="E141" s="94"/>
      <c r="F141" s="80">
        <v>685</v>
      </c>
      <c r="G141" s="80"/>
      <c r="H141" s="80"/>
      <c r="I141" s="80">
        <v>909</v>
      </c>
      <c r="J141" s="96"/>
      <c r="K141" s="28"/>
      <c r="L141" s="21"/>
    </row>
    <row r="142" spans="1:12" ht="14.85" hidden="1" customHeight="1" x14ac:dyDescent="0.25">
      <c r="A142" s="1220"/>
      <c r="B142" s="1917"/>
      <c r="C142" s="1117"/>
      <c r="D142" s="28" t="s">
        <v>257</v>
      </c>
      <c r="E142" s="94"/>
      <c r="F142" s="80">
        <v>255</v>
      </c>
      <c r="G142" s="80"/>
      <c r="H142" s="80"/>
      <c r="I142" s="80">
        <v>507</v>
      </c>
      <c r="J142" s="96"/>
      <c r="K142" s="28"/>
      <c r="L142" s="21"/>
    </row>
    <row r="143" spans="1:12" hidden="1" x14ac:dyDescent="0.25">
      <c r="A143" s="1220"/>
      <c r="B143" s="1917"/>
      <c r="C143" s="1117"/>
      <c r="D143" s="28" t="s">
        <v>263</v>
      </c>
      <c r="E143" s="94"/>
      <c r="F143" s="80">
        <v>430</v>
      </c>
      <c r="G143" s="80"/>
      <c r="H143" s="80"/>
      <c r="I143" s="80">
        <v>402</v>
      </c>
      <c r="J143" s="96"/>
      <c r="K143" s="28"/>
      <c r="L143" s="21"/>
    </row>
    <row r="144" spans="1:12" hidden="1" x14ac:dyDescent="0.25">
      <c r="A144" s="1220"/>
      <c r="B144" s="1917"/>
      <c r="C144" s="1117"/>
      <c r="D144" s="28" t="s">
        <v>357</v>
      </c>
      <c r="E144" s="94"/>
      <c r="F144" s="99">
        <f>(F143/F141)*100</f>
        <v>62.773722627737229</v>
      </c>
      <c r="G144" s="94"/>
      <c r="H144" s="94"/>
      <c r="I144" s="98">
        <f>I143/I141*100</f>
        <v>44.224422442244226</v>
      </c>
      <c r="J144" s="96"/>
      <c r="K144" s="28"/>
      <c r="L144" s="21"/>
    </row>
    <row r="145" spans="1:12" ht="14.85" hidden="1" customHeight="1" x14ac:dyDescent="0.25">
      <c r="A145" s="1220"/>
      <c r="B145" s="1917"/>
      <c r="C145" s="1117" t="s">
        <v>377</v>
      </c>
      <c r="D145" s="144" t="s">
        <v>251</v>
      </c>
      <c r="E145" s="94"/>
      <c r="F145" s="80">
        <v>805</v>
      </c>
      <c r="G145" s="80"/>
      <c r="H145" s="80"/>
      <c r="I145" s="80">
        <v>585</v>
      </c>
      <c r="J145" s="96"/>
      <c r="K145" s="28"/>
      <c r="L145" s="21"/>
    </row>
    <row r="146" spans="1:12" hidden="1" x14ac:dyDescent="0.25">
      <c r="A146" s="1220"/>
      <c r="B146" s="1917"/>
      <c r="C146" s="1117"/>
      <c r="D146" s="28" t="s">
        <v>257</v>
      </c>
      <c r="E146" s="94"/>
      <c r="F146" s="80">
        <v>90</v>
      </c>
      <c r="G146" s="80"/>
      <c r="H146" s="80"/>
      <c r="I146" s="80">
        <v>147</v>
      </c>
      <c r="J146" s="96"/>
      <c r="K146" s="28"/>
      <c r="L146" s="21"/>
    </row>
    <row r="147" spans="1:12" hidden="1" x14ac:dyDescent="0.25">
      <c r="A147" s="1220"/>
      <c r="B147" s="1917"/>
      <c r="C147" s="1117"/>
      <c r="D147" s="28" t="s">
        <v>263</v>
      </c>
      <c r="E147" s="94"/>
      <c r="F147" s="80">
        <v>715</v>
      </c>
      <c r="G147" s="80"/>
      <c r="H147" s="80"/>
      <c r="I147" s="80">
        <v>435</v>
      </c>
      <c r="J147" s="96"/>
      <c r="K147" s="28"/>
      <c r="L147" s="21"/>
    </row>
    <row r="148" spans="1:12" hidden="1" x14ac:dyDescent="0.25">
      <c r="A148" s="1220"/>
      <c r="B148" s="1917"/>
      <c r="C148" s="1117"/>
      <c r="D148" s="28" t="s">
        <v>357</v>
      </c>
      <c r="E148" s="94"/>
      <c r="F148" s="99">
        <f>(F147/F145)*100</f>
        <v>88.81987577639751</v>
      </c>
      <c r="G148" s="94"/>
      <c r="H148" s="94"/>
      <c r="I148" s="99">
        <f>I147/I145*100</f>
        <v>74.358974358974365</v>
      </c>
      <c r="J148" s="96"/>
      <c r="K148" s="28"/>
      <c r="L148" s="21"/>
    </row>
    <row r="149" spans="1:12" ht="14.85" hidden="1" customHeight="1" x14ac:dyDescent="0.25">
      <c r="A149" s="1220"/>
      <c r="B149" s="1917"/>
      <c r="C149" s="1117" t="s">
        <v>378</v>
      </c>
      <c r="D149" s="144" t="s">
        <v>251</v>
      </c>
      <c r="E149" s="94"/>
      <c r="F149" s="80">
        <v>195</v>
      </c>
      <c r="G149" s="80"/>
      <c r="H149" s="80"/>
      <c r="I149" s="80">
        <v>348</v>
      </c>
      <c r="J149" s="96"/>
      <c r="K149" s="28"/>
      <c r="L149" s="21"/>
    </row>
    <row r="150" spans="1:12" hidden="1" x14ac:dyDescent="0.25">
      <c r="A150" s="1220"/>
      <c r="B150" s="1917"/>
      <c r="C150" s="1117"/>
      <c r="D150" s="28" t="s">
        <v>257</v>
      </c>
      <c r="E150" s="94"/>
      <c r="F150" s="80">
        <v>65</v>
      </c>
      <c r="G150" s="80"/>
      <c r="H150" s="80"/>
      <c r="I150" s="80">
        <v>186</v>
      </c>
      <c r="J150" s="96"/>
      <c r="K150" s="28"/>
      <c r="L150" s="21"/>
    </row>
    <row r="151" spans="1:12" hidden="1" x14ac:dyDescent="0.25">
      <c r="A151" s="1220"/>
      <c r="B151" s="1917"/>
      <c r="C151" s="1117"/>
      <c r="D151" s="28" t="s">
        <v>263</v>
      </c>
      <c r="E151" s="94"/>
      <c r="F151" s="80">
        <v>130</v>
      </c>
      <c r="G151" s="80"/>
      <c r="H151" s="80"/>
      <c r="I151" s="80">
        <v>162</v>
      </c>
      <c r="J151" s="96"/>
      <c r="K151" s="28"/>
      <c r="L151" s="21"/>
    </row>
    <row r="152" spans="1:12" hidden="1" x14ac:dyDescent="0.25">
      <c r="A152" s="1220"/>
      <c r="B152" s="1917"/>
      <c r="C152" s="1117"/>
      <c r="D152" s="28" t="s">
        <v>357</v>
      </c>
      <c r="E152" s="94"/>
      <c r="F152" s="99">
        <f>(F151/F149)*100</f>
        <v>66.666666666666657</v>
      </c>
      <c r="G152" s="94"/>
      <c r="H152" s="94"/>
      <c r="I152" s="98">
        <f>I151/I149*100</f>
        <v>46.551724137931032</v>
      </c>
      <c r="J152" s="96"/>
      <c r="K152" s="28"/>
      <c r="L152" s="21"/>
    </row>
    <row r="153" spans="1:12" ht="14.85" hidden="1" customHeight="1" x14ac:dyDescent="0.25">
      <c r="A153" s="1220"/>
      <c r="B153" s="1917"/>
      <c r="C153" s="1117" t="s">
        <v>379</v>
      </c>
      <c r="D153" s="144" t="s">
        <v>251</v>
      </c>
      <c r="E153" s="94"/>
      <c r="F153" s="80">
        <v>510</v>
      </c>
      <c r="G153" s="80"/>
      <c r="H153" s="80"/>
      <c r="I153" s="80">
        <v>534</v>
      </c>
      <c r="J153" s="96"/>
      <c r="K153" s="28"/>
      <c r="L153" s="21"/>
    </row>
    <row r="154" spans="1:12" hidden="1" x14ac:dyDescent="0.25">
      <c r="A154" s="1220"/>
      <c r="B154" s="1917"/>
      <c r="C154" s="1117"/>
      <c r="D154" s="28" t="s">
        <v>257</v>
      </c>
      <c r="E154" s="94"/>
      <c r="F154" s="80">
        <v>315</v>
      </c>
      <c r="G154" s="80"/>
      <c r="H154" s="80"/>
      <c r="I154" s="80">
        <v>378</v>
      </c>
      <c r="J154" s="96"/>
      <c r="K154" s="28"/>
      <c r="L154" s="21"/>
    </row>
    <row r="155" spans="1:12" hidden="1" x14ac:dyDescent="0.25">
      <c r="A155" s="1220"/>
      <c r="B155" s="1917"/>
      <c r="C155" s="1117"/>
      <c r="D155" s="28" t="s">
        <v>263</v>
      </c>
      <c r="E155" s="94"/>
      <c r="F155" s="80">
        <v>195</v>
      </c>
      <c r="G155" s="80"/>
      <c r="H155" s="80"/>
      <c r="I155" s="80">
        <v>159</v>
      </c>
      <c r="J155" s="96"/>
      <c r="K155" s="28"/>
      <c r="L155" s="21"/>
    </row>
    <row r="156" spans="1:12" hidden="1" x14ac:dyDescent="0.25">
      <c r="A156" s="1220"/>
      <c r="B156" s="1917"/>
      <c r="C156" s="1117"/>
      <c r="D156" s="28" t="s">
        <v>357</v>
      </c>
      <c r="E156" s="94"/>
      <c r="F156" s="97">
        <f>(F155/F153)*100</f>
        <v>38.235294117647058</v>
      </c>
      <c r="G156" s="94"/>
      <c r="H156" s="94"/>
      <c r="I156" s="97">
        <f>I155/I153*100</f>
        <v>29.775280898876407</v>
      </c>
      <c r="J156" s="96"/>
      <c r="K156" s="28"/>
      <c r="L156" s="21"/>
    </row>
    <row r="157" spans="1:12" ht="14.85" hidden="1" customHeight="1" x14ac:dyDescent="0.25">
      <c r="A157" s="1220"/>
      <c r="B157" s="1917"/>
      <c r="C157" s="1117" t="s">
        <v>380</v>
      </c>
      <c r="D157" s="144" t="s">
        <v>251</v>
      </c>
      <c r="E157" s="94"/>
      <c r="F157" s="80">
        <v>1270</v>
      </c>
      <c r="G157" s="80"/>
      <c r="H157" s="80"/>
      <c r="I157" s="80">
        <v>792</v>
      </c>
      <c r="J157" s="96"/>
      <c r="K157" s="28"/>
      <c r="L157" s="21"/>
    </row>
    <row r="158" spans="1:12" hidden="1" x14ac:dyDescent="0.25">
      <c r="A158" s="1220"/>
      <c r="B158" s="1917"/>
      <c r="C158" s="1117"/>
      <c r="D158" s="28" t="s">
        <v>257</v>
      </c>
      <c r="E158" s="94"/>
      <c r="F158" s="80">
        <v>445</v>
      </c>
      <c r="G158" s="80"/>
      <c r="H158" s="80"/>
      <c r="I158" s="80">
        <v>390</v>
      </c>
      <c r="J158" s="96"/>
      <c r="K158" s="28"/>
      <c r="L158" s="21"/>
    </row>
    <row r="159" spans="1:12" hidden="1" x14ac:dyDescent="0.25">
      <c r="A159" s="1220"/>
      <c r="B159" s="1917"/>
      <c r="C159" s="1117"/>
      <c r="D159" s="28" t="s">
        <v>263</v>
      </c>
      <c r="E159" s="94"/>
      <c r="F159" s="80">
        <v>830</v>
      </c>
      <c r="G159" s="80"/>
      <c r="H159" s="80"/>
      <c r="I159" s="80">
        <v>402</v>
      </c>
      <c r="J159" s="96"/>
      <c r="K159" s="28"/>
      <c r="L159" s="21"/>
    </row>
    <row r="160" spans="1:12" hidden="1" x14ac:dyDescent="0.25">
      <c r="A160" s="1220"/>
      <c r="B160" s="1917"/>
      <c r="C160" s="1117"/>
      <c r="D160" s="28" t="s">
        <v>357</v>
      </c>
      <c r="E160" s="94"/>
      <c r="F160" s="99">
        <f>(F159/F157)*100</f>
        <v>65.354330708661408</v>
      </c>
      <c r="G160" s="94"/>
      <c r="H160" s="94"/>
      <c r="I160" s="98">
        <f>I159/I157*100</f>
        <v>50.757575757575758</v>
      </c>
      <c r="J160" s="96"/>
      <c r="K160" s="28"/>
      <c r="L160" s="21"/>
    </row>
    <row r="161" spans="1:12" ht="14.85" hidden="1" customHeight="1" x14ac:dyDescent="0.25">
      <c r="A161" s="1220"/>
      <c r="B161" s="1917"/>
      <c r="C161" s="1117" t="s">
        <v>381</v>
      </c>
      <c r="D161" s="144" t="s">
        <v>251</v>
      </c>
      <c r="E161" s="94"/>
      <c r="F161" s="80">
        <v>40</v>
      </c>
      <c r="G161" s="80"/>
      <c r="H161" s="80"/>
      <c r="I161" s="80">
        <v>93</v>
      </c>
      <c r="J161" s="28"/>
      <c r="K161" s="28"/>
      <c r="L161" s="21"/>
    </row>
    <row r="162" spans="1:12" ht="14.85" hidden="1" customHeight="1" x14ac:dyDescent="0.25">
      <c r="A162" s="1220"/>
      <c r="B162" s="1917"/>
      <c r="C162" s="1117"/>
      <c r="D162" s="28" t="s">
        <v>257</v>
      </c>
      <c r="E162" s="94"/>
      <c r="F162" s="80">
        <v>10</v>
      </c>
      <c r="G162" s="80"/>
      <c r="H162" s="80"/>
      <c r="I162" s="80">
        <v>51</v>
      </c>
      <c r="J162" s="28"/>
      <c r="K162" s="28"/>
      <c r="L162" s="21"/>
    </row>
    <row r="163" spans="1:12" hidden="1" x14ac:dyDescent="0.25">
      <c r="A163" s="1220"/>
      <c r="B163" s="1917"/>
      <c r="C163" s="1117"/>
      <c r="D163" s="28" t="s">
        <v>263</v>
      </c>
      <c r="E163" s="94"/>
      <c r="F163" s="80">
        <v>30</v>
      </c>
      <c r="G163" s="80"/>
      <c r="H163" s="80"/>
      <c r="I163" s="80">
        <v>39</v>
      </c>
      <c r="J163" s="28"/>
      <c r="K163" s="28"/>
      <c r="L163" s="21"/>
    </row>
    <row r="164" spans="1:12" hidden="1" x14ac:dyDescent="0.25">
      <c r="A164" s="1220"/>
      <c r="B164" s="1917"/>
      <c r="C164" s="1117"/>
      <c r="D164" s="28" t="s">
        <v>357</v>
      </c>
      <c r="E164" s="94"/>
      <c r="F164" s="99">
        <f>(F163/F161)*100</f>
        <v>75</v>
      </c>
      <c r="G164" s="94"/>
      <c r="H164" s="94"/>
      <c r="I164" s="98">
        <f>I163/I161*100</f>
        <v>41.935483870967744</v>
      </c>
      <c r="J164" s="28"/>
      <c r="K164" s="28"/>
      <c r="L164" s="21"/>
    </row>
    <row r="165" spans="1:12" ht="14.85" hidden="1" customHeight="1" x14ac:dyDescent="0.25">
      <c r="A165" s="1220"/>
      <c r="B165" s="1917"/>
      <c r="C165" s="1218" t="s">
        <v>382</v>
      </c>
      <c r="D165" s="145" t="s">
        <v>251</v>
      </c>
      <c r="E165" s="95"/>
      <c r="F165" s="80">
        <v>1360</v>
      </c>
      <c r="G165" s="80"/>
      <c r="H165" s="80"/>
      <c r="I165" s="80">
        <v>1113</v>
      </c>
      <c r="J165" s="96"/>
      <c r="K165" s="96"/>
      <c r="L165" s="200"/>
    </row>
    <row r="166" spans="1:12" hidden="1" x14ac:dyDescent="0.25">
      <c r="A166" s="1220"/>
      <c r="B166" s="1917"/>
      <c r="C166" s="1218"/>
      <c r="D166" s="96" t="s">
        <v>257</v>
      </c>
      <c r="E166" s="95"/>
      <c r="F166" s="80">
        <v>445</v>
      </c>
      <c r="G166" s="80"/>
      <c r="H166" s="80"/>
      <c r="I166" s="80">
        <v>354</v>
      </c>
      <c r="J166" s="96"/>
      <c r="K166" s="96"/>
      <c r="L166" s="200"/>
    </row>
    <row r="167" spans="1:12" hidden="1" x14ac:dyDescent="0.25">
      <c r="A167" s="1220"/>
      <c r="B167" s="1917"/>
      <c r="C167" s="1218"/>
      <c r="D167" s="96" t="s">
        <v>263</v>
      </c>
      <c r="E167" s="95"/>
      <c r="F167" s="80">
        <v>915</v>
      </c>
      <c r="G167" s="80"/>
      <c r="H167" s="80"/>
      <c r="I167" s="80">
        <v>759</v>
      </c>
      <c r="J167" s="96"/>
      <c r="K167" s="96"/>
      <c r="L167" s="200"/>
    </row>
    <row r="168" spans="1:12" hidden="1" x14ac:dyDescent="0.25">
      <c r="A168" s="1220"/>
      <c r="B168" s="1917"/>
      <c r="C168" s="1218"/>
      <c r="D168" s="96" t="s">
        <v>357</v>
      </c>
      <c r="E168" s="95"/>
      <c r="F168" s="99">
        <f>(F167/F165)*100</f>
        <v>67.279411764705884</v>
      </c>
      <c r="G168" s="94"/>
      <c r="H168" s="94"/>
      <c r="I168" s="99">
        <f>I167/I165*100</f>
        <v>68.194070080862531</v>
      </c>
      <c r="J168" s="96"/>
      <c r="K168" s="96"/>
      <c r="L168" s="200"/>
    </row>
    <row r="169" spans="1:12" ht="14.85" hidden="1" customHeight="1" x14ac:dyDescent="0.25">
      <c r="A169" s="1220"/>
      <c r="B169" s="1917"/>
      <c r="C169" s="1218" t="s">
        <v>383</v>
      </c>
      <c r="D169" s="145" t="s">
        <v>251</v>
      </c>
      <c r="E169" s="95"/>
      <c r="F169" s="80">
        <v>720</v>
      </c>
      <c r="G169" s="80"/>
      <c r="H169" s="80"/>
      <c r="I169" s="80">
        <v>666</v>
      </c>
      <c r="J169" s="96"/>
      <c r="K169" s="96"/>
      <c r="L169" s="200"/>
    </row>
    <row r="170" spans="1:12" hidden="1" x14ac:dyDescent="0.25">
      <c r="A170" s="1220"/>
      <c r="B170" s="1917"/>
      <c r="C170" s="1218"/>
      <c r="D170" s="96" t="s">
        <v>257</v>
      </c>
      <c r="E170" s="95"/>
      <c r="F170" s="80">
        <v>265</v>
      </c>
      <c r="G170" s="80"/>
      <c r="H170" s="80"/>
      <c r="I170" s="80">
        <v>213</v>
      </c>
      <c r="J170" s="96"/>
      <c r="K170" s="96"/>
      <c r="L170" s="200"/>
    </row>
    <row r="171" spans="1:12" hidden="1" x14ac:dyDescent="0.25">
      <c r="A171" s="1220"/>
      <c r="B171" s="1917"/>
      <c r="C171" s="1218"/>
      <c r="D171" s="96" t="s">
        <v>263</v>
      </c>
      <c r="E171" s="95"/>
      <c r="F171" s="80">
        <v>455</v>
      </c>
      <c r="G171" s="80"/>
      <c r="H171" s="80"/>
      <c r="I171" s="80">
        <v>453</v>
      </c>
      <c r="J171" s="96"/>
      <c r="K171" s="96"/>
      <c r="L171" s="200"/>
    </row>
    <row r="172" spans="1:12" hidden="1" x14ac:dyDescent="0.25">
      <c r="A172" s="1220"/>
      <c r="B172" s="1917"/>
      <c r="C172" s="1218"/>
      <c r="D172" s="96" t="s">
        <v>357</v>
      </c>
      <c r="E172" s="95"/>
      <c r="F172" s="99">
        <f>(F171/F169)*100</f>
        <v>63.194444444444443</v>
      </c>
      <c r="G172" s="94"/>
      <c r="H172" s="94"/>
      <c r="I172" s="99">
        <f>I171/I169*100</f>
        <v>68.018018018018026</v>
      </c>
      <c r="J172" s="96"/>
      <c r="K172" s="96"/>
      <c r="L172" s="200"/>
    </row>
    <row r="173" spans="1:12" ht="14.85" hidden="1" customHeight="1" x14ac:dyDescent="0.25">
      <c r="A173" s="1220"/>
      <c r="B173" s="1917"/>
      <c r="C173" s="1218" t="s">
        <v>384</v>
      </c>
      <c r="D173" s="145" t="s">
        <v>251</v>
      </c>
      <c r="E173" s="95"/>
      <c r="F173" s="80">
        <v>990</v>
      </c>
      <c r="G173" s="80"/>
      <c r="H173" s="80"/>
      <c r="I173" s="80">
        <v>594</v>
      </c>
      <c r="J173" s="96"/>
      <c r="K173" s="96"/>
      <c r="L173" s="200"/>
    </row>
    <row r="174" spans="1:12" hidden="1" x14ac:dyDescent="0.25">
      <c r="A174" s="1220"/>
      <c r="B174" s="1917"/>
      <c r="C174" s="1218"/>
      <c r="D174" s="96" t="s">
        <v>257</v>
      </c>
      <c r="E174" s="95"/>
      <c r="F174" s="80">
        <v>470</v>
      </c>
      <c r="G174" s="80"/>
      <c r="H174" s="80"/>
      <c r="I174" s="80">
        <v>177</v>
      </c>
      <c r="J174" s="96"/>
      <c r="K174" s="96"/>
      <c r="L174" s="200"/>
    </row>
    <row r="175" spans="1:12" hidden="1" x14ac:dyDescent="0.25">
      <c r="A175" s="1220"/>
      <c r="B175" s="1917"/>
      <c r="C175" s="1218"/>
      <c r="D175" s="96" t="s">
        <v>263</v>
      </c>
      <c r="E175" s="95"/>
      <c r="F175" s="80">
        <v>520</v>
      </c>
      <c r="G175" s="80"/>
      <c r="H175" s="80"/>
      <c r="I175" s="80">
        <v>417</v>
      </c>
      <c r="J175" s="96"/>
      <c r="K175" s="96"/>
      <c r="L175" s="200"/>
    </row>
    <row r="176" spans="1:12" hidden="1" x14ac:dyDescent="0.25">
      <c r="A176" s="1220"/>
      <c r="B176" s="1917"/>
      <c r="C176" s="1218"/>
      <c r="D176" s="96" t="s">
        <v>357</v>
      </c>
      <c r="E176" s="95"/>
      <c r="F176" s="98">
        <f>(F175/F173)*100</f>
        <v>52.525252525252533</v>
      </c>
      <c r="G176" s="94"/>
      <c r="H176" s="94"/>
      <c r="I176" s="99">
        <f>I175/I173*100</f>
        <v>70.202020202020194</v>
      </c>
      <c r="J176" s="96"/>
      <c r="K176" s="96"/>
      <c r="L176" s="200"/>
    </row>
    <row r="177" spans="1:12" ht="14.85" hidden="1" customHeight="1" x14ac:dyDescent="0.25">
      <c r="A177" s="1220"/>
      <c r="B177" s="1917"/>
      <c r="C177" s="1218" t="s">
        <v>385</v>
      </c>
      <c r="D177" s="145" t="s">
        <v>251</v>
      </c>
      <c r="E177" s="95"/>
      <c r="F177" s="80">
        <v>155</v>
      </c>
      <c r="G177" s="80"/>
      <c r="H177" s="80"/>
      <c r="I177" s="80">
        <v>168</v>
      </c>
      <c r="J177" s="96"/>
      <c r="K177" s="96"/>
      <c r="L177" s="200"/>
    </row>
    <row r="178" spans="1:12" ht="14.85" hidden="1" customHeight="1" x14ac:dyDescent="0.25">
      <c r="A178" s="1220"/>
      <c r="B178" s="1917"/>
      <c r="C178" s="1218"/>
      <c r="D178" s="96" t="s">
        <v>257</v>
      </c>
      <c r="E178" s="95"/>
      <c r="F178" s="80">
        <v>90</v>
      </c>
      <c r="G178" s="80"/>
      <c r="H178" s="80"/>
      <c r="I178" s="80">
        <v>102</v>
      </c>
      <c r="J178" s="96"/>
      <c r="K178" s="96"/>
      <c r="L178" s="200"/>
    </row>
    <row r="179" spans="1:12" hidden="1" x14ac:dyDescent="0.25">
      <c r="A179" s="1220"/>
      <c r="B179" s="1917"/>
      <c r="C179" s="1218"/>
      <c r="D179" s="96" t="s">
        <v>263</v>
      </c>
      <c r="E179" s="95"/>
      <c r="F179" s="80">
        <v>65</v>
      </c>
      <c r="G179" s="80"/>
      <c r="H179" s="80"/>
      <c r="I179" s="80">
        <v>66</v>
      </c>
      <c r="J179" s="96"/>
      <c r="K179" s="96"/>
      <c r="L179" s="200"/>
    </row>
    <row r="180" spans="1:12" hidden="1" x14ac:dyDescent="0.25">
      <c r="A180" s="1220"/>
      <c r="B180" s="1917"/>
      <c r="C180" s="1218"/>
      <c r="D180" s="96" t="s">
        <v>357</v>
      </c>
      <c r="E180" s="95"/>
      <c r="F180" s="98">
        <f>(F179/F177)*100</f>
        <v>41.935483870967744</v>
      </c>
      <c r="G180" s="94"/>
      <c r="H180" s="94"/>
      <c r="I180" s="97">
        <f>I179/I177*100</f>
        <v>39.285714285714285</v>
      </c>
      <c r="J180" s="96"/>
      <c r="K180" s="96"/>
      <c r="L180" s="200"/>
    </row>
    <row r="181" spans="1:12" ht="14.85" hidden="1" customHeight="1" x14ac:dyDescent="0.25">
      <c r="A181" s="1220"/>
      <c r="B181" s="1917"/>
      <c r="C181" s="1218" t="s">
        <v>386</v>
      </c>
      <c r="D181" s="145" t="s">
        <v>251</v>
      </c>
      <c r="E181" s="95"/>
      <c r="F181" s="80">
        <v>410</v>
      </c>
      <c r="G181" s="80"/>
      <c r="H181" s="80"/>
      <c r="I181" s="80">
        <v>693</v>
      </c>
      <c r="J181" s="96"/>
      <c r="K181" s="96"/>
      <c r="L181" s="200"/>
    </row>
    <row r="182" spans="1:12" hidden="1" x14ac:dyDescent="0.25">
      <c r="A182" s="1220"/>
      <c r="B182" s="1917"/>
      <c r="C182" s="1218"/>
      <c r="D182" s="96" t="s">
        <v>257</v>
      </c>
      <c r="E182" s="95"/>
      <c r="F182" s="80">
        <v>180</v>
      </c>
      <c r="G182" s="80"/>
      <c r="H182" s="80"/>
      <c r="I182" s="80">
        <v>351</v>
      </c>
      <c r="J182" s="96"/>
      <c r="K182" s="96"/>
      <c r="L182" s="200"/>
    </row>
    <row r="183" spans="1:12" hidden="1" x14ac:dyDescent="0.25">
      <c r="A183" s="1220"/>
      <c r="B183" s="1917"/>
      <c r="C183" s="1218"/>
      <c r="D183" s="96" t="s">
        <v>263</v>
      </c>
      <c r="E183" s="95"/>
      <c r="F183" s="80">
        <v>230</v>
      </c>
      <c r="G183" s="80"/>
      <c r="H183" s="80"/>
      <c r="I183" s="80">
        <v>339</v>
      </c>
      <c r="J183" s="96"/>
      <c r="K183" s="96"/>
      <c r="L183" s="200"/>
    </row>
    <row r="184" spans="1:12" hidden="1" x14ac:dyDescent="0.25">
      <c r="A184" s="1220"/>
      <c r="B184" s="1917"/>
      <c r="C184" s="1218"/>
      <c r="D184" s="96" t="s">
        <v>357</v>
      </c>
      <c r="E184" s="95"/>
      <c r="F184" s="98">
        <f>(F183/F181)*100</f>
        <v>56.09756097560976</v>
      </c>
      <c r="G184" s="94"/>
      <c r="H184" s="94"/>
      <c r="I184" s="98">
        <f>I183/I181*100</f>
        <v>48.917748917748916</v>
      </c>
      <c r="J184" s="96"/>
      <c r="K184" s="96"/>
      <c r="L184" s="200"/>
    </row>
    <row r="185" spans="1:12" ht="14.85" hidden="1" customHeight="1" x14ac:dyDescent="0.25">
      <c r="A185" s="1220"/>
      <c r="B185" s="1917"/>
      <c r="C185" s="1218" t="s">
        <v>387</v>
      </c>
      <c r="D185" s="145" t="s">
        <v>251</v>
      </c>
      <c r="E185" s="95"/>
      <c r="F185" s="80">
        <v>690</v>
      </c>
      <c r="G185" s="80"/>
      <c r="H185" s="80"/>
      <c r="I185" s="80">
        <v>735</v>
      </c>
      <c r="J185" s="96"/>
      <c r="K185" s="96"/>
      <c r="L185" s="200"/>
    </row>
    <row r="186" spans="1:12" hidden="1" x14ac:dyDescent="0.25">
      <c r="A186" s="1220"/>
      <c r="B186" s="1917"/>
      <c r="C186" s="1218"/>
      <c r="D186" s="96" t="s">
        <v>257</v>
      </c>
      <c r="E186" s="95"/>
      <c r="F186" s="80">
        <v>285</v>
      </c>
      <c r="G186" s="80"/>
      <c r="H186" s="80"/>
      <c r="I186" s="80">
        <v>279</v>
      </c>
      <c r="J186" s="96"/>
      <c r="K186" s="96"/>
      <c r="L186" s="200"/>
    </row>
    <row r="187" spans="1:12" hidden="1" x14ac:dyDescent="0.25">
      <c r="A187" s="1220"/>
      <c r="B187" s="1917"/>
      <c r="C187" s="1218"/>
      <c r="D187" s="96" t="s">
        <v>263</v>
      </c>
      <c r="E187" s="95"/>
      <c r="F187" s="80">
        <v>400</v>
      </c>
      <c r="G187" s="80"/>
      <c r="H187" s="80"/>
      <c r="I187" s="80">
        <v>459</v>
      </c>
      <c r="J187" s="96"/>
      <c r="K187" s="96"/>
      <c r="L187" s="200"/>
    </row>
    <row r="188" spans="1:12" hidden="1" x14ac:dyDescent="0.25">
      <c r="A188" s="1220"/>
      <c r="B188" s="1917"/>
      <c r="C188" s="1218"/>
      <c r="D188" s="96" t="s">
        <v>357</v>
      </c>
      <c r="E188" s="95"/>
      <c r="F188" s="98">
        <f>(F187/F185)*100</f>
        <v>57.971014492753625</v>
      </c>
      <c r="G188" s="94"/>
      <c r="H188" s="94"/>
      <c r="I188" s="99">
        <f>I187/I185*100</f>
        <v>62.448979591836739</v>
      </c>
      <c r="J188" s="96"/>
      <c r="K188" s="96"/>
      <c r="L188" s="200"/>
    </row>
    <row r="189" spans="1:12" ht="14.85" hidden="1" customHeight="1" x14ac:dyDescent="0.25">
      <c r="A189" s="1220"/>
      <c r="B189" s="1917"/>
      <c r="C189" s="1218" t="s">
        <v>388</v>
      </c>
      <c r="D189" s="145" t="s">
        <v>251</v>
      </c>
      <c r="E189" s="95"/>
      <c r="F189" s="80"/>
      <c r="G189" s="80"/>
      <c r="H189" s="80"/>
      <c r="I189" s="80">
        <v>210</v>
      </c>
      <c r="J189" s="96"/>
      <c r="K189" s="96"/>
      <c r="L189" s="200"/>
    </row>
    <row r="190" spans="1:12" hidden="1" x14ac:dyDescent="0.25">
      <c r="A190" s="1220"/>
      <c r="B190" s="1917"/>
      <c r="C190" s="1218"/>
      <c r="D190" s="96" t="s">
        <v>257</v>
      </c>
      <c r="E190" s="95"/>
      <c r="F190" s="80"/>
      <c r="G190" s="80"/>
      <c r="H190" s="80"/>
      <c r="I190" s="80">
        <v>105</v>
      </c>
      <c r="J190" s="96"/>
      <c r="K190" s="96"/>
      <c r="L190" s="200"/>
    </row>
    <row r="191" spans="1:12" hidden="1" x14ac:dyDescent="0.25">
      <c r="A191" s="1220"/>
      <c r="B191" s="1917"/>
      <c r="C191" s="1218"/>
      <c r="D191" s="96" t="s">
        <v>263</v>
      </c>
      <c r="E191" s="95"/>
      <c r="F191" s="80"/>
      <c r="G191" s="80"/>
      <c r="H191" s="80"/>
      <c r="I191" s="80">
        <v>102</v>
      </c>
      <c r="J191" s="96"/>
      <c r="K191" s="96"/>
      <c r="L191" s="200"/>
    </row>
    <row r="192" spans="1:12" hidden="1" x14ac:dyDescent="0.25">
      <c r="A192" s="1220"/>
      <c r="B192" s="1917"/>
      <c r="C192" s="1218"/>
      <c r="D192" s="96" t="s">
        <v>357</v>
      </c>
      <c r="E192" s="95"/>
      <c r="F192" s="206"/>
      <c r="G192" s="94"/>
      <c r="H192" s="94"/>
      <c r="I192" s="98">
        <f>I191/I189*100</f>
        <v>48.571428571428569</v>
      </c>
      <c r="J192" s="96"/>
      <c r="K192" s="96"/>
      <c r="L192" s="200"/>
    </row>
    <row r="193" spans="1:12" ht="14.85" hidden="1" customHeight="1" x14ac:dyDescent="0.25">
      <c r="A193" s="1220"/>
      <c r="B193" s="1917"/>
      <c r="C193" s="1117" t="s">
        <v>389</v>
      </c>
      <c r="D193" s="144" t="s">
        <v>251</v>
      </c>
      <c r="E193" s="94"/>
      <c r="F193" s="80">
        <v>145</v>
      </c>
      <c r="G193" s="80"/>
      <c r="H193" s="80"/>
      <c r="I193" s="80">
        <v>162</v>
      </c>
      <c r="J193" s="28"/>
      <c r="K193" s="28"/>
      <c r="L193" s="21"/>
    </row>
    <row r="194" spans="1:12" hidden="1" x14ac:dyDescent="0.25">
      <c r="A194" s="1220"/>
      <c r="B194" s="1917"/>
      <c r="C194" s="1117"/>
      <c r="D194" s="28" t="s">
        <v>257</v>
      </c>
      <c r="E194" s="94"/>
      <c r="F194" s="80">
        <v>65</v>
      </c>
      <c r="G194" s="80"/>
      <c r="H194" s="80"/>
      <c r="I194" s="80">
        <v>72</v>
      </c>
      <c r="J194" s="28"/>
      <c r="K194" s="28"/>
      <c r="L194" s="21"/>
    </row>
    <row r="195" spans="1:12" hidden="1" x14ac:dyDescent="0.25">
      <c r="A195" s="1220"/>
      <c r="B195" s="1917"/>
      <c r="C195" s="1117"/>
      <c r="D195" s="28" t="s">
        <v>263</v>
      </c>
      <c r="E195" s="94"/>
      <c r="F195" s="80">
        <v>85</v>
      </c>
      <c r="G195" s="80"/>
      <c r="H195" s="80"/>
      <c r="I195" s="80">
        <v>90</v>
      </c>
      <c r="J195" s="28"/>
      <c r="K195" s="28"/>
      <c r="L195" s="21"/>
    </row>
    <row r="196" spans="1:12" hidden="1" x14ac:dyDescent="0.25">
      <c r="A196" s="1220"/>
      <c r="B196" s="1917"/>
      <c r="C196" s="1117"/>
      <c r="D196" s="28" t="s">
        <v>357</v>
      </c>
      <c r="E196" s="94"/>
      <c r="F196" s="98">
        <f>(F195/F193)*100</f>
        <v>58.620689655172406</v>
      </c>
      <c r="G196" s="94"/>
      <c r="H196" s="94"/>
      <c r="I196" s="98">
        <f>I195/I193*100</f>
        <v>55.555555555555557</v>
      </c>
      <c r="J196" s="28"/>
      <c r="K196" s="28"/>
      <c r="L196" s="21"/>
    </row>
    <row r="197" spans="1:12" ht="14.85" hidden="1" customHeight="1" x14ac:dyDescent="0.25">
      <c r="A197" s="1220"/>
      <c r="B197" s="1917"/>
      <c r="C197" s="1117" t="s">
        <v>390</v>
      </c>
      <c r="D197" s="144" t="s">
        <v>251</v>
      </c>
      <c r="E197" s="94"/>
      <c r="F197" s="80">
        <v>215</v>
      </c>
      <c r="G197" s="80"/>
      <c r="H197" s="80"/>
      <c r="I197" s="80">
        <v>84</v>
      </c>
      <c r="J197" s="28"/>
      <c r="K197" s="28"/>
      <c r="L197" s="21"/>
    </row>
    <row r="198" spans="1:12" ht="14.85" hidden="1" customHeight="1" x14ac:dyDescent="0.25">
      <c r="A198" s="1220"/>
      <c r="B198" s="1917"/>
      <c r="C198" s="1117"/>
      <c r="D198" s="28" t="s">
        <v>257</v>
      </c>
      <c r="E198" s="94"/>
      <c r="F198" s="80">
        <v>85</v>
      </c>
      <c r="G198" s="80"/>
      <c r="H198" s="80"/>
      <c r="I198" s="80">
        <v>18</v>
      </c>
      <c r="J198" s="28"/>
      <c r="K198" s="28"/>
      <c r="L198" s="21"/>
    </row>
    <row r="199" spans="1:12" hidden="1" x14ac:dyDescent="0.25">
      <c r="A199" s="1220"/>
      <c r="B199" s="1917"/>
      <c r="C199" s="1117"/>
      <c r="D199" s="28" t="s">
        <v>263</v>
      </c>
      <c r="E199" s="94"/>
      <c r="F199" s="80">
        <v>135</v>
      </c>
      <c r="G199" s="80"/>
      <c r="H199" s="80"/>
      <c r="I199" s="80">
        <v>66</v>
      </c>
      <c r="J199" s="28"/>
      <c r="K199" s="28"/>
      <c r="L199" s="21"/>
    </row>
    <row r="200" spans="1:12" hidden="1" x14ac:dyDescent="0.25">
      <c r="A200" s="1220"/>
      <c r="B200" s="1917"/>
      <c r="C200" s="1117"/>
      <c r="D200" s="28" t="s">
        <v>357</v>
      </c>
      <c r="E200" s="94"/>
      <c r="F200" s="99">
        <f>(F199/F197)*100</f>
        <v>62.790697674418603</v>
      </c>
      <c r="G200" s="94"/>
      <c r="H200" s="94"/>
      <c r="I200" s="99">
        <f>I199/I197*100</f>
        <v>78.571428571428569</v>
      </c>
      <c r="J200" s="28"/>
      <c r="K200" s="28"/>
      <c r="L200" s="21"/>
    </row>
    <row r="201" spans="1:12" ht="14.85" hidden="1" customHeight="1" x14ac:dyDescent="0.25">
      <c r="A201" s="1220"/>
      <c r="B201" s="1917"/>
      <c r="C201" s="1117" t="s">
        <v>391</v>
      </c>
      <c r="D201" s="144" t="s">
        <v>251</v>
      </c>
      <c r="E201" s="94"/>
      <c r="F201" s="80">
        <v>170</v>
      </c>
      <c r="G201" s="80"/>
      <c r="H201" s="80"/>
      <c r="I201" s="80">
        <v>174</v>
      </c>
      <c r="J201" s="28"/>
      <c r="K201" s="28"/>
      <c r="L201" s="21"/>
    </row>
    <row r="202" spans="1:12" hidden="1" x14ac:dyDescent="0.25">
      <c r="A202" s="1220"/>
      <c r="B202" s="1917"/>
      <c r="C202" s="1117"/>
      <c r="D202" s="28" t="s">
        <v>257</v>
      </c>
      <c r="E202" s="94"/>
      <c r="F202" s="80">
        <v>10</v>
      </c>
      <c r="G202" s="80"/>
      <c r="H202" s="80"/>
      <c r="I202" s="80">
        <v>24</v>
      </c>
      <c r="J202" s="28"/>
      <c r="K202" s="28"/>
      <c r="L202" s="21"/>
    </row>
    <row r="203" spans="1:12" hidden="1" x14ac:dyDescent="0.25">
      <c r="A203" s="1220"/>
      <c r="B203" s="1917"/>
      <c r="C203" s="1117"/>
      <c r="D203" s="28" t="s">
        <v>263</v>
      </c>
      <c r="E203" s="94"/>
      <c r="F203" s="80">
        <v>160</v>
      </c>
      <c r="G203" s="80"/>
      <c r="H203" s="80"/>
      <c r="I203" s="80">
        <v>150</v>
      </c>
      <c r="J203" s="28"/>
      <c r="K203" s="28"/>
      <c r="L203" s="21"/>
    </row>
    <row r="204" spans="1:12" hidden="1" x14ac:dyDescent="0.25">
      <c r="A204" s="1220"/>
      <c r="B204" s="1917"/>
      <c r="C204" s="1117"/>
      <c r="D204" s="28" t="s">
        <v>357</v>
      </c>
      <c r="E204" s="94"/>
      <c r="F204" s="99">
        <f>(F203/F201)*100</f>
        <v>94.117647058823522</v>
      </c>
      <c r="G204" s="94"/>
      <c r="H204" s="94"/>
      <c r="I204" s="99">
        <f>I203/I201*100</f>
        <v>86.206896551724128</v>
      </c>
      <c r="J204" s="28"/>
      <c r="K204" s="28"/>
      <c r="L204" s="21"/>
    </row>
    <row r="205" spans="1:12" ht="14.85" hidden="1" customHeight="1" x14ac:dyDescent="0.25">
      <c r="A205" s="1220"/>
      <c r="B205" s="1917"/>
      <c r="C205" s="1117" t="s">
        <v>392</v>
      </c>
      <c r="D205" s="144" t="s">
        <v>251</v>
      </c>
      <c r="E205" s="94"/>
      <c r="F205" s="80">
        <v>60</v>
      </c>
      <c r="G205" s="80"/>
      <c r="H205" s="80"/>
      <c r="I205" s="80">
        <v>93</v>
      </c>
      <c r="J205" s="28"/>
      <c r="K205" s="28"/>
      <c r="L205" s="21"/>
    </row>
    <row r="206" spans="1:12" hidden="1" x14ac:dyDescent="0.25">
      <c r="A206" s="1220"/>
      <c r="B206" s="1917"/>
      <c r="C206" s="1117"/>
      <c r="D206" s="28" t="s">
        <v>257</v>
      </c>
      <c r="E206" s="94"/>
      <c r="F206" s="80">
        <v>0</v>
      </c>
      <c r="G206" s="80"/>
      <c r="H206" s="80"/>
      <c r="I206" s="80">
        <v>12</v>
      </c>
      <c r="J206" s="28"/>
      <c r="K206" s="28"/>
      <c r="L206" s="21"/>
    </row>
    <row r="207" spans="1:12" hidden="1" x14ac:dyDescent="0.25">
      <c r="A207" s="1220"/>
      <c r="B207" s="1917"/>
      <c r="C207" s="1117"/>
      <c r="D207" s="28" t="s">
        <v>263</v>
      </c>
      <c r="E207" s="94"/>
      <c r="F207" s="80">
        <v>60</v>
      </c>
      <c r="G207" s="80"/>
      <c r="H207" s="80"/>
      <c r="I207" s="80">
        <v>81</v>
      </c>
      <c r="J207" s="28"/>
      <c r="K207" s="28"/>
      <c r="L207" s="21"/>
    </row>
    <row r="208" spans="1:12" hidden="1" x14ac:dyDescent="0.25">
      <c r="A208" s="1220"/>
      <c r="B208" s="1917"/>
      <c r="C208" s="1117"/>
      <c r="D208" s="28" t="s">
        <v>357</v>
      </c>
      <c r="E208" s="94"/>
      <c r="F208" s="99">
        <f>(F207/F205)*100</f>
        <v>100</v>
      </c>
      <c r="G208" s="94"/>
      <c r="H208" s="94"/>
      <c r="I208" s="99">
        <f>I207/I205*100</f>
        <v>87.096774193548384</v>
      </c>
      <c r="J208" s="28"/>
      <c r="K208" s="28"/>
      <c r="L208" s="21"/>
    </row>
    <row r="209" spans="1:12" ht="14.85" hidden="1" customHeight="1" x14ac:dyDescent="0.25">
      <c r="A209" s="1220"/>
      <c r="B209" s="1917"/>
      <c r="C209" s="1117" t="s">
        <v>393</v>
      </c>
      <c r="D209" s="144" t="s">
        <v>251</v>
      </c>
      <c r="E209" s="94"/>
      <c r="F209" s="80">
        <v>920</v>
      </c>
      <c r="G209" s="80"/>
      <c r="H209" s="80"/>
      <c r="I209" s="80">
        <v>822</v>
      </c>
      <c r="J209" s="28"/>
      <c r="K209" s="28"/>
      <c r="L209" s="21"/>
    </row>
    <row r="210" spans="1:12" hidden="1" x14ac:dyDescent="0.25">
      <c r="A210" s="1220"/>
      <c r="B210" s="1917"/>
      <c r="C210" s="1117"/>
      <c r="D210" s="28" t="s">
        <v>257</v>
      </c>
      <c r="E210" s="94"/>
      <c r="F210" s="80">
        <v>440</v>
      </c>
      <c r="G210" s="80"/>
      <c r="H210" s="80"/>
      <c r="I210" s="80">
        <v>345</v>
      </c>
      <c r="J210" s="28"/>
      <c r="K210" s="28"/>
      <c r="L210" s="21"/>
    </row>
    <row r="211" spans="1:12" hidden="1" x14ac:dyDescent="0.25">
      <c r="A211" s="1220"/>
      <c r="B211" s="1917"/>
      <c r="C211" s="1117"/>
      <c r="D211" s="28" t="s">
        <v>263</v>
      </c>
      <c r="E211" s="94"/>
      <c r="F211" s="80">
        <v>480</v>
      </c>
      <c r="G211" s="80"/>
      <c r="H211" s="80"/>
      <c r="I211" s="80">
        <v>474</v>
      </c>
      <c r="J211" s="28"/>
      <c r="K211" s="28"/>
      <c r="L211" s="21"/>
    </row>
    <row r="212" spans="1:12" hidden="1" x14ac:dyDescent="0.25">
      <c r="A212" s="1220"/>
      <c r="B212" s="1917"/>
      <c r="C212" s="1117"/>
      <c r="D212" s="28" t="s">
        <v>357</v>
      </c>
      <c r="E212" s="94"/>
      <c r="F212" s="98">
        <f>(F211/F209)*100</f>
        <v>52.173913043478258</v>
      </c>
      <c r="G212" s="94"/>
      <c r="H212" s="94"/>
      <c r="I212" s="98">
        <f>I211/I209*100</f>
        <v>57.664233576642332</v>
      </c>
      <c r="J212" s="28"/>
      <c r="K212" s="28"/>
      <c r="L212" s="21"/>
    </row>
    <row r="213" spans="1:12" ht="14.85" hidden="1" customHeight="1" x14ac:dyDescent="0.25">
      <c r="A213" s="1220"/>
      <c r="B213" s="1917"/>
      <c r="C213" s="1117" t="s">
        <v>394</v>
      </c>
      <c r="D213" s="144" t="s">
        <v>251</v>
      </c>
      <c r="E213" s="94"/>
      <c r="F213" s="80">
        <v>585</v>
      </c>
      <c r="G213" s="80"/>
      <c r="H213" s="80"/>
      <c r="I213" s="80">
        <v>594</v>
      </c>
      <c r="J213" s="28"/>
      <c r="K213" s="28"/>
      <c r="L213" s="21"/>
    </row>
    <row r="214" spans="1:12" hidden="1" x14ac:dyDescent="0.25">
      <c r="A214" s="1220"/>
      <c r="B214" s="1917"/>
      <c r="C214" s="1117"/>
      <c r="D214" s="28" t="s">
        <v>257</v>
      </c>
      <c r="E214" s="94"/>
      <c r="F214" s="80">
        <v>450</v>
      </c>
      <c r="G214" s="80"/>
      <c r="H214" s="80"/>
      <c r="I214" s="80">
        <v>453</v>
      </c>
      <c r="J214" s="28"/>
      <c r="K214" s="28"/>
      <c r="L214" s="21"/>
    </row>
    <row r="215" spans="1:12" hidden="1" x14ac:dyDescent="0.25">
      <c r="A215" s="1220"/>
      <c r="B215" s="1917"/>
      <c r="C215" s="1117"/>
      <c r="D215" s="28" t="s">
        <v>263</v>
      </c>
      <c r="E215" s="94"/>
      <c r="F215" s="80">
        <v>135</v>
      </c>
      <c r="G215" s="80"/>
      <c r="H215" s="80"/>
      <c r="I215" s="80">
        <v>144</v>
      </c>
      <c r="J215" s="28"/>
      <c r="K215" s="28"/>
      <c r="L215" s="21"/>
    </row>
    <row r="216" spans="1:12" hidden="1" x14ac:dyDescent="0.25">
      <c r="A216" s="1220"/>
      <c r="B216" s="1917"/>
      <c r="C216" s="1117"/>
      <c r="D216" s="28" t="s">
        <v>357</v>
      </c>
      <c r="E216" s="94"/>
      <c r="F216" s="97">
        <f>(F215/F213)*100</f>
        <v>23.076923076923077</v>
      </c>
      <c r="G216" s="94"/>
      <c r="H216" s="94"/>
      <c r="I216" s="97">
        <f>I215/I213*100</f>
        <v>24.242424242424242</v>
      </c>
      <c r="J216" s="28"/>
      <c r="K216" s="28"/>
      <c r="L216" s="21"/>
    </row>
    <row r="217" spans="1:12" ht="14.85" hidden="1" customHeight="1" x14ac:dyDescent="0.25">
      <c r="A217" s="1220"/>
      <c r="B217" s="1917"/>
      <c r="C217" s="1117" t="s">
        <v>395</v>
      </c>
      <c r="D217" s="144" t="s">
        <v>251</v>
      </c>
      <c r="E217" s="94"/>
      <c r="F217" s="80">
        <v>20</v>
      </c>
      <c r="G217" s="80"/>
      <c r="H217" s="80"/>
      <c r="I217" s="80">
        <v>36</v>
      </c>
      <c r="J217" s="94"/>
      <c r="K217" s="28"/>
      <c r="L217" s="21"/>
    </row>
    <row r="218" spans="1:12" ht="14.85" hidden="1" customHeight="1" x14ac:dyDescent="0.25">
      <c r="A218" s="1220"/>
      <c r="B218" s="1917"/>
      <c r="C218" s="1117"/>
      <c r="D218" s="28" t="s">
        <v>257</v>
      </c>
      <c r="E218" s="94"/>
      <c r="F218" s="80">
        <v>20</v>
      </c>
      <c r="G218" s="80"/>
      <c r="H218" s="80"/>
      <c r="I218" s="80">
        <v>30</v>
      </c>
      <c r="J218" s="94"/>
      <c r="K218" s="28"/>
      <c r="L218" s="21"/>
    </row>
    <row r="219" spans="1:12" hidden="1" x14ac:dyDescent="0.25">
      <c r="A219" s="1220"/>
      <c r="B219" s="1917"/>
      <c r="C219" s="1117"/>
      <c r="D219" s="28" t="s">
        <v>263</v>
      </c>
      <c r="E219" s="94"/>
      <c r="F219" s="80">
        <v>0</v>
      </c>
      <c r="G219" s="80"/>
      <c r="H219" s="80"/>
      <c r="I219" s="80">
        <v>6</v>
      </c>
      <c r="J219" s="94"/>
      <c r="K219" s="28"/>
      <c r="L219" s="21"/>
    </row>
    <row r="220" spans="1:12" hidden="1" x14ac:dyDescent="0.25">
      <c r="A220" s="1220"/>
      <c r="B220" s="1917"/>
      <c r="C220" s="1117"/>
      <c r="D220" s="28" t="s">
        <v>357</v>
      </c>
      <c r="E220" s="94"/>
      <c r="F220" s="97">
        <f>(F219/F217)*100</f>
        <v>0</v>
      </c>
      <c r="G220" s="94"/>
      <c r="H220" s="94"/>
      <c r="I220" s="97">
        <f>I219/I217*100</f>
        <v>16.666666666666664</v>
      </c>
      <c r="J220" s="94"/>
      <c r="K220" s="28"/>
      <c r="L220" s="21"/>
    </row>
    <row r="221" spans="1:12" ht="14.85" hidden="1" customHeight="1" x14ac:dyDescent="0.25">
      <c r="A221" s="1220"/>
      <c r="B221" s="1917"/>
      <c r="C221" s="1117" t="s">
        <v>396</v>
      </c>
      <c r="D221" s="144" t="s">
        <v>251</v>
      </c>
      <c r="E221" s="94"/>
      <c r="F221" s="80"/>
      <c r="G221" s="95"/>
      <c r="H221" s="95"/>
      <c r="I221" s="96">
        <v>3</v>
      </c>
      <c r="J221" s="28"/>
      <c r="K221" s="28"/>
      <c r="L221" s="21"/>
    </row>
    <row r="222" spans="1:12" hidden="1" x14ac:dyDescent="0.25">
      <c r="A222" s="1220"/>
      <c r="B222" s="1917"/>
      <c r="C222" s="1117"/>
      <c r="D222" s="28" t="s">
        <v>257</v>
      </c>
      <c r="E222" s="94"/>
      <c r="F222" s="80"/>
      <c r="G222" s="95"/>
      <c r="H222" s="95"/>
      <c r="I222" s="96">
        <v>3</v>
      </c>
      <c r="J222" s="28"/>
      <c r="K222" s="28"/>
      <c r="L222" s="21"/>
    </row>
    <row r="223" spans="1:12" hidden="1" x14ac:dyDescent="0.25">
      <c r="A223" s="1220"/>
      <c r="B223" s="1917"/>
      <c r="C223" s="1117"/>
      <c r="D223" s="28" t="s">
        <v>263</v>
      </c>
      <c r="E223" s="94"/>
      <c r="F223" s="80"/>
      <c r="G223" s="95"/>
      <c r="H223" s="95"/>
      <c r="I223" s="96">
        <v>0</v>
      </c>
      <c r="J223" s="28"/>
      <c r="K223" s="28"/>
      <c r="L223" s="21"/>
    </row>
    <row r="224" spans="1:12" hidden="1" x14ac:dyDescent="0.25">
      <c r="A224" s="1220"/>
      <c r="B224" s="1917"/>
      <c r="C224" s="1117"/>
      <c r="D224" s="28" t="s">
        <v>357</v>
      </c>
      <c r="E224" s="94"/>
      <c r="F224" s="94"/>
      <c r="G224" s="94"/>
      <c r="H224" s="94"/>
      <c r="I224" s="97">
        <f>I223/I221*100</f>
        <v>0</v>
      </c>
      <c r="J224" s="28"/>
      <c r="K224" s="28"/>
      <c r="L224" s="21"/>
    </row>
    <row r="225" spans="1:12" ht="14.85" hidden="1" customHeight="1" x14ac:dyDescent="0.25">
      <c r="A225" s="1220"/>
      <c r="B225" s="1917"/>
      <c r="C225" s="1117" t="s">
        <v>397</v>
      </c>
      <c r="D225" s="144" t="s">
        <v>251</v>
      </c>
      <c r="E225" s="94"/>
      <c r="F225" s="80">
        <v>10</v>
      </c>
      <c r="G225" s="80"/>
      <c r="H225" s="80"/>
      <c r="I225" s="80">
        <v>3</v>
      </c>
      <c r="J225" s="94"/>
      <c r="K225" s="28"/>
      <c r="L225" s="21"/>
    </row>
    <row r="226" spans="1:12" hidden="1" x14ac:dyDescent="0.25">
      <c r="A226" s="1220"/>
      <c r="B226" s="1917"/>
      <c r="C226" s="1117"/>
      <c r="D226" s="28" t="s">
        <v>257</v>
      </c>
      <c r="E226" s="94"/>
      <c r="F226" s="80">
        <v>10</v>
      </c>
      <c r="G226" s="80"/>
      <c r="H226" s="80"/>
      <c r="I226" s="80">
        <v>3</v>
      </c>
      <c r="J226" s="94"/>
      <c r="K226" s="28"/>
      <c r="L226" s="21"/>
    </row>
    <row r="227" spans="1:12" hidden="1" x14ac:dyDescent="0.25">
      <c r="A227" s="1220"/>
      <c r="B227" s="1917"/>
      <c r="C227" s="1117"/>
      <c r="D227" s="28" t="s">
        <v>263</v>
      </c>
      <c r="E227" s="94"/>
      <c r="F227" s="80">
        <v>0</v>
      </c>
      <c r="G227" s="80"/>
      <c r="H227" s="80"/>
      <c r="I227" s="80">
        <v>0</v>
      </c>
      <c r="J227" s="94"/>
      <c r="K227" s="28"/>
      <c r="L227" s="21"/>
    </row>
    <row r="228" spans="1:12" hidden="1" x14ac:dyDescent="0.25">
      <c r="A228" s="1220"/>
      <c r="B228" s="1917"/>
      <c r="C228" s="1117"/>
      <c r="D228" s="28" t="s">
        <v>357</v>
      </c>
      <c r="E228" s="94"/>
      <c r="F228" s="97">
        <f>F227/F225*100</f>
        <v>0</v>
      </c>
      <c r="G228" s="94"/>
      <c r="H228" s="94"/>
      <c r="I228" s="97">
        <f>I227/I225*100</f>
        <v>0</v>
      </c>
      <c r="J228" s="94"/>
      <c r="K228" s="28"/>
      <c r="L228" s="21"/>
    </row>
    <row r="229" spans="1:12" ht="14.85" hidden="1" customHeight="1" x14ac:dyDescent="0.25">
      <c r="A229" s="1220"/>
      <c r="B229" s="1917"/>
      <c r="C229" s="1117" t="s">
        <v>398</v>
      </c>
      <c r="D229" s="144" t="s">
        <v>251</v>
      </c>
      <c r="E229" s="94"/>
      <c r="F229" s="80"/>
      <c r="G229" s="80"/>
      <c r="H229" s="80"/>
      <c r="I229" s="80"/>
      <c r="J229" s="94"/>
      <c r="K229" s="28"/>
      <c r="L229" s="21"/>
    </row>
    <row r="230" spans="1:12" ht="14.85" hidden="1" customHeight="1" x14ac:dyDescent="0.25">
      <c r="A230" s="1220"/>
      <c r="B230" s="1917"/>
      <c r="C230" s="1117"/>
      <c r="D230" s="28" t="s">
        <v>257</v>
      </c>
      <c r="E230" s="94"/>
      <c r="F230" s="80"/>
      <c r="G230" s="80"/>
      <c r="H230" s="80"/>
      <c r="I230" s="80"/>
      <c r="J230" s="94"/>
      <c r="K230" s="28"/>
      <c r="L230" s="21"/>
    </row>
    <row r="231" spans="1:12" hidden="1" x14ac:dyDescent="0.25">
      <c r="A231" s="1220"/>
      <c r="B231" s="1917"/>
      <c r="C231" s="1117"/>
      <c r="D231" s="28" t="s">
        <v>263</v>
      </c>
      <c r="E231" s="94"/>
      <c r="F231" s="80"/>
      <c r="G231" s="80"/>
      <c r="H231" s="80"/>
      <c r="I231" s="80"/>
      <c r="J231" s="94"/>
      <c r="K231" s="28"/>
      <c r="L231" s="21"/>
    </row>
    <row r="232" spans="1:12" hidden="1" x14ac:dyDescent="0.25">
      <c r="A232" s="1220"/>
      <c r="B232" s="1917"/>
      <c r="C232" s="1117"/>
      <c r="D232" s="28" t="s">
        <v>357</v>
      </c>
      <c r="E232" s="94"/>
      <c r="F232" s="206"/>
      <c r="G232" s="94"/>
      <c r="H232" s="94"/>
      <c r="I232" s="206"/>
      <c r="J232" s="94"/>
      <c r="K232" s="28"/>
      <c r="L232" s="21"/>
    </row>
    <row r="233" spans="1:12" ht="14.85" hidden="1" customHeight="1" x14ac:dyDescent="0.25">
      <c r="A233" s="1220"/>
      <c r="B233" s="1917"/>
      <c r="C233" s="1117" t="s">
        <v>399</v>
      </c>
      <c r="D233" s="144" t="s">
        <v>251</v>
      </c>
      <c r="E233" s="94"/>
      <c r="F233" s="80">
        <v>160</v>
      </c>
      <c r="G233" s="80"/>
      <c r="H233" s="80"/>
      <c r="I233" s="80">
        <v>183</v>
      </c>
      <c r="J233" s="94"/>
      <c r="K233" s="28"/>
      <c r="L233" s="21"/>
    </row>
    <row r="234" spans="1:12" ht="14.85" hidden="1" customHeight="1" x14ac:dyDescent="0.25">
      <c r="A234" s="1220"/>
      <c r="B234" s="1917"/>
      <c r="C234" s="1117"/>
      <c r="D234" s="28" t="s">
        <v>257</v>
      </c>
      <c r="E234" s="94"/>
      <c r="F234" s="80">
        <v>140</v>
      </c>
      <c r="G234" s="80"/>
      <c r="H234" s="80"/>
      <c r="I234" s="80">
        <v>156</v>
      </c>
      <c r="J234" s="94"/>
      <c r="K234" s="28"/>
      <c r="L234" s="21"/>
    </row>
    <row r="235" spans="1:12" hidden="1" x14ac:dyDescent="0.25">
      <c r="A235" s="1220"/>
      <c r="B235" s="1917"/>
      <c r="C235" s="1117"/>
      <c r="D235" s="28" t="s">
        <v>263</v>
      </c>
      <c r="E235" s="94"/>
      <c r="F235" s="80">
        <v>20</v>
      </c>
      <c r="G235" s="80"/>
      <c r="H235" s="80"/>
      <c r="I235" s="80">
        <v>24</v>
      </c>
      <c r="J235" s="94"/>
      <c r="K235" s="28"/>
      <c r="L235" s="21"/>
    </row>
    <row r="236" spans="1:12" hidden="1" x14ac:dyDescent="0.25">
      <c r="A236" s="1220"/>
      <c r="B236" s="1917"/>
      <c r="C236" s="1117"/>
      <c r="D236" s="28" t="s">
        <v>357</v>
      </c>
      <c r="E236" s="94"/>
      <c r="F236" s="97">
        <f>(F235/F233)*100</f>
        <v>12.5</v>
      </c>
      <c r="G236" s="94"/>
      <c r="H236" s="94"/>
      <c r="I236" s="97">
        <f>I235/I233*100</f>
        <v>13.114754098360656</v>
      </c>
      <c r="J236" s="94"/>
      <c r="K236" s="28"/>
      <c r="L236" s="21"/>
    </row>
    <row r="237" spans="1:12" ht="14.85" hidden="1" customHeight="1" x14ac:dyDescent="0.25">
      <c r="A237" s="1220"/>
      <c r="B237" s="1917"/>
      <c r="C237" s="1117" t="s">
        <v>400</v>
      </c>
      <c r="D237" s="144" t="s">
        <v>251</v>
      </c>
      <c r="E237" s="94"/>
      <c r="F237" s="80">
        <v>145</v>
      </c>
      <c r="G237" s="80"/>
      <c r="H237" s="80"/>
      <c r="I237" s="80">
        <v>81</v>
      </c>
      <c r="J237" s="94"/>
      <c r="K237" s="28"/>
      <c r="L237" s="21"/>
    </row>
    <row r="238" spans="1:12" hidden="1" x14ac:dyDescent="0.25">
      <c r="A238" s="1220"/>
      <c r="B238" s="1917"/>
      <c r="C238" s="1117"/>
      <c r="D238" s="28" t="s">
        <v>257</v>
      </c>
      <c r="E238" s="94"/>
      <c r="F238" s="80">
        <v>120</v>
      </c>
      <c r="G238" s="80"/>
      <c r="H238" s="80"/>
      <c r="I238" s="80">
        <v>72</v>
      </c>
      <c r="J238" s="94"/>
      <c r="K238" s="28"/>
      <c r="L238" s="21"/>
    </row>
    <row r="239" spans="1:12" hidden="1" x14ac:dyDescent="0.25">
      <c r="A239" s="1220"/>
      <c r="B239" s="1917"/>
      <c r="C239" s="1117"/>
      <c r="D239" s="28" t="s">
        <v>263</v>
      </c>
      <c r="E239" s="94"/>
      <c r="F239" s="80">
        <v>20</v>
      </c>
      <c r="G239" s="80"/>
      <c r="H239" s="80"/>
      <c r="I239" s="80">
        <v>9</v>
      </c>
      <c r="J239" s="94"/>
      <c r="K239" s="28"/>
      <c r="L239" s="21"/>
    </row>
    <row r="240" spans="1:12" hidden="1" x14ac:dyDescent="0.25">
      <c r="A240" s="1220"/>
      <c r="B240" s="1917"/>
      <c r="C240" s="1117"/>
      <c r="D240" s="28" t="s">
        <v>357</v>
      </c>
      <c r="E240" s="94"/>
      <c r="F240" s="206">
        <f>(F239/F237)*100</f>
        <v>13.793103448275861</v>
      </c>
      <c r="G240" s="94"/>
      <c r="H240" s="94"/>
      <c r="I240" s="97">
        <f>I239/I237*100</f>
        <v>11.111111111111111</v>
      </c>
      <c r="J240" s="94"/>
      <c r="K240" s="28"/>
      <c r="L240" s="21"/>
    </row>
    <row r="241" spans="1:12" ht="14.85" hidden="1" customHeight="1" x14ac:dyDescent="0.25">
      <c r="A241" s="1220"/>
      <c r="B241" s="1917"/>
      <c r="C241" s="1117" t="s">
        <v>401</v>
      </c>
      <c r="D241" s="144" t="s">
        <v>251</v>
      </c>
      <c r="E241" s="94"/>
      <c r="F241" s="80">
        <v>70</v>
      </c>
      <c r="G241" s="80"/>
      <c r="H241" s="80"/>
      <c r="I241" s="80">
        <v>69</v>
      </c>
      <c r="J241" s="94"/>
      <c r="K241" s="28"/>
      <c r="L241" s="21"/>
    </row>
    <row r="242" spans="1:12" hidden="1" x14ac:dyDescent="0.25">
      <c r="A242" s="1220"/>
      <c r="B242" s="1917"/>
      <c r="C242" s="1117"/>
      <c r="D242" s="28" t="s">
        <v>257</v>
      </c>
      <c r="E242" s="94"/>
      <c r="F242" s="80">
        <v>70</v>
      </c>
      <c r="G242" s="80"/>
      <c r="H242" s="80"/>
      <c r="I242" s="80">
        <v>60</v>
      </c>
      <c r="J242" s="94"/>
      <c r="K242" s="28"/>
      <c r="L242" s="21"/>
    </row>
    <row r="243" spans="1:12" hidden="1" x14ac:dyDescent="0.25">
      <c r="A243" s="1220"/>
      <c r="B243" s="1917"/>
      <c r="C243" s="1117"/>
      <c r="D243" s="28" t="s">
        <v>263</v>
      </c>
      <c r="E243" s="94"/>
      <c r="F243" s="80">
        <v>0</v>
      </c>
      <c r="G243" s="80"/>
      <c r="H243" s="80"/>
      <c r="I243" s="80">
        <v>9</v>
      </c>
      <c r="J243" s="94"/>
      <c r="K243" s="28"/>
      <c r="L243" s="21"/>
    </row>
    <row r="244" spans="1:12" hidden="1" x14ac:dyDescent="0.25">
      <c r="A244" s="1220"/>
      <c r="B244" s="1917"/>
      <c r="C244" s="1117"/>
      <c r="D244" s="28" t="s">
        <v>357</v>
      </c>
      <c r="E244" s="94"/>
      <c r="F244" s="97">
        <f>(F243/F241)*100</f>
        <v>0</v>
      </c>
      <c r="G244" s="94"/>
      <c r="H244" s="94"/>
      <c r="I244" s="97">
        <f>I243/I241*100</f>
        <v>13.043478260869565</v>
      </c>
      <c r="J244" s="94"/>
      <c r="K244" s="28"/>
      <c r="L244" s="21"/>
    </row>
    <row r="245" spans="1:12" ht="14.85" hidden="1" customHeight="1" x14ac:dyDescent="0.25">
      <c r="A245" s="1220"/>
      <c r="B245" s="1917"/>
      <c r="C245" s="1117" t="s">
        <v>402</v>
      </c>
      <c r="D245" s="144" t="s">
        <v>251</v>
      </c>
      <c r="E245" s="94"/>
      <c r="F245" s="80">
        <v>190</v>
      </c>
      <c r="G245" s="80"/>
      <c r="H245" s="80"/>
      <c r="I245" s="80">
        <v>219</v>
      </c>
      <c r="J245" s="94"/>
      <c r="K245" s="28"/>
      <c r="L245" s="21"/>
    </row>
    <row r="246" spans="1:12" hidden="1" x14ac:dyDescent="0.25">
      <c r="A246" s="1220"/>
      <c r="B246" s="1917"/>
      <c r="C246" s="1117"/>
      <c r="D246" s="28" t="s">
        <v>257</v>
      </c>
      <c r="E246" s="94"/>
      <c r="F246" s="80">
        <v>190</v>
      </c>
      <c r="G246" s="80"/>
      <c r="H246" s="80"/>
      <c r="I246" s="80">
        <v>201</v>
      </c>
      <c r="J246" s="94"/>
      <c r="K246" s="28"/>
      <c r="L246" s="21"/>
    </row>
    <row r="247" spans="1:12" hidden="1" x14ac:dyDescent="0.25">
      <c r="A247" s="1220"/>
      <c r="B247" s="1917"/>
      <c r="C247" s="1117"/>
      <c r="D247" s="28" t="s">
        <v>263</v>
      </c>
      <c r="E247" s="94"/>
      <c r="F247" s="80">
        <v>0</v>
      </c>
      <c r="G247" s="80"/>
      <c r="H247" s="80"/>
      <c r="I247" s="80">
        <v>24</v>
      </c>
      <c r="J247" s="94"/>
      <c r="K247" s="28"/>
      <c r="L247" s="21"/>
    </row>
    <row r="248" spans="1:12" hidden="1" x14ac:dyDescent="0.25">
      <c r="A248" s="1220"/>
      <c r="B248" s="1917"/>
      <c r="C248" s="1117"/>
      <c r="D248" s="28" t="s">
        <v>357</v>
      </c>
      <c r="E248" s="94"/>
      <c r="F248" s="97">
        <f>(F247/F245)*100</f>
        <v>0</v>
      </c>
      <c r="G248" s="94"/>
      <c r="H248" s="94"/>
      <c r="I248" s="97">
        <f>I247/I245*100</f>
        <v>10.95890410958904</v>
      </c>
      <c r="J248" s="94"/>
      <c r="K248" s="28"/>
      <c r="L248" s="21"/>
    </row>
    <row r="249" spans="1:12" ht="14.85" hidden="1" customHeight="1" x14ac:dyDescent="0.25">
      <c r="A249" s="1220"/>
      <c r="B249" s="1917"/>
      <c r="C249" s="1117" t="s">
        <v>403</v>
      </c>
      <c r="D249" s="144" t="s">
        <v>251</v>
      </c>
      <c r="E249" s="94"/>
      <c r="F249" s="80">
        <v>220</v>
      </c>
      <c r="G249" s="80"/>
      <c r="H249" s="80"/>
      <c r="I249" s="80">
        <v>171</v>
      </c>
      <c r="J249" s="94"/>
      <c r="K249" s="28"/>
      <c r="L249" s="21"/>
    </row>
    <row r="250" spans="1:12" hidden="1" x14ac:dyDescent="0.25">
      <c r="A250" s="1220"/>
      <c r="B250" s="1917"/>
      <c r="C250" s="1117"/>
      <c r="D250" s="28" t="s">
        <v>257</v>
      </c>
      <c r="E250" s="94"/>
      <c r="F250" s="80">
        <v>205</v>
      </c>
      <c r="G250" s="80"/>
      <c r="H250" s="80"/>
      <c r="I250" s="80">
        <v>144</v>
      </c>
      <c r="J250" s="94"/>
      <c r="K250" s="28"/>
      <c r="L250" s="21"/>
    </row>
    <row r="251" spans="1:12" hidden="1" x14ac:dyDescent="0.25">
      <c r="A251" s="1220"/>
      <c r="B251" s="1917"/>
      <c r="C251" s="1117"/>
      <c r="D251" s="28" t="s">
        <v>263</v>
      </c>
      <c r="E251" s="94"/>
      <c r="F251" s="80">
        <v>15</v>
      </c>
      <c r="G251" s="80"/>
      <c r="H251" s="80"/>
      <c r="I251" s="80">
        <v>27</v>
      </c>
      <c r="J251" s="94"/>
      <c r="K251" s="28"/>
      <c r="L251" s="21"/>
    </row>
    <row r="252" spans="1:12" hidden="1" x14ac:dyDescent="0.25">
      <c r="A252" s="1220"/>
      <c r="B252" s="1917"/>
      <c r="C252" s="1117"/>
      <c r="D252" s="28" t="s">
        <v>357</v>
      </c>
      <c r="E252" s="94"/>
      <c r="F252" s="97">
        <f>(F251/F249)*100</f>
        <v>6.8181818181818175</v>
      </c>
      <c r="G252" s="94"/>
      <c r="H252" s="94"/>
      <c r="I252" s="97">
        <f>I251/I249*100</f>
        <v>15.789473684210526</v>
      </c>
      <c r="J252" s="94"/>
      <c r="K252" s="28"/>
      <c r="L252" s="21"/>
    </row>
    <row r="253" spans="1:12" ht="14.85" hidden="1" customHeight="1" x14ac:dyDescent="0.25">
      <c r="A253" s="1220"/>
      <c r="B253" s="1917"/>
      <c r="C253" s="1117" t="s">
        <v>404</v>
      </c>
      <c r="D253" s="144" t="s">
        <v>251</v>
      </c>
      <c r="E253" s="94"/>
      <c r="F253" s="80">
        <v>85</v>
      </c>
      <c r="G253" s="80"/>
      <c r="H253" s="80"/>
      <c r="I253" s="80">
        <v>33</v>
      </c>
      <c r="J253" s="94"/>
      <c r="K253" s="28"/>
      <c r="L253" s="21"/>
    </row>
    <row r="254" spans="1:12" ht="14.85" hidden="1" customHeight="1" x14ac:dyDescent="0.25">
      <c r="A254" s="1220"/>
      <c r="B254" s="1917"/>
      <c r="C254" s="1117"/>
      <c r="D254" s="28" t="s">
        <v>257</v>
      </c>
      <c r="E254" s="94"/>
      <c r="F254" s="80">
        <v>70</v>
      </c>
      <c r="G254" s="80"/>
      <c r="H254" s="80"/>
      <c r="I254" s="80">
        <v>21</v>
      </c>
      <c r="J254" s="94"/>
      <c r="K254" s="28"/>
      <c r="L254" s="21"/>
    </row>
    <row r="255" spans="1:12" hidden="1" x14ac:dyDescent="0.25">
      <c r="A255" s="1220"/>
      <c r="B255" s="1917"/>
      <c r="C255" s="1117"/>
      <c r="D255" s="28" t="s">
        <v>263</v>
      </c>
      <c r="E255" s="94"/>
      <c r="F255" s="80">
        <v>10</v>
      </c>
      <c r="G255" s="80"/>
      <c r="H255" s="80"/>
      <c r="I255" s="80">
        <v>9</v>
      </c>
      <c r="J255" s="94"/>
      <c r="K255" s="28"/>
      <c r="L255" s="21"/>
    </row>
    <row r="256" spans="1:12" hidden="1" x14ac:dyDescent="0.25">
      <c r="A256" s="1220"/>
      <c r="B256" s="1917"/>
      <c r="C256" s="1117"/>
      <c r="D256" s="28" t="s">
        <v>357</v>
      </c>
      <c r="E256" s="94"/>
      <c r="F256" s="97">
        <f>(F255/F253)*100</f>
        <v>11.76470588235294</v>
      </c>
      <c r="G256" s="94"/>
      <c r="H256" s="94"/>
      <c r="I256" s="97">
        <f>I255/I253*100</f>
        <v>27.27272727272727</v>
      </c>
      <c r="J256" s="94"/>
      <c r="K256" s="28"/>
      <c r="L256" s="21"/>
    </row>
    <row r="257" spans="1:12" ht="14.85" hidden="1" customHeight="1" x14ac:dyDescent="0.25">
      <c r="A257" s="1220"/>
      <c r="B257" s="1917"/>
      <c r="C257" s="1117" t="s">
        <v>405</v>
      </c>
      <c r="D257" s="144" t="s">
        <v>251</v>
      </c>
      <c r="E257" s="94"/>
      <c r="F257" s="80">
        <v>30</v>
      </c>
      <c r="G257" s="80"/>
      <c r="H257" s="80"/>
      <c r="I257" s="80">
        <v>39</v>
      </c>
      <c r="J257" s="94"/>
      <c r="K257" s="28"/>
      <c r="L257" s="21"/>
    </row>
    <row r="258" spans="1:12" hidden="1" x14ac:dyDescent="0.25">
      <c r="A258" s="1220"/>
      <c r="B258" s="1917"/>
      <c r="C258" s="1117"/>
      <c r="D258" s="28" t="s">
        <v>257</v>
      </c>
      <c r="E258" s="94"/>
      <c r="F258" s="80">
        <v>30</v>
      </c>
      <c r="G258" s="80"/>
      <c r="H258" s="80"/>
      <c r="I258" s="80">
        <v>24</v>
      </c>
      <c r="J258" s="94"/>
      <c r="K258" s="28"/>
      <c r="L258" s="21"/>
    </row>
    <row r="259" spans="1:12" hidden="1" x14ac:dyDescent="0.25">
      <c r="A259" s="1220"/>
      <c r="B259" s="1917"/>
      <c r="C259" s="1117"/>
      <c r="D259" s="28" t="s">
        <v>263</v>
      </c>
      <c r="E259" s="94"/>
      <c r="F259" s="80">
        <v>0</v>
      </c>
      <c r="G259" s="80"/>
      <c r="H259" s="80"/>
      <c r="I259" s="80">
        <v>18</v>
      </c>
      <c r="J259" s="94"/>
      <c r="K259" s="28"/>
      <c r="L259" s="21"/>
    </row>
    <row r="260" spans="1:12" hidden="1" x14ac:dyDescent="0.25">
      <c r="A260" s="1220"/>
      <c r="B260" s="1917"/>
      <c r="C260" s="1117"/>
      <c r="D260" s="28" t="s">
        <v>357</v>
      </c>
      <c r="E260" s="94"/>
      <c r="F260" s="97">
        <f>(F259/F257)*100</f>
        <v>0</v>
      </c>
      <c r="G260" s="94"/>
      <c r="H260" s="94"/>
      <c r="I260" s="98">
        <f>I259/I257*100</f>
        <v>46.153846153846153</v>
      </c>
      <c r="J260" s="94"/>
      <c r="K260" s="28"/>
      <c r="L260" s="21"/>
    </row>
    <row r="261" spans="1:12" ht="14.85" hidden="1" customHeight="1" x14ac:dyDescent="0.25">
      <c r="A261" s="1220"/>
      <c r="B261" s="1917"/>
      <c r="C261" s="1117" t="s">
        <v>406</v>
      </c>
      <c r="D261" s="144" t="s">
        <v>251</v>
      </c>
      <c r="E261" s="94"/>
      <c r="F261" s="80">
        <v>60</v>
      </c>
      <c r="G261" s="80"/>
      <c r="H261" s="80"/>
      <c r="I261" s="80">
        <v>57</v>
      </c>
      <c r="J261" s="94"/>
      <c r="K261" s="28"/>
      <c r="L261" s="21"/>
    </row>
    <row r="262" spans="1:12" hidden="1" x14ac:dyDescent="0.25">
      <c r="A262" s="1220"/>
      <c r="B262" s="1917"/>
      <c r="C262" s="1117"/>
      <c r="D262" s="28" t="s">
        <v>257</v>
      </c>
      <c r="E262" s="94"/>
      <c r="F262" s="80">
        <v>50</v>
      </c>
      <c r="G262" s="80"/>
      <c r="H262" s="80"/>
      <c r="I262" s="80">
        <v>36</v>
      </c>
      <c r="J262" s="94"/>
      <c r="K262" s="28"/>
      <c r="L262" s="21"/>
    </row>
    <row r="263" spans="1:12" hidden="1" x14ac:dyDescent="0.25">
      <c r="A263" s="1220"/>
      <c r="B263" s="1917"/>
      <c r="C263" s="1117"/>
      <c r="D263" s="28" t="s">
        <v>263</v>
      </c>
      <c r="E263" s="94"/>
      <c r="F263" s="80">
        <v>10</v>
      </c>
      <c r="G263" s="80"/>
      <c r="H263" s="80"/>
      <c r="I263" s="80">
        <v>21</v>
      </c>
      <c r="J263" s="94"/>
      <c r="K263" s="28"/>
      <c r="L263" s="21"/>
    </row>
    <row r="264" spans="1:12" hidden="1" x14ac:dyDescent="0.25">
      <c r="A264" s="1220"/>
      <c r="B264" s="1917"/>
      <c r="C264" s="1117"/>
      <c r="D264" s="28" t="s">
        <v>357</v>
      </c>
      <c r="E264" s="94"/>
      <c r="F264" s="97">
        <f>(F263/F261)*100</f>
        <v>16.666666666666664</v>
      </c>
      <c r="G264" s="94"/>
      <c r="H264" s="94"/>
      <c r="I264" s="97">
        <f>I263/I261*100</f>
        <v>36.84210526315789</v>
      </c>
      <c r="J264" s="94"/>
      <c r="K264" s="28"/>
      <c r="L264" s="21"/>
    </row>
    <row r="265" spans="1:12" ht="14.85" hidden="1" customHeight="1" x14ac:dyDescent="0.25">
      <c r="A265" s="1220"/>
      <c r="B265" s="1917"/>
      <c r="C265" s="1117" t="s">
        <v>407</v>
      </c>
      <c r="D265" s="144" t="s">
        <v>251</v>
      </c>
      <c r="E265" s="94"/>
      <c r="F265" s="80">
        <v>65</v>
      </c>
      <c r="G265" s="80"/>
      <c r="H265" s="80"/>
      <c r="I265" s="80">
        <v>57</v>
      </c>
      <c r="J265" s="94"/>
      <c r="K265" s="28"/>
      <c r="L265" s="21"/>
    </row>
    <row r="266" spans="1:12" hidden="1" x14ac:dyDescent="0.25">
      <c r="A266" s="1220"/>
      <c r="B266" s="1917"/>
      <c r="C266" s="1117"/>
      <c r="D266" s="28" t="s">
        <v>257</v>
      </c>
      <c r="E266" s="94"/>
      <c r="F266" s="80">
        <v>40</v>
      </c>
      <c r="G266" s="80"/>
      <c r="H266" s="80"/>
      <c r="I266" s="80">
        <v>39</v>
      </c>
      <c r="J266" s="94"/>
      <c r="K266" s="28"/>
      <c r="L266" s="21"/>
    </row>
    <row r="267" spans="1:12" hidden="1" x14ac:dyDescent="0.25">
      <c r="A267" s="1220"/>
      <c r="B267" s="1917"/>
      <c r="C267" s="1117"/>
      <c r="D267" s="28" t="s">
        <v>263</v>
      </c>
      <c r="E267" s="94"/>
      <c r="F267" s="80">
        <v>25</v>
      </c>
      <c r="G267" s="80"/>
      <c r="H267" s="80"/>
      <c r="I267" s="80">
        <v>18</v>
      </c>
      <c r="J267" s="94"/>
      <c r="K267" s="28"/>
      <c r="L267" s="21"/>
    </row>
    <row r="268" spans="1:12" hidden="1" x14ac:dyDescent="0.25">
      <c r="A268" s="1220"/>
      <c r="B268" s="1917"/>
      <c r="C268" s="1117"/>
      <c r="D268" s="28" t="s">
        <v>357</v>
      </c>
      <c r="E268" s="94"/>
      <c r="F268" s="97">
        <f>(F267/F265)*100</f>
        <v>38.461538461538467</v>
      </c>
      <c r="G268" s="94"/>
      <c r="H268" s="94"/>
      <c r="I268" s="97">
        <f>I267/I265*100</f>
        <v>31.578947368421051</v>
      </c>
      <c r="J268" s="94"/>
      <c r="K268" s="28"/>
      <c r="L268" s="21"/>
    </row>
    <row r="269" spans="1:12" ht="14.85" hidden="1" customHeight="1" x14ac:dyDescent="0.25">
      <c r="A269" s="1220"/>
      <c r="B269" s="1917"/>
      <c r="C269" s="1117" t="s">
        <v>408</v>
      </c>
      <c r="D269" s="144" t="s">
        <v>251</v>
      </c>
      <c r="E269" s="94"/>
      <c r="F269" s="80">
        <v>50</v>
      </c>
      <c r="G269" s="80"/>
      <c r="H269" s="80"/>
      <c r="I269" s="80">
        <v>33</v>
      </c>
      <c r="J269" s="94"/>
      <c r="K269" s="28"/>
      <c r="L269" s="21"/>
    </row>
    <row r="270" spans="1:12" hidden="1" x14ac:dyDescent="0.25">
      <c r="A270" s="1220"/>
      <c r="B270" s="1917"/>
      <c r="C270" s="1117"/>
      <c r="D270" s="28" t="s">
        <v>257</v>
      </c>
      <c r="E270" s="94"/>
      <c r="F270" s="80">
        <v>50</v>
      </c>
      <c r="G270" s="80"/>
      <c r="H270" s="80"/>
      <c r="I270" s="80">
        <v>27</v>
      </c>
      <c r="J270" s="94"/>
      <c r="K270" s="28"/>
      <c r="L270" s="21"/>
    </row>
    <row r="271" spans="1:12" hidden="1" x14ac:dyDescent="0.25">
      <c r="A271" s="1220"/>
      <c r="B271" s="1917"/>
      <c r="C271" s="1117"/>
      <c r="D271" s="28" t="s">
        <v>263</v>
      </c>
      <c r="E271" s="94"/>
      <c r="F271" s="80">
        <v>0</v>
      </c>
      <c r="G271" s="80"/>
      <c r="H271" s="80"/>
      <c r="I271" s="80">
        <v>6</v>
      </c>
      <c r="J271" s="94"/>
      <c r="K271" s="28"/>
      <c r="L271" s="21"/>
    </row>
    <row r="272" spans="1:12" hidden="1" x14ac:dyDescent="0.25">
      <c r="A272" s="1220"/>
      <c r="B272" s="1917"/>
      <c r="C272" s="1117"/>
      <c r="D272" s="28" t="s">
        <v>357</v>
      </c>
      <c r="E272" s="94"/>
      <c r="F272" s="97">
        <f>(F271/F269)*100</f>
        <v>0</v>
      </c>
      <c r="G272" s="94"/>
      <c r="H272" s="94"/>
      <c r="I272" s="97">
        <f>I271/I269*100</f>
        <v>18.181818181818183</v>
      </c>
      <c r="J272" s="94"/>
      <c r="K272" s="28"/>
      <c r="L272" s="21"/>
    </row>
    <row r="273" spans="1:12" ht="14.85" hidden="1" customHeight="1" x14ac:dyDescent="0.25">
      <c r="A273" s="1220"/>
      <c r="B273" s="1917"/>
      <c r="C273" s="1117" t="s">
        <v>409</v>
      </c>
      <c r="D273" s="144" t="s">
        <v>251</v>
      </c>
      <c r="E273" s="94"/>
      <c r="F273" s="80">
        <v>60</v>
      </c>
      <c r="G273" s="80"/>
      <c r="H273" s="80"/>
      <c r="I273" s="80">
        <v>45</v>
      </c>
      <c r="J273" s="94"/>
      <c r="K273" s="28"/>
      <c r="L273" s="21"/>
    </row>
    <row r="274" spans="1:12" ht="14.85" hidden="1" customHeight="1" x14ac:dyDescent="0.25">
      <c r="A274" s="1220"/>
      <c r="B274" s="1917"/>
      <c r="C274" s="1117"/>
      <c r="D274" s="28" t="s">
        <v>257</v>
      </c>
      <c r="E274" s="94"/>
      <c r="F274" s="80">
        <v>60</v>
      </c>
      <c r="G274" s="80"/>
      <c r="H274" s="80"/>
      <c r="I274" s="80">
        <v>39</v>
      </c>
      <c r="J274" s="94"/>
      <c r="K274" s="28"/>
      <c r="L274" s="21"/>
    </row>
    <row r="275" spans="1:12" hidden="1" x14ac:dyDescent="0.25">
      <c r="A275" s="1220"/>
      <c r="B275" s="1917"/>
      <c r="C275" s="1117"/>
      <c r="D275" s="28" t="s">
        <v>263</v>
      </c>
      <c r="E275" s="94"/>
      <c r="F275" s="80">
        <v>0</v>
      </c>
      <c r="G275" s="80"/>
      <c r="H275" s="80"/>
      <c r="I275" s="80">
        <v>3</v>
      </c>
      <c r="J275" s="94"/>
      <c r="K275" s="28"/>
      <c r="L275" s="21"/>
    </row>
    <row r="276" spans="1:12" hidden="1" x14ac:dyDescent="0.25">
      <c r="A276" s="1220"/>
      <c r="B276" s="1917"/>
      <c r="C276" s="1117"/>
      <c r="D276" s="28" t="s">
        <v>357</v>
      </c>
      <c r="E276" s="94"/>
      <c r="F276" s="97">
        <f>(F275/F273)*100</f>
        <v>0</v>
      </c>
      <c r="G276" s="94"/>
      <c r="H276" s="94"/>
      <c r="I276" s="97">
        <f>I275/I273*100</f>
        <v>6.666666666666667</v>
      </c>
      <c r="J276" s="94"/>
      <c r="K276" s="28"/>
      <c r="L276" s="21"/>
    </row>
    <row r="277" spans="1:12" ht="14.85" hidden="1" customHeight="1" x14ac:dyDescent="0.25">
      <c r="A277" s="1220"/>
      <c r="B277" s="1917"/>
      <c r="C277" s="1117" t="s">
        <v>410</v>
      </c>
      <c r="D277" s="144" t="s">
        <v>251</v>
      </c>
      <c r="E277" s="94"/>
      <c r="F277" s="80">
        <v>290</v>
      </c>
      <c r="G277" s="80"/>
      <c r="H277" s="80"/>
      <c r="I277" s="80">
        <v>462</v>
      </c>
      <c r="J277" s="94"/>
      <c r="K277" s="28"/>
      <c r="L277" s="21"/>
    </row>
    <row r="278" spans="1:12" hidden="1" x14ac:dyDescent="0.25">
      <c r="A278" s="1220"/>
      <c r="B278" s="1917"/>
      <c r="C278" s="1117"/>
      <c r="D278" s="28" t="s">
        <v>257</v>
      </c>
      <c r="E278" s="94"/>
      <c r="F278" s="80">
        <v>255</v>
      </c>
      <c r="G278" s="80"/>
      <c r="H278" s="80"/>
      <c r="I278" s="80">
        <v>417</v>
      </c>
      <c r="J278" s="94"/>
      <c r="K278" s="28"/>
      <c r="L278" s="21"/>
    </row>
    <row r="279" spans="1:12" hidden="1" x14ac:dyDescent="0.25">
      <c r="A279" s="1220"/>
      <c r="B279" s="1917"/>
      <c r="C279" s="1117"/>
      <c r="D279" s="28" t="s">
        <v>263</v>
      </c>
      <c r="E279" s="94"/>
      <c r="F279" s="80">
        <v>35</v>
      </c>
      <c r="G279" s="80"/>
      <c r="H279" s="80"/>
      <c r="I279" s="80">
        <v>45</v>
      </c>
      <c r="J279" s="94"/>
      <c r="K279" s="28"/>
      <c r="L279" s="21"/>
    </row>
    <row r="280" spans="1:12" hidden="1" x14ac:dyDescent="0.25">
      <c r="A280" s="1220"/>
      <c r="B280" s="1917"/>
      <c r="C280" s="1117"/>
      <c r="D280" s="28" t="s">
        <v>357</v>
      </c>
      <c r="E280" s="94"/>
      <c r="F280" s="97">
        <f>(F279/F277)*100</f>
        <v>12.068965517241379</v>
      </c>
      <c r="G280" s="94"/>
      <c r="H280" s="94"/>
      <c r="I280" s="97">
        <f>I279/I277*100</f>
        <v>9.7402597402597415</v>
      </c>
      <c r="J280" s="94"/>
      <c r="K280" s="28"/>
      <c r="L280" s="21"/>
    </row>
    <row r="281" spans="1:12" hidden="1" x14ac:dyDescent="0.25">
      <c r="A281" s="1220"/>
      <c r="B281" s="1917"/>
      <c r="C281" s="1117" t="s">
        <v>411</v>
      </c>
      <c r="D281" s="144" t="s">
        <v>251</v>
      </c>
      <c r="E281" s="94"/>
      <c r="F281" s="80">
        <v>300</v>
      </c>
      <c r="G281" s="80"/>
      <c r="H281" s="80"/>
      <c r="I281" s="80">
        <v>324</v>
      </c>
      <c r="J281" s="94"/>
      <c r="K281" s="28"/>
      <c r="L281" s="21"/>
    </row>
    <row r="282" spans="1:12" hidden="1" x14ac:dyDescent="0.25">
      <c r="A282" s="1220"/>
      <c r="B282" s="1917"/>
      <c r="C282" s="1117"/>
      <c r="D282" s="28" t="s">
        <v>257</v>
      </c>
      <c r="E282" s="94"/>
      <c r="F282" s="80">
        <v>0</v>
      </c>
      <c r="G282" s="80"/>
      <c r="H282" s="80"/>
      <c r="I282" s="80">
        <v>6</v>
      </c>
      <c r="J282" s="94"/>
      <c r="K282" s="28"/>
      <c r="L282" s="21"/>
    </row>
    <row r="283" spans="1:12" hidden="1" x14ac:dyDescent="0.25">
      <c r="A283" s="1220"/>
      <c r="B283" s="1917"/>
      <c r="C283" s="1117"/>
      <c r="D283" s="28" t="s">
        <v>263</v>
      </c>
      <c r="E283" s="94"/>
      <c r="F283" s="80">
        <v>300</v>
      </c>
      <c r="G283" s="80"/>
      <c r="H283" s="80"/>
      <c r="I283" s="80">
        <v>315</v>
      </c>
      <c r="J283" s="94"/>
      <c r="K283" s="28"/>
      <c r="L283" s="21"/>
    </row>
    <row r="284" spans="1:12" hidden="1" x14ac:dyDescent="0.25">
      <c r="A284" s="1220"/>
      <c r="B284" s="1917"/>
      <c r="C284" s="1117"/>
      <c r="D284" s="28" t="s">
        <v>357</v>
      </c>
      <c r="E284" s="94"/>
      <c r="F284" s="99">
        <f>(F283/F281)*100</f>
        <v>100</v>
      </c>
      <c r="G284" s="94"/>
      <c r="H284" s="94"/>
      <c r="I284" s="99">
        <f>I283/I281*100</f>
        <v>97.222222222222214</v>
      </c>
      <c r="J284" s="94"/>
      <c r="K284" s="28"/>
      <c r="L284" s="21"/>
    </row>
    <row r="285" spans="1:12" ht="14.85" hidden="1" customHeight="1" x14ac:dyDescent="0.25">
      <c r="A285" s="1220"/>
      <c r="B285" s="1917"/>
      <c r="C285" s="1117" t="s">
        <v>412</v>
      </c>
      <c r="D285" s="144" t="s">
        <v>251</v>
      </c>
      <c r="E285" s="94"/>
      <c r="F285" s="80">
        <v>415</v>
      </c>
      <c r="G285" s="80"/>
      <c r="H285" s="80"/>
      <c r="I285" s="80">
        <v>570</v>
      </c>
      <c r="J285" s="94"/>
      <c r="K285" s="28"/>
      <c r="L285" s="21"/>
    </row>
    <row r="286" spans="1:12" hidden="1" x14ac:dyDescent="0.25">
      <c r="A286" s="1220"/>
      <c r="B286" s="1917"/>
      <c r="C286" s="1117"/>
      <c r="D286" s="28" t="s">
        <v>257</v>
      </c>
      <c r="E286" s="94"/>
      <c r="F286" s="80">
        <v>80</v>
      </c>
      <c r="G286" s="80"/>
      <c r="H286" s="80"/>
      <c r="I286" s="80">
        <v>159</v>
      </c>
      <c r="J286" s="94"/>
      <c r="K286" s="28"/>
      <c r="L286" s="21"/>
    </row>
    <row r="287" spans="1:12" hidden="1" x14ac:dyDescent="0.25">
      <c r="A287" s="1220"/>
      <c r="B287" s="1917"/>
      <c r="C287" s="1117"/>
      <c r="D287" s="28" t="s">
        <v>263</v>
      </c>
      <c r="E287" s="94"/>
      <c r="F287" s="80">
        <v>335</v>
      </c>
      <c r="G287" s="80"/>
      <c r="H287" s="80"/>
      <c r="I287" s="80">
        <v>414</v>
      </c>
      <c r="J287" s="94"/>
      <c r="K287" s="28"/>
      <c r="L287" s="21"/>
    </row>
    <row r="288" spans="1:12" hidden="1" x14ac:dyDescent="0.25">
      <c r="A288" s="1220"/>
      <c r="B288" s="1917"/>
      <c r="C288" s="1117"/>
      <c r="D288" s="28" t="s">
        <v>357</v>
      </c>
      <c r="E288" s="94"/>
      <c r="F288" s="99">
        <f>(F287/F285)*100</f>
        <v>80.722891566265062</v>
      </c>
      <c r="G288" s="94"/>
      <c r="H288" s="94"/>
      <c r="I288" s="99">
        <f>I287/I285*100</f>
        <v>72.631578947368425</v>
      </c>
      <c r="J288" s="94"/>
      <c r="K288" s="28"/>
      <c r="L288" s="21"/>
    </row>
    <row r="289" spans="1:12" ht="14.85" hidden="1" customHeight="1" x14ac:dyDescent="0.25">
      <c r="A289" s="1220"/>
      <c r="B289" s="1917"/>
      <c r="C289" s="1117" t="s">
        <v>413</v>
      </c>
      <c r="D289" s="144" t="s">
        <v>251</v>
      </c>
      <c r="E289" s="94"/>
      <c r="F289" s="80">
        <v>110</v>
      </c>
      <c r="G289" s="80"/>
      <c r="H289" s="80"/>
      <c r="I289" s="80">
        <v>63</v>
      </c>
      <c r="J289" s="94"/>
      <c r="K289" s="28"/>
      <c r="L289" s="21"/>
    </row>
    <row r="290" spans="1:12" ht="14.85" hidden="1" customHeight="1" x14ac:dyDescent="0.25">
      <c r="A290" s="1220"/>
      <c r="B290" s="1917"/>
      <c r="C290" s="1117"/>
      <c r="D290" s="28" t="s">
        <v>257</v>
      </c>
      <c r="E290" s="94"/>
      <c r="F290" s="80">
        <v>15</v>
      </c>
      <c r="G290" s="80"/>
      <c r="H290" s="80"/>
      <c r="I290" s="80">
        <v>27</v>
      </c>
      <c r="J290" s="94"/>
      <c r="K290" s="28"/>
      <c r="L290" s="21"/>
    </row>
    <row r="291" spans="1:12" hidden="1" x14ac:dyDescent="0.25">
      <c r="A291" s="1220"/>
      <c r="B291" s="1917"/>
      <c r="C291" s="1117"/>
      <c r="D291" s="28" t="s">
        <v>263</v>
      </c>
      <c r="E291" s="94"/>
      <c r="F291" s="80">
        <v>90</v>
      </c>
      <c r="G291" s="80"/>
      <c r="H291" s="80"/>
      <c r="I291" s="80">
        <v>33</v>
      </c>
      <c r="J291" s="94"/>
      <c r="K291" s="28"/>
      <c r="L291" s="21"/>
    </row>
    <row r="292" spans="1:12" hidden="1" x14ac:dyDescent="0.25">
      <c r="A292" s="1220"/>
      <c r="B292" s="1917"/>
      <c r="C292" s="1117"/>
      <c r="D292" s="28" t="s">
        <v>357</v>
      </c>
      <c r="E292" s="94"/>
      <c r="F292" s="99">
        <f>(F291/F289)*100</f>
        <v>81.818181818181827</v>
      </c>
      <c r="G292" s="94"/>
      <c r="H292" s="94"/>
      <c r="I292" s="98">
        <f>I291/I289*100</f>
        <v>52.380952380952387</v>
      </c>
      <c r="J292" s="94"/>
      <c r="K292" s="28"/>
      <c r="L292" s="21"/>
    </row>
    <row r="293" spans="1:12" ht="14.85" hidden="1" customHeight="1" x14ac:dyDescent="0.25">
      <c r="A293" s="1220"/>
      <c r="B293" s="1917"/>
      <c r="C293" s="1117" t="s">
        <v>414</v>
      </c>
      <c r="D293" s="144" t="s">
        <v>251</v>
      </c>
      <c r="E293" s="94"/>
      <c r="F293" s="80">
        <v>180</v>
      </c>
      <c r="G293" s="80"/>
      <c r="H293" s="80"/>
      <c r="I293" s="80">
        <v>177</v>
      </c>
      <c r="J293" s="94"/>
      <c r="K293" s="28"/>
      <c r="L293" s="21"/>
    </row>
    <row r="294" spans="1:12" ht="14.85" hidden="1" customHeight="1" x14ac:dyDescent="0.25">
      <c r="A294" s="1220"/>
      <c r="B294" s="1917"/>
      <c r="C294" s="1117"/>
      <c r="D294" s="28" t="s">
        <v>257</v>
      </c>
      <c r="E294" s="94"/>
      <c r="F294" s="80">
        <v>135</v>
      </c>
      <c r="G294" s="80"/>
      <c r="H294" s="80"/>
      <c r="I294" s="80">
        <v>114</v>
      </c>
      <c r="J294" s="94"/>
      <c r="K294" s="28"/>
      <c r="L294" s="21"/>
    </row>
    <row r="295" spans="1:12" hidden="1" x14ac:dyDescent="0.25">
      <c r="A295" s="1220"/>
      <c r="B295" s="1917"/>
      <c r="C295" s="1117"/>
      <c r="D295" s="28" t="s">
        <v>263</v>
      </c>
      <c r="E295" s="94"/>
      <c r="F295" s="80">
        <v>45</v>
      </c>
      <c r="G295" s="80"/>
      <c r="H295" s="80"/>
      <c r="I295" s="80">
        <v>60</v>
      </c>
      <c r="J295" s="94"/>
      <c r="K295" s="28"/>
      <c r="L295" s="21"/>
    </row>
    <row r="296" spans="1:12" hidden="1" x14ac:dyDescent="0.25">
      <c r="A296" s="1220"/>
      <c r="B296" s="1917"/>
      <c r="C296" s="1117"/>
      <c r="D296" s="28" t="s">
        <v>357</v>
      </c>
      <c r="E296" s="94"/>
      <c r="F296" s="97">
        <f>(F295/F293)*100</f>
        <v>25</v>
      </c>
      <c r="G296" s="94"/>
      <c r="H296" s="94"/>
      <c r="I296" s="97">
        <f>I295/I293*100</f>
        <v>33.898305084745758</v>
      </c>
      <c r="J296" s="94"/>
      <c r="K296" s="28"/>
      <c r="L296" s="21"/>
    </row>
    <row r="297" spans="1:12" ht="14.85" hidden="1" customHeight="1" x14ac:dyDescent="0.25">
      <c r="A297" s="1220"/>
      <c r="B297" s="1917"/>
      <c r="C297" s="1117" t="s">
        <v>415</v>
      </c>
      <c r="D297" s="144" t="s">
        <v>251</v>
      </c>
      <c r="E297" s="94"/>
      <c r="F297" s="80">
        <v>10</v>
      </c>
      <c r="G297" s="80"/>
      <c r="H297" s="80"/>
      <c r="I297" s="80">
        <v>15</v>
      </c>
      <c r="J297" s="94"/>
      <c r="K297" s="28"/>
      <c r="L297" s="21"/>
    </row>
    <row r="298" spans="1:12" hidden="1" x14ac:dyDescent="0.25">
      <c r="A298" s="1220"/>
      <c r="B298" s="1917"/>
      <c r="C298" s="1117"/>
      <c r="D298" s="28" t="s">
        <v>257</v>
      </c>
      <c r="E298" s="94"/>
      <c r="F298" s="80">
        <v>10</v>
      </c>
      <c r="G298" s="80"/>
      <c r="H298" s="80"/>
      <c r="I298" s="80">
        <v>12</v>
      </c>
      <c r="J298" s="94"/>
      <c r="K298" s="28"/>
      <c r="L298" s="21"/>
    </row>
    <row r="299" spans="1:12" hidden="1" x14ac:dyDescent="0.25">
      <c r="A299" s="1220"/>
      <c r="B299" s="1917"/>
      <c r="C299" s="1117"/>
      <c r="D299" s="28" t="s">
        <v>263</v>
      </c>
      <c r="E299" s="94"/>
      <c r="F299" s="80">
        <v>0</v>
      </c>
      <c r="G299" s="80"/>
      <c r="H299" s="80"/>
      <c r="I299" s="80">
        <v>3</v>
      </c>
      <c r="J299" s="94"/>
      <c r="K299" s="28"/>
      <c r="L299" s="21"/>
    </row>
    <row r="300" spans="1:12" hidden="1" x14ac:dyDescent="0.25">
      <c r="A300" s="1220"/>
      <c r="B300" s="1917"/>
      <c r="C300" s="1117"/>
      <c r="D300" s="28" t="s">
        <v>357</v>
      </c>
      <c r="E300" s="94"/>
      <c r="F300" s="97">
        <f>(F299/F297)*100</f>
        <v>0</v>
      </c>
      <c r="G300" s="94"/>
      <c r="H300" s="94"/>
      <c r="I300" s="97">
        <f>I299/I297*100</f>
        <v>20</v>
      </c>
      <c r="J300" s="94"/>
      <c r="K300" s="28"/>
      <c r="L300" s="21"/>
    </row>
    <row r="301" spans="1:12" ht="14.85" hidden="1" customHeight="1" x14ac:dyDescent="0.25">
      <c r="A301" s="1220"/>
      <c r="B301" s="1917"/>
      <c r="C301" s="1117" t="s">
        <v>416</v>
      </c>
      <c r="D301" s="144" t="s">
        <v>251</v>
      </c>
      <c r="E301" s="94"/>
      <c r="F301" s="80">
        <v>15</v>
      </c>
      <c r="G301" s="80"/>
      <c r="H301" s="80"/>
      <c r="I301" s="80">
        <v>15</v>
      </c>
      <c r="J301" s="94"/>
      <c r="K301" s="28"/>
      <c r="L301" s="21"/>
    </row>
    <row r="302" spans="1:12" hidden="1" x14ac:dyDescent="0.25">
      <c r="A302" s="1220"/>
      <c r="B302" s="1917"/>
      <c r="C302" s="1117"/>
      <c r="D302" s="28" t="s">
        <v>257</v>
      </c>
      <c r="E302" s="94"/>
      <c r="F302" s="80">
        <v>0</v>
      </c>
      <c r="G302" s="80"/>
      <c r="H302" s="80"/>
      <c r="I302" s="80">
        <v>12</v>
      </c>
      <c r="J302" s="94"/>
      <c r="K302" s="28"/>
      <c r="L302" s="21"/>
    </row>
    <row r="303" spans="1:12" hidden="1" x14ac:dyDescent="0.25">
      <c r="A303" s="1220"/>
      <c r="B303" s="1917"/>
      <c r="C303" s="1117"/>
      <c r="D303" s="28" t="s">
        <v>263</v>
      </c>
      <c r="E303" s="94"/>
      <c r="F303" s="80">
        <v>15</v>
      </c>
      <c r="G303" s="80"/>
      <c r="H303" s="80"/>
      <c r="I303" s="80">
        <v>0</v>
      </c>
      <c r="J303" s="94"/>
      <c r="K303" s="28"/>
      <c r="L303" s="21"/>
    </row>
    <row r="304" spans="1:12" hidden="1" x14ac:dyDescent="0.25">
      <c r="A304" s="1220"/>
      <c r="B304" s="1917"/>
      <c r="C304" s="1117"/>
      <c r="D304" s="28" t="s">
        <v>357</v>
      </c>
      <c r="E304" s="94"/>
      <c r="F304" s="99">
        <f>(F303/F301)*100</f>
        <v>100</v>
      </c>
      <c r="G304" s="94"/>
      <c r="H304" s="94"/>
      <c r="I304" s="97">
        <f>I303/I301*100</f>
        <v>0</v>
      </c>
      <c r="J304" s="94"/>
      <c r="K304" s="28"/>
      <c r="L304" s="21"/>
    </row>
    <row r="305" spans="1:15" ht="14.85" hidden="1" customHeight="1" x14ac:dyDescent="0.25">
      <c r="A305" s="1220"/>
      <c r="B305" s="1917"/>
      <c r="C305" s="1117" t="s">
        <v>417</v>
      </c>
      <c r="D305" s="144" t="s">
        <v>251</v>
      </c>
      <c r="E305" s="94"/>
      <c r="F305" s="80">
        <v>10</v>
      </c>
      <c r="G305" s="80"/>
      <c r="H305" s="80"/>
      <c r="I305" s="80">
        <v>126</v>
      </c>
      <c r="J305" s="94"/>
      <c r="K305" s="28"/>
      <c r="L305" s="21"/>
    </row>
    <row r="306" spans="1:15" hidden="1" x14ac:dyDescent="0.25">
      <c r="A306" s="1220"/>
      <c r="B306" s="1917"/>
      <c r="C306" s="1117"/>
      <c r="D306" s="28" t="s">
        <v>257</v>
      </c>
      <c r="E306" s="94"/>
      <c r="F306" s="80">
        <v>10</v>
      </c>
      <c r="G306" s="80"/>
      <c r="H306" s="80"/>
      <c r="I306" s="80">
        <v>78</v>
      </c>
      <c r="J306" s="94"/>
      <c r="K306" s="28"/>
      <c r="L306" s="21"/>
    </row>
    <row r="307" spans="1:15" hidden="1" x14ac:dyDescent="0.25">
      <c r="A307" s="1220"/>
      <c r="B307" s="1917"/>
      <c r="C307" s="1117"/>
      <c r="D307" s="28" t="s">
        <v>263</v>
      </c>
      <c r="E307" s="94"/>
      <c r="F307" s="80">
        <v>0</v>
      </c>
      <c r="G307" s="80"/>
      <c r="H307" s="80"/>
      <c r="I307" s="80">
        <v>51</v>
      </c>
      <c r="J307" s="94"/>
      <c r="K307" s="28"/>
      <c r="L307" s="21"/>
    </row>
    <row r="308" spans="1:15" hidden="1" x14ac:dyDescent="0.25">
      <c r="A308" s="1220"/>
      <c r="B308" s="1917"/>
      <c r="C308" s="1117"/>
      <c r="D308" s="28" t="s">
        <v>357</v>
      </c>
      <c r="E308" s="94"/>
      <c r="F308" s="97">
        <f>F307/F305*100</f>
        <v>0</v>
      </c>
      <c r="G308" s="94"/>
      <c r="H308" s="94"/>
      <c r="I308" s="98">
        <f>I307/I305*100</f>
        <v>40.476190476190474</v>
      </c>
      <c r="J308" s="94"/>
      <c r="K308" s="28"/>
      <c r="L308" s="21"/>
    </row>
    <row r="309" spans="1:15" ht="14.85" hidden="1" customHeight="1" x14ac:dyDescent="0.25">
      <c r="A309" s="1220"/>
      <c r="B309" s="1917"/>
      <c r="C309" s="1117" t="s">
        <v>418</v>
      </c>
      <c r="D309" s="144" t="s">
        <v>251</v>
      </c>
      <c r="E309" s="94"/>
      <c r="F309" s="80">
        <v>220</v>
      </c>
      <c r="G309" s="80"/>
      <c r="H309" s="80"/>
      <c r="I309" s="80">
        <v>306</v>
      </c>
      <c r="J309" s="94"/>
      <c r="K309" s="28"/>
      <c r="L309" s="21"/>
    </row>
    <row r="310" spans="1:15" hidden="1" x14ac:dyDescent="0.25">
      <c r="A310" s="1220"/>
      <c r="B310" s="1917"/>
      <c r="C310" s="1117"/>
      <c r="D310" s="28" t="s">
        <v>263</v>
      </c>
      <c r="E310" s="94"/>
      <c r="F310" s="80">
        <v>175</v>
      </c>
      <c r="G310" s="80"/>
      <c r="H310" s="80"/>
      <c r="I310" s="80">
        <v>243</v>
      </c>
      <c r="J310" s="94"/>
      <c r="K310" s="28"/>
      <c r="L310" s="21"/>
    </row>
    <row r="311" spans="1:15" ht="14.85" hidden="1" customHeight="1" x14ac:dyDescent="0.25">
      <c r="A311" s="1220"/>
      <c r="B311" s="1917"/>
      <c r="C311" s="1117"/>
      <c r="D311" s="28" t="s">
        <v>257</v>
      </c>
      <c r="E311" s="94"/>
      <c r="F311" s="80">
        <v>45</v>
      </c>
      <c r="G311" s="80"/>
      <c r="H311" s="80"/>
      <c r="I311" s="80">
        <v>60</v>
      </c>
      <c r="J311" s="94"/>
      <c r="K311" s="28"/>
      <c r="L311" s="21"/>
    </row>
    <row r="312" spans="1:15" hidden="1" x14ac:dyDescent="0.25">
      <c r="A312" s="1220"/>
      <c r="B312" s="1917"/>
      <c r="C312" s="1117"/>
      <c r="D312" s="28" t="s">
        <v>357</v>
      </c>
      <c r="E312" s="94"/>
      <c r="F312" s="97">
        <f>(F311/F309)*100</f>
        <v>20.454545454545457</v>
      </c>
      <c r="G312" s="94"/>
      <c r="H312" s="94"/>
      <c r="I312" s="97">
        <f>(I311/I309)*100</f>
        <v>19.607843137254903</v>
      </c>
      <c r="J312" s="94"/>
      <c r="K312" s="28"/>
      <c r="L312" s="21"/>
    </row>
    <row r="313" spans="1:15" x14ac:dyDescent="0.25">
      <c r="A313" s="1220"/>
      <c r="B313" s="1917"/>
      <c r="C313" s="1174" t="s">
        <v>419</v>
      </c>
      <c r="D313" s="1110"/>
      <c r="E313" s="92"/>
      <c r="F313" s="100">
        <f>31/59*100</f>
        <v>52.542372881355938</v>
      </c>
      <c r="G313" s="92"/>
      <c r="H313" s="92"/>
      <c r="I313" s="101">
        <f>30/60*100</f>
        <v>50</v>
      </c>
      <c r="J313" s="92"/>
      <c r="K313" s="28"/>
      <c r="L313" s="21"/>
    </row>
    <row r="314" spans="1:15" x14ac:dyDescent="0.25">
      <c r="A314" s="1220"/>
      <c r="B314" s="1917"/>
      <c r="C314" s="1174" t="s">
        <v>420</v>
      </c>
      <c r="D314" s="1110"/>
      <c r="E314" s="92"/>
      <c r="F314" s="102">
        <f>19/59*100</f>
        <v>32.20338983050847</v>
      </c>
      <c r="G314" s="92"/>
      <c r="H314" s="92"/>
      <c r="I314" s="102">
        <f>14/60*100</f>
        <v>23.333333333333332</v>
      </c>
      <c r="J314" s="92"/>
      <c r="K314" s="28"/>
      <c r="L314" s="21"/>
    </row>
    <row r="315" spans="1:15" ht="16.5" thickBot="1" x14ac:dyDescent="0.3">
      <c r="A315" s="1600"/>
      <c r="B315" s="1918"/>
      <c r="C315" s="1350" t="s">
        <v>421</v>
      </c>
      <c r="D315" s="1351"/>
      <c r="E315" s="106"/>
      <c r="F315" s="105">
        <f>9/59*100</f>
        <v>15.254237288135593</v>
      </c>
      <c r="G315" s="106"/>
      <c r="H315" s="106"/>
      <c r="I315" s="105">
        <f>16/60*100</f>
        <v>26.666666666666668</v>
      </c>
      <c r="J315" s="106"/>
      <c r="K315" s="33"/>
      <c r="L315" s="22"/>
    </row>
    <row r="316" spans="1:15" ht="16.5" thickBot="1" x14ac:dyDescent="0.3">
      <c r="A316" s="338" t="s">
        <v>248</v>
      </c>
      <c r="B316" s="767" t="s">
        <v>249</v>
      </c>
      <c r="C316" s="1588"/>
      <c r="D316" s="1588"/>
      <c r="E316" s="819">
        <v>2005</v>
      </c>
      <c r="F316" s="819">
        <v>2010</v>
      </c>
      <c r="G316" s="819">
        <v>2015</v>
      </c>
      <c r="H316" s="819">
        <v>2020</v>
      </c>
      <c r="I316" s="819">
        <v>2021</v>
      </c>
      <c r="J316" s="819">
        <v>2022</v>
      </c>
      <c r="K316" s="819">
        <v>2023</v>
      </c>
      <c r="L316" s="819">
        <v>2024</v>
      </c>
    </row>
    <row r="317" spans="1:15" ht="15" customHeight="1" x14ac:dyDescent="0.25">
      <c r="A317" s="1725" t="s">
        <v>422</v>
      </c>
      <c r="B317" s="1143" t="s">
        <v>164</v>
      </c>
      <c r="C317" s="1923" t="s">
        <v>424</v>
      </c>
      <c r="D317" s="1632"/>
      <c r="E317" s="44"/>
      <c r="F317" s="31">
        <v>1150.05</v>
      </c>
      <c r="G317" s="31">
        <v>1277.96</v>
      </c>
      <c r="H317" s="31">
        <v>1433</v>
      </c>
      <c r="I317" s="31">
        <v>1463</v>
      </c>
      <c r="J317" s="31">
        <v>1481</v>
      </c>
      <c r="K317" s="31">
        <v>1670</v>
      </c>
      <c r="L317" s="31">
        <v>1672</v>
      </c>
    </row>
    <row r="318" spans="1:15" x14ac:dyDescent="0.25">
      <c r="A318" s="1726"/>
      <c r="B318" s="1144"/>
      <c r="C318" s="1729" t="s">
        <v>425</v>
      </c>
      <c r="D318" s="1331"/>
      <c r="E318" s="28"/>
      <c r="F318" s="29">
        <v>1465.28</v>
      </c>
      <c r="G318" s="29">
        <v>1573.88</v>
      </c>
      <c r="H318" s="29">
        <v>1738</v>
      </c>
      <c r="I318" s="29">
        <v>1780</v>
      </c>
      <c r="J318" s="29">
        <v>1797</v>
      </c>
      <c r="K318" s="29">
        <v>2019</v>
      </c>
      <c r="L318" s="29">
        <v>2007</v>
      </c>
      <c r="N318" s="485"/>
      <c r="O318" s="485"/>
    </row>
    <row r="319" spans="1:15" x14ac:dyDescent="0.25">
      <c r="A319" s="1726"/>
      <c r="B319" s="1144"/>
      <c r="C319" s="1729" t="s">
        <v>426</v>
      </c>
      <c r="D319" s="1331"/>
      <c r="E319" s="28"/>
      <c r="F319" s="29">
        <v>765.08</v>
      </c>
      <c r="G319" s="29">
        <v>891.34</v>
      </c>
      <c r="H319" s="29">
        <v>1135</v>
      </c>
      <c r="I319" s="29">
        <v>1164</v>
      </c>
      <c r="J319" s="29">
        <v>1189</v>
      </c>
      <c r="K319" s="29">
        <v>1351</v>
      </c>
      <c r="L319" s="29">
        <v>1367</v>
      </c>
    </row>
    <row r="320" spans="1:15" x14ac:dyDescent="0.25">
      <c r="A320" s="1726"/>
      <c r="B320" s="1144"/>
      <c r="C320" s="1730" t="s">
        <v>427</v>
      </c>
      <c r="D320" s="1333"/>
      <c r="E320" s="44"/>
      <c r="F320" s="31">
        <f t="shared" ref="F320:L320" si="17">+F319-F318</f>
        <v>-700.19999999999993</v>
      </c>
      <c r="G320" s="31">
        <f t="shared" si="17"/>
        <v>-682.54000000000008</v>
      </c>
      <c r="H320" s="31">
        <f t="shared" si="17"/>
        <v>-603</v>
      </c>
      <c r="I320" s="31">
        <f t="shared" si="17"/>
        <v>-616</v>
      </c>
      <c r="J320" s="31">
        <f t="shared" si="17"/>
        <v>-608</v>
      </c>
      <c r="K320" s="31">
        <f t="shared" si="17"/>
        <v>-668</v>
      </c>
      <c r="L320" s="31">
        <f t="shared" si="17"/>
        <v>-640</v>
      </c>
      <c r="N320" s="905"/>
    </row>
    <row r="321" spans="1:12" ht="16.5" thickBot="1" x14ac:dyDescent="0.3">
      <c r="A321" s="1726"/>
      <c r="B321" s="1145"/>
      <c r="C321" s="1921" t="s">
        <v>428</v>
      </c>
      <c r="D321" s="1565"/>
      <c r="E321" s="336"/>
      <c r="F321" s="423">
        <f t="shared" ref="F321:L321" si="18">(F319-F318)/F318*100</f>
        <v>-47.786088665647519</v>
      </c>
      <c r="G321" s="423">
        <f t="shared" si="18"/>
        <v>-43.366711566320177</v>
      </c>
      <c r="H321" s="423">
        <f t="shared" si="18"/>
        <v>-34.69505178365938</v>
      </c>
      <c r="I321" s="423">
        <f t="shared" si="18"/>
        <v>-34.606741573033709</v>
      </c>
      <c r="J321" s="423">
        <f t="shared" si="18"/>
        <v>-33.834168057874237</v>
      </c>
      <c r="K321" s="423">
        <f t="shared" si="18"/>
        <v>-33.085685983159976</v>
      </c>
      <c r="L321" s="423">
        <f t="shared" si="18"/>
        <v>-31.888390632785253</v>
      </c>
    </row>
    <row r="322" spans="1:12" ht="15" customHeight="1" x14ac:dyDescent="0.25">
      <c r="A322" s="1865"/>
      <c r="B322" s="1143" t="s">
        <v>429</v>
      </c>
      <c r="C322" s="1146" t="s">
        <v>430</v>
      </c>
      <c r="D322" s="1147"/>
      <c r="E322" s="40"/>
      <c r="F322" s="40"/>
      <c r="G322" s="37">
        <v>42.345838723587754</v>
      </c>
      <c r="H322" s="37">
        <v>46.487603305785122</v>
      </c>
      <c r="I322" s="37">
        <v>46.724225495175212</v>
      </c>
      <c r="J322" s="37">
        <v>51.041666666666664</v>
      </c>
      <c r="K322" s="37">
        <v>52.483221476510067</v>
      </c>
      <c r="L322" s="20">
        <v>53</v>
      </c>
    </row>
    <row r="323" spans="1:12" x14ac:dyDescent="0.25">
      <c r="A323" s="1865"/>
      <c r="B323" s="1144"/>
      <c r="C323" s="1148" t="s">
        <v>431</v>
      </c>
      <c r="D323" s="1124"/>
      <c r="E323" s="28"/>
      <c r="F323" s="28"/>
      <c r="G323" s="29">
        <v>47.548566142460686</v>
      </c>
      <c r="H323" s="29">
        <v>50.700280112044815</v>
      </c>
      <c r="I323" s="29">
        <v>50.490196078431367</v>
      </c>
      <c r="J323" s="29">
        <v>56.199677938808378</v>
      </c>
      <c r="K323" s="29">
        <v>57.374392220421392</v>
      </c>
      <c r="L323" s="21">
        <v>58.2</v>
      </c>
    </row>
    <row r="324" spans="1:12" x14ac:dyDescent="0.25">
      <c r="A324" s="1865"/>
      <c r="B324" s="1144"/>
      <c r="C324" s="1148" t="s">
        <v>432</v>
      </c>
      <c r="D324" s="1124"/>
      <c r="E324" s="28"/>
      <c r="F324" s="28"/>
      <c r="G324" s="29">
        <v>37.802907915993536</v>
      </c>
      <c r="H324" s="29">
        <v>43.143068939955519</v>
      </c>
      <c r="I324" s="29">
        <v>44.058976582827405</v>
      </c>
      <c r="J324" s="29">
        <v>47.540983606557376</v>
      </c>
      <c r="K324" s="29">
        <v>49.026345933562425</v>
      </c>
      <c r="L324" s="21">
        <v>49.6</v>
      </c>
    </row>
    <row r="325" spans="1:12" ht="16.5" thickBot="1" x14ac:dyDescent="0.3">
      <c r="A325" s="1865"/>
      <c r="B325" s="1264"/>
      <c r="C325" s="1224" t="s">
        <v>354</v>
      </c>
      <c r="D325" s="1225"/>
      <c r="E325" s="203"/>
      <c r="F325" s="203"/>
      <c r="G325" s="34">
        <f t="shared" ref="G325:L325" si="19">+G324-G323</f>
        <v>-9.7456582264671496</v>
      </c>
      <c r="H325" s="34">
        <f t="shared" si="19"/>
        <v>-7.5572111720892963</v>
      </c>
      <c r="I325" s="34">
        <f t="shared" si="19"/>
        <v>-6.4312194956039619</v>
      </c>
      <c r="J325" s="34">
        <f t="shared" si="19"/>
        <v>-8.6586943322510024</v>
      </c>
      <c r="K325" s="34">
        <f t="shared" si="19"/>
        <v>-8.3480462868589669</v>
      </c>
      <c r="L325" s="35">
        <f t="shared" si="19"/>
        <v>-8.6000000000000014</v>
      </c>
    </row>
    <row r="326" spans="1:12" x14ac:dyDescent="0.25">
      <c r="A326" s="1865"/>
      <c r="B326" s="1143" t="s">
        <v>545</v>
      </c>
      <c r="C326" s="1316" t="s">
        <v>434</v>
      </c>
      <c r="D326" s="146" t="s">
        <v>435</v>
      </c>
      <c r="E326" s="40"/>
      <c r="F326" s="40"/>
      <c r="G326" s="40"/>
      <c r="H326" s="40"/>
      <c r="I326" s="40">
        <v>23</v>
      </c>
      <c r="J326" s="40">
        <v>6</v>
      </c>
      <c r="K326" s="40">
        <v>8</v>
      </c>
      <c r="L326" s="20">
        <v>1</v>
      </c>
    </row>
    <row r="327" spans="1:12" x14ac:dyDescent="0.25">
      <c r="A327" s="1865"/>
      <c r="B327" s="1144"/>
      <c r="C327" s="1268"/>
      <c r="D327" s="147" t="s">
        <v>436</v>
      </c>
      <c r="E327" s="28"/>
      <c r="F327" s="28"/>
      <c r="G327" s="28"/>
      <c r="H327" s="28"/>
      <c r="I327" s="28">
        <v>6</v>
      </c>
      <c r="J327" s="28">
        <v>1</v>
      </c>
      <c r="K327" s="28">
        <v>5</v>
      </c>
      <c r="L327" s="21">
        <v>0</v>
      </c>
    </row>
    <row r="328" spans="1:12" x14ac:dyDescent="0.25">
      <c r="A328" s="1865"/>
      <c r="B328" s="1144"/>
      <c r="C328" s="1268"/>
      <c r="D328" s="28" t="s">
        <v>437</v>
      </c>
      <c r="E328" s="28"/>
      <c r="F328" s="28"/>
      <c r="G328" s="28"/>
      <c r="H328" s="28"/>
      <c r="I328" s="28">
        <v>17</v>
      </c>
      <c r="J328" s="28">
        <v>5</v>
      </c>
      <c r="K328" s="28">
        <v>3</v>
      </c>
      <c r="L328" s="21">
        <v>1</v>
      </c>
    </row>
    <row r="329" spans="1:12" x14ac:dyDescent="0.25">
      <c r="A329" s="1865"/>
      <c r="B329" s="1144"/>
      <c r="C329" s="1268"/>
      <c r="D329" s="148" t="s">
        <v>353</v>
      </c>
      <c r="E329" s="28"/>
      <c r="F329" s="28"/>
      <c r="G329" s="28"/>
      <c r="H329" s="28"/>
      <c r="I329" s="157">
        <f>I328-I327</f>
        <v>11</v>
      </c>
      <c r="J329" s="157">
        <f>J328-J327</f>
        <v>4</v>
      </c>
      <c r="K329" s="363">
        <f>K328-K327</f>
        <v>-2</v>
      </c>
      <c r="L329" s="363">
        <f>L328-L327</f>
        <v>1</v>
      </c>
    </row>
    <row r="330" spans="1:12" x14ac:dyDescent="0.25">
      <c r="A330" s="1865"/>
      <c r="B330" s="1144"/>
      <c r="C330" s="1268"/>
      <c r="D330" s="148" t="s">
        <v>270</v>
      </c>
      <c r="E330" s="28"/>
      <c r="F330" s="28"/>
      <c r="G330" s="28"/>
      <c r="H330" s="28"/>
      <c r="I330" s="158">
        <f>I328/I326*100</f>
        <v>73.91304347826086</v>
      </c>
      <c r="J330" s="158">
        <f>J328/J326*100</f>
        <v>83.333333333333343</v>
      </c>
      <c r="K330" s="364">
        <f>K328/K326*100</f>
        <v>37.5</v>
      </c>
      <c r="L330" s="364">
        <f>L328/L326*100</f>
        <v>100</v>
      </c>
    </row>
    <row r="331" spans="1:12" x14ac:dyDescent="0.25">
      <c r="A331" s="1865"/>
      <c r="B331" s="1144"/>
      <c r="C331" s="1268" t="s">
        <v>438</v>
      </c>
      <c r="D331" s="149" t="s">
        <v>435</v>
      </c>
      <c r="E331" s="28"/>
      <c r="F331" s="28"/>
      <c r="G331" s="28"/>
      <c r="H331" s="28"/>
      <c r="I331" s="44">
        <v>39</v>
      </c>
      <c r="J331" s="44">
        <v>28</v>
      </c>
      <c r="K331" s="44">
        <v>10</v>
      </c>
      <c r="L331" s="21">
        <v>12</v>
      </c>
    </row>
    <row r="332" spans="1:12" x14ac:dyDescent="0.25">
      <c r="A332" s="1865"/>
      <c r="B332" s="1144"/>
      <c r="C332" s="1268"/>
      <c r="D332" s="147" t="s">
        <v>436</v>
      </c>
      <c r="E332" s="28"/>
      <c r="F332" s="28"/>
      <c r="G332" s="28"/>
      <c r="H332" s="28"/>
      <c r="I332" s="28">
        <v>13</v>
      </c>
      <c r="J332" s="28">
        <v>8</v>
      </c>
      <c r="K332" s="28">
        <v>4</v>
      </c>
      <c r="L332" s="21">
        <v>6</v>
      </c>
    </row>
    <row r="333" spans="1:12" x14ac:dyDescent="0.25">
      <c r="A333" s="1865"/>
      <c r="B333" s="1144"/>
      <c r="C333" s="1268"/>
      <c r="D333" s="28" t="s">
        <v>437</v>
      </c>
      <c r="E333" s="28"/>
      <c r="F333" s="28"/>
      <c r="G333" s="28"/>
      <c r="H333" s="28"/>
      <c r="I333" s="28">
        <v>26</v>
      </c>
      <c r="J333" s="28">
        <v>20</v>
      </c>
      <c r="K333" s="28">
        <v>6</v>
      </c>
      <c r="L333" s="21">
        <v>6</v>
      </c>
    </row>
    <row r="334" spans="1:12" x14ac:dyDescent="0.25">
      <c r="A334" s="1865"/>
      <c r="B334" s="1144"/>
      <c r="C334" s="1268"/>
      <c r="D334" s="148" t="s">
        <v>353</v>
      </c>
      <c r="E334" s="28"/>
      <c r="F334" s="28"/>
      <c r="G334" s="28"/>
      <c r="H334" s="28"/>
      <c r="I334" s="157">
        <f>I333-I332</f>
        <v>13</v>
      </c>
      <c r="J334" s="157">
        <f>J333-J332</f>
        <v>12</v>
      </c>
      <c r="K334" s="157">
        <f>K333-K332</f>
        <v>2</v>
      </c>
      <c r="L334" s="157">
        <f>L333-L332</f>
        <v>0</v>
      </c>
    </row>
    <row r="335" spans="1:12" ht="16.5" thickBot="1" x14ac:dyDescent="0.3">
      <c r="A335" s="1865"/>
      <c r="B335" s="1264"/>
      <c r="C335" s="1362"/>
      <c r="D335" s="150" t="s">
        <v>270</v>
      </c>
      <c r="E335" s="110"/>
      <c r="F335" s="110"/>
      <c r="G335" s="110"/>
      <c r="H335" s="110"/>
      <c r="I335" s="165">
        <f>I333/I331*100</f>
        <v>66.666666666666657</v>
      </c>
      <c r="J335" s="165">
        <f>J333/J331*100</f>
        <v>71.428571428571431</v>
      </c>
      <c r="K335" s="165">
        <f>K333/K331*100</f>
        <v>60</v>
      </c>
      <c r="L335" s="165">
        <f>L333/L331*100</f>
        <v>50</v>
      </c>
    </row>
    <row r="336" spans="1:12" ht="15" customHeight="1" x14ac:dyDescent="0.25">
      <c r="A336" s="1865"/>
      <c r="B336" s="1408" t="s">
        <v>180</v>
      </c>
      <c r="C336" s="1147" t="s">
        <v>435</v>
      </c>
      <c r="D336" s="1147"/>
      <c r="E336" s="36"/>
      <c r="F336" s="36"/>
      <c r="G336" s="36"/>
      <c r="H336" s="195">
        <v>4766</v>
      </c>
      <c r="I336" s="195">
        <v>4890</v>
      </c>
      <c r="J336" s="195">
        <v>5010</v>
      </c>
      <c r="K336" s="195">
        <v>5237</v>
      </c>
      <c r="L336" s="325"/>
    </row>
    <row r="337" spans="1:14" x14ac:dyDescent="0.25">
      <c r="A337" s="1865"/>
      <c r="B337" s="1272"/>
      <c r="C337" s="1124" t="s">
        <v>436</v>
      </c>
      <c r="D337" s="1124"/>
      <c r="E337" s="28"/>
      <c r="F337" s="28"/>
      <c r="G337" s="28"/>
      <c r="H337" s="96">
        <v>1903</v>
      </c>
      <c r="I337" s="96">
        <v>1940</v>
      </c>
      <c r="J337" s="96">
        <v>1957</v>
      </c>
      <c r="K337" s="96">
        <v>2048</v>
      </c>
      <c r="L337" s="21"/>
    </row>
    <row r="338" spans="1:14" x14ac:dyDescent="0.25">
      <c r="A338" s="1865"/>
      <c r="B338" s="1272"/>
      <c r="C338" s="1124" t="s">
        <v>437</v>
      </c>
      <c r="D338" s="1124"/>
      <c r="E338" s="28"/>
      <c r="F338" s="28"/>
      <c r="G338" s="28"/>
      <c r="H338" s="96">
        <v>2863</v>
      </c>
      <c r="I338" s="96">
        <v>2950</v>
      </c>
      <c r="J338" s="96">
        <v>3053</v>
      </c>
      <c r="K338" s="96">
        <v>3189</v>
      </c>
      <c r="L338" s="21"/>
    </row>
    <row r="339" spans="1:14" x14ac:dyDescent="0.25">
      <c r="A339" s="1865"/>
      <c r="B339" s="1272"/>
      <c r="C339" s="1223" t="s">
        <v>353</v>
      </c>
      <c r="D339" s="1223"/>
      <c r="E339" s="28"/>
      <c r="F339" s="28"/>
      <c r="G339" s="28"/>
      <c r="H339" s="157">
        <f>H338-H337</f>
        <v>960</v>
      </c>
      <c r="I339" s="157">
        <f>I338-I337</f>
        <v>1010</v>
      </c>
      <c r="J339" s="157">
        <f>J338-J337</f>
        <v>1096</v>
      </c>
      <c r="K339" s="157">
        <f>K338-K337</f>
        <v>1141</v>
      </c>
      <c r="L339" s="21"/>
    </row>
    <row r="340" spans="1:14" x14ac:dyDescent="0.25">
      <c r="A340" s="1866"/>
      <c r="B340" s="1273"/>
      <c r="C340" s="1178" t="s">
        <v>270</v>
      </c>
      <c r="D340" s="1178"/>
      <c r="E340" s="110"/>
      <c r="F340" s="110"/>
      <c r="G340" s="110"/>
      <c r="H340" s="165">
        <f>H338/H336*100</f>
        <v>60.071338648762065</v>
      </c>
      <c r="I340" s="165">
        <f>I338/I336*100</f>
        <v>60.327198364008183</v>
      </c>
      <c r="J340" s="165">
        <f>J338/J336*100</f>
        <v>60.938123752495009</v>
      </c>
      <c r="K340" s="165">
        <f>K338/K336*100</f>
        <v>60.893641397746798</v>
      </c>
      <c r="L340" s="53"/>
    </row>
    <row r="341" spans="1:14" ht="16.5" thickBot="1" x14ac:dyDescent="0.3">
      <c r="A341" s="338" t="s">
        <v>248</v>
      </c>
      <c r="B341" s="338" t="s">
        <v>249</v>
      </c>
      <c r="C341" s="1422"/>
      <c r="D341" s="1422"/>
      <c r="E341" s="616">
        <v>2005</v>
      </c>
      <c r="F341" s="616">
        <v>2010</v>
      </c>
      <c r="G341" s="616">
        <v>2015</v>
      </c>
      <c r="H341" s="616">
        <v>2020</v>
      </c>
      <c r="I341" s="616">
        <v>2021</v>
      </c>
      <c r="J341" s="616">
        <v>2022</v>
      </c>
      <c r="K341" s="616">
        <v>2023</v>
      </c>
      <c r="L341" s="616">
        <v>2024</v>
      </c>
    </row>
    <row r="342" spans="1:14" x14ac:dyDescent="0.25">
      <c r="A342" s="1868" t="s">
        <v>439</v>
      </c>
      <c r="B342" s="1395" t="s">
        <v>440</v>
      </c>
      <c r="C342" s="1249" t="s">
        <v>251</v>
      </c>
      <c r="D342" s="1250"/>
      <c r="E342" s="107">
        <v>82.8</v>
      </c>
      <c r="F342" s="910">
        <v>83.3</v>
      </c>
      <c r="G342" s="910">
        <v>83.5</v>
      </c>
      <c r="H342" s="910">
        <v>83.6</v>
      </c>
      <c r="I342" s="910">
        <v>85.7</v>
      </c>
      <c r="J342" s="911">
        <v>85.463398533191025</v>
      </c>
      <c r="K342" s="40">
        <v>86.4</v>
      </c>
      <c r="L342" s="108"/>
      <c r="M342" s="326"/>
      <c r="N342" s="326"/>
    </row>
    <row r="343" spans="1:14" x14ac:dyDescent="0.25">
      <c r="A343" s="1822"/>
      <c r="B343" s="1396"/>
      <c r="C343" s="1235" t="s">
        <v>257</v>
      </c>
      <c r="D343" s="1236"/>
      <c r="E343" s="57">
        <v>79.7</v>
      </c>
      <c r="F343" s="58">
        <v>81.099999999999994</v>
      </c>
      <c r="G343" s="58">
        <v>81.099999999999994</v>
      </c>
      <c r="H343" s="58">
        <v>81.3</v>
      </c>
      <c r="I343" s="58">
        <v>83.5</v>
      </c>
      <c r="J343" s="59">
        <v>84.259059594239375</v>
      </c>
      <c r="K343" s="28">
        <v>84.7</v>
      </c>
      <c r="L343" s="21"/>
    </row>
    <row r="344" spans="1:14" x14ac:dyDescent="0.25">
      <c r="A344" s="1822"/>
      <c r="B344" s="1396"/>
      <c r="C344" s="1235" t="s">
        <v>263</v>
      </c>
      <c r="D344" s="1236"/>
      <c r="E344" s="57">
        <v>86.3</v>
      </c>
      <c r="F344" s="58">
        <v>85.3</v>
      </c>
      <c r="G344" s="58">
        <v>85.7</v>
      </c>
      <c r="H344" s="58">
        <v>85.7</v>
      </c>
      <c r="I344" s="58">
        <v>87.7</v>
      </c>
      <c r="J344" s="59">
        <v>86.538130729230375</v>
      </c>
      <c r="K344" s="28">
        <v>87.9</v>
      </c>
      <c r="L344" s="21"/>
    </row>
    <row r="345" spans="1:14" ht="16.5" thickBot="1" x14ac:dyDescent="0.3">
      <c r="A345" s="1822"/>
      <c r="B345" s="1397"/>
      <c r="C345" s="1557" t="s">
        <v>441</v>
      </c>
      <c r="D345" s="1558"/>
      <c r="E345" s="476">
        <f t="shared" ref="E345:K345" si="20">+E344-E343</f>
        <v>6.5999999999999943</v>
      </c>
      <c r="F345" s="476">
        <f t="shared" si="20"/>
        <v>4.2000000000000028</v>
      </c>
      <c r="G345" s="476">
        <f t="shared" si="20"/>
        <v>4.6000000000000085</v>
      </c>
      <c r="H345" s="476">
        <f t="shared" si="20"/>
        <v>4.4000000000000057</v>
      </c>
      <c r="I345" s="476">
        <f t="shared" si="20"/>
        <v>4.2000000000000028</v>
      </c>
      <c r="J345" s="477">
        <f t="shared" si="20"/>
        <v>2.2790711349909998</v>
      </c>
      <c r="K345" s="477">
        <f t="shared" si="20"/>
        <v>3.2000000000000028</v>
      </c>
      <c r="L345" s="53"/>
    </row>
    <row r="346" spans="1:14" x14ac:dyDescent="0.25">
      <c r="A346" s="1822"/>
      <c r="B346" s="1395" t="s">
        <v>192</v>
      </c>
      <c r="C346" s="1249" t="s">
        <v>251</v>
      </c>
      <c r="D346" s="1250"/>
      <c r="E346" s="107"/>
      <c r="F346" s="341"/>
      <c r="G346" s="224">
        <v>1538</v>
      </c>
      <c r="H346" s="224">
        <v>2283</v>
      </c>
      <c r="I346" s="224">
        <v>2360</v>
      </c>
      <c r="J346" s="195">
        <v>2402</v>
      </c>
      <c r="K346" s="195">
        <v>2977</v>
      </c>
      <c r="L346" s="20"/>
    </row>
    <row r="347" spans="1:14" x14ac:dyDescent="0.25">
      <c r="A347" s="1822"/>
      <c r="B347" s="1396"/>
      <c r="C347" s="1235" t="s">
        <v>257</v>
      </c>
      <c r="D347" s="1236"/>
      <c r="E347" s="57"/>
      <c r="F347" s="218"/>
      <c r="G347" s="58">
        <v>760</v>
      </c>
      <c r="H347" s="219">
        <v>1161</v>
      </c>
      <c r="I347" s="219">
        <v>1196</v>
      </c>
      <c r="J347" s="96">
        <v>1207</v>
      </c>
      <c r="K347" s="96">
        <v>1472</v>
      </c>
      <c r="L347" s="21"/>
    </row>
    <row r="348" spans="1:14" x14ac:dyDescent="0.25">
      <c r="A348" s="1822"/>
      <c r="B348" s="1396"/>
      <c r="C348" s="1235" t="s">
        <v>263</v>
      </c>
      <c r="D348" s="1236"/>
      <c r="E348" s="57"/>
      <c r="F348" s="218"/>
      <c r="G348" s="58">
        <v>778</v>
      </c>
      <c r="H348" s="219">
        <v>1122</v>
      </c>
      <c r="I348" s="219">
        <v>1164</v>
      </c>
      <c r="J348" s="96">
        <v>1195</v>
      </c>
      <c r="K348" s="96">
        <v>1505</v>
      </c>
      <c r="L348" s="21"/>
    </row>
    <row r="349" spans="1:14" ht="16.5" thickBot="1" x14ac:dyDescent="0.3">
      <c r="A349" s="1869"/>
      <c r="B349" s="1922"/>
      <c r="C349" s="1177" t="s">
        <v>270</v>
      </c>
      <c r="D349" s="1178"/>
      <c r="E349" s="478"/>
      <c r="F349" s="478"/>
      <c r="G349" s="378">
        <f>G348/G346*100</f>
        <v>50.585175552665795</v>
      </c>
      <c r="H349" s="378">
        <f>H348/H346*100</f>
        <v>49.14586070959264</v>
      </c>
      <c r="I349" s="378">
        <f>I348/I346*100</f>
        <v>49.322033898305087</v>
      </c>
      <c r="J349" s="378">
        <f>J348/J346*100</f>
        <v>49.75020815986678</v>
      </c>
      <c r="K349" s="378">
        <f>K348/K346*100</f>
        <v>50.554249244205572</v>
      </c>
      <c r="L349" s="53"/>
    </row>
    <row r="350" spans="1:14" ht="16.5" thickBot="1" x14ac:dyDescent="0.3">
      <c r="A350" s="338" t="s">
        <v>248</v>
      </c>
      <c r="B350" s="767" t="s">
        <v>249</v>
      </c>
      <c r="C350" s="1422"/>
      <c r="D350" s="1422"/>
      <c r="E350" s="616"/>
      <c r="F350" s="616" t="s">
        <v>443</v>
      </c>
      <c r="G350" s="616" t="s">
        <v>444</v>
      </c>
      <c r="H350" s="616" t="s">
        <v>445</v>
      </c>
      <c r="I350" s="616" t="s">
        <v>446</v>
      </c>
      <c r="J350" s="616" t="s">
        <v>447</v>
      </c>
      <c r="K350" s="616" t="s">
        <v>448</v>
      </c>
      <c r="L350" s="616" t="s">
        <v>449</v>
      </c>
    </row>
    <row r="351" spans="1:14" x14ac:dyDescent="0.25">
      <c r="A351" s="1801" t="s">
        <v>450</v>
      </c>
      <c r="B351" s="1900" t="s">
        <v>199</v>
      </c>
      <c r="C351" s="1347" t="s">
        <v>451</v>
      </c>
      <c r="D351" s="934" t="s">
        <v>435</v>
      </c>
      <c r="E351" s="195"/>
      <c r="F351" s="195">
        <v>4051</v>
      </c>
      <c r="G351" s="195">
        <v>3791</v>
      </c>
      <c r="H351" s="195">
        <v>3542</v>
      </c>
      <c r="I351" s="195">
        <v>3023</v>
      </c>
      <c r="J351" s="195">
        <v>2802</v>
      </c>
      <c r="K351" s="195">
        <v>2662</v>
      </c>
      <c r="L351" s="20"/>
    </row>
    <row r="352" spans="1:14" x14ac:dyDescent="0.25">
      <c r="A352" s="1802"/>
      <c r="B352" s="1569"/>
      <c r="C352" s="1348"/>
      <c r="D352" s="428" t="s">
        <v>436</v>
      </c>
      <c r="E352" s="96"/>
      <c r="F352" s="96">
        <v>2105</v>
      </c>
      <c r="G352" s="96">
        <v>1978</v>
      </c>
      <c r="H352" s="96">
        <v>1819</v>
      </c>
      <c r="I352" s="96">
        <v>1524</v>
      </c>
      <c r="J352" s="96">
        <v>1431</v>
      </c>
      <c r="K352" s="96">
        <v>1393</v>
      </c>
      <c r="L352" s="21"/>
    </row>
    <row r="353" spans="1:12" x14ac:dyDescent="0.25">
      <c r="A353" s="1802"/>
      <c r="B353" s="1569"/>
      <c r="C353" s="1348"/>
      <c r="D353" s="428" t="s">
        <v>437</v>
      </c>
      <c r="E353" s="96"/>
      <c r="F353" s="96">
        <v>1946</v>
      </c>
      <c r="G353" s="96">
        <v>1813</v>
      </c>
      <c r="H353" s="96">
        <v>1723</v>
      </c>
      <c r="I353" s="96">
        <v>1499</v>
      </c>
      <c r="J353" s="96">
        <v>1371</v>
      </c>
      <c r="K353" s="96">
        <v>1269</v>
      </c>
      <c r="L353" s="21"/>
    </row>
    <row r="354" spans="1:12" ht="15" customHeight="1" x14ac:dyDescent="0.25">
      <c r="A354" s="1802"/>
      <c r="B354" s="1569"/>
      <c r="C354" s="1348" t="s">
        <v>452</v>
      </c>
      <c r="D354" s="428" t="s">
        <v>435</v>
      </c>
      <c r="E354" s="96"/>
      <c r="F354" s="96">
        <f>F355+F356</f>
        <v>2332</v>
      </c>
      <c r="G354" s="96">
        <f>G355+G356</f>
        <v>2444</v>
      </c>
      <c r="H354" s="96">
        <f>H355+H356</f>
        <v>2614</v>
      </c>
      <c r="I354" s="96">
        <f>I355+I356</f>
        <v>2755</v>
      </c>
      <c r="J354" s="96">
        <f>J355+J356</f>
        <v>2762</v>
      </c>
      <c r="K354" s="157">
        <f>SUM(K355:K356)</f>
        <v>2555</v>
      </c>
      <c r="L354" s="21"/>
    </row>
    <row r="355" spans="1:12" x14ac:dyDescent="0.25">
      <c r="A355" s="1802"/>
      <c r="B355" s="1569"/>
      <c r="C355" s="1348"/>
      <c r="D355" s="428" t="s">
        <v>436</v>
      </c>
      <c r="E355" s="96"/>
      <c r="F355" s="96">
        <v>1199</v>
      </c>
      <c r="G355" s="96">
        <v>1283</v>
      </c>
      <c r="H355" s="96">
        <v>1325</v>
      </c>
      <c r="I355" s="96">
        <v>1420</v>
      </c>
      <c r="J355" s="96">
        <v>1387</v>
      </c>
      <c r="K355" s="157">
        <v>1306</v>
      </c>
      <c r="L355" s="21"/>
    </row>
    <row r="356" spans="1:12" ht="16.5" thickBot="1" x14ac:dyDescent="0.3">
      <c r="A356" s="1802"/>
      <c r="B356" s="1569"/>
      <c r="C356" s="1506"/>
      <c r="D356" s="434" t="s">
        <v>437</v>
      </c>
      <c r="E356" s="360"/>
      <c r="F356" s="360">
        <v>1133</v>
      </c>
      <c r="G356" s="360">
        <v>1161</v>
      </c>
      <c r="H356" s="360">
        <v>1289</v>
      </c>
      <c r="I356" s="360">
        <v>1335</v>
      </c>
      <c r="J356" s="360">
        <v>1375</v>
      </c>
      <c r="K356" s="441">
        <v>1249</v>
      </c>
      <c r="L356" s="53"/>
    </row>
    <row r="357" spans="1:12" x14ac:dyDescent="0.25">
      <c r="A357" s="1802"/>
      <c r="B357" s="1569"/>
      <c r="C357" s="1352" t="s">
        <v>453</v>
      </c>
      <c r="D357" s="1250"/>
      <c r="E357" s="195"/>
      <c r="F357" s="37">
        <f>+(F354/F351)*100</f>
        <v>57.566033078252289</v>
      </c>
      <c r="G357" s="37">
        <f t="shared" ref="G357:K357" si="21">+(G354/G351)*100</f>
        <v>64.468477974149295</v>
      </c>
      <c r="H357" s="37">
        <f t="shared" si="21"/>
        <v>73.800112930547712</v>
      </c>
      <c r="I357" s="37">
        <f t="shared" si="21"/>
        <v>91.134634469070463</v>
      </c>
      <c r="J357" s="37">
        <f t="shared" si="21"/>
        <v>98.572448251249114</v>
      </c>
      <c r="K357" s="37">
        <f t="shared" si="21"/>
        <v>95.980465815176558</v>
      </c>
      <c r="L357" s="20"/>
    </row>
    <row r="358" spans="1:12" x14ac:dyDescent="0.25">
      <c r="A358" s="1802"/>
      <c r="B358" s="1569"/>
      <c r="C358" s="1609" t="s">
        <v>454</v>
      </c>
      <c r="D358" s="1610"/>
      <c r="E358" s="44"/>
      <c r="F358" s="158">
        <f t="shared" ref="F358:K359" si="22">F355/F352*100</f>
        <v>56.959619952494066</v>
      </c>
      <c r="G358" s="158">
        <f t="shared" si="22"/>
        <v>64.863498483316491</v>
      </c>
      <c r="H358" s="158">
        <f t="shared" si="22"/>
        <v>72.842221000549756</v>
      </c>
      <c r="I358" s="158">
        <f t="shared" si="22"/>
        <v>93.175853018372706</v>
      </c>
      <c r="J358" s="158">
        <f t="shared" si="22"/>
        <v>96.925227113906359</v>
      </c>
      <c r="K358" s="158">
        <f t="shared" si="22"/>
        <v>93.754486719310833</v>
      </c>
      <c r="L358" s="21"/>
    </row>
    <row r="359" spans="1:12" x14ac:dyDescent="0.25">
      <c r="A359" s="1802"/>
      <c r="B359" s="1569"/>
      <c r="C359" s="1609" t="s">
        <v>455</v>
      </c>
      <c r="D359" s="1610"/>
      <c r="E359" s="44"/>
      <c r="F359" s="158">
        <f t="shared" si="22"/>
        <v>58.221993833504627</v>
      </c>
      <c r="G359" s="158">
        <f t="shared" si="22"/>
        <v>64.037506894649752</v>
      </c>
      <c r="H359" s="158">
        <f t="shared" si="22"/>
        <v>74.81137550783518</v>
      </c>
      <c r="I359" s="158">
        <f t="shared" si="22"/>
        <v>89.059372915276853</v>
      </c>
      <c r="J359" s="158">
        <f t="shared" si="22"/>
        <v>100.29175784099198</v>
      </c>
      <c r="K359" s="158">
        <f t="shared" si="22"/>
        <v>98.423955870764374</v>
      </c>
      <c r="L359" s="21"/>
    </row>
    <row r="360" spans="1:12" x14ac:dyDescent="0.25">
      <c r="A360" s="1871"/>
      <c r="B360" s="1570"/>
      <c r="C360" s="1383" t="s">
        <v>354</v>
      </c>
      <c r="D360" s="1384"/>
      <c r="E360" s="336"/>
      <c r="F360" s="454">
        <f>+F359-F358</f>
        <v>1.2623738810105607</v>
      </c>
      <c r="G360" s="349">
        <f t="shared" ref="G360:I360" si="23">+G359-G358</f>
        <v>-0.82599158866673861</v>
      </c>
      <c r="H360" s="593">
        <f t="shared" si="23"/>
        <v>1.969154507285424</v>
      </c>
      <c r="I360" s="349">
        <f t="shared" si="23"/>
        <v>-4.1164801030958529</v>
      </c>
      <c r="J360" s="593">
        <f>+J359-J358</f>
        <v>3.3665307270856175</v>
      </c>
      <c r="K360" s="593">
        <f>+K359-K358</f>
        <v>4.6694691514535407</v>
      </c>
      <c r="L360" s="53"/>
    </row>
    <row r="361" spans="1:12" ht="16.5" thickBot="1" x14ac:dyDescent="0.3">
      <c r="A361" s="338" t="s">
        <v>248</v>
      </c>
      <c r="B361" s="338" t="s">
        <v>249</v>
      </c>
      <c r="C361" s="1422"/>
      <c r="D361" s="1422"/>
      <c r="E361" s="616" t="s">
        <v>442</v>
      </c>
      <c r="F361" s="616" t="s">
        <v>443</v>
      </c>
      <c r="G361" s="616" t="s">
        <v>444</v>
      </c>
      <c r="H361" s="616" t="s">
        <v>445</v>
      </c>
      <c r="I361" s="616" t="s">
        <v>446</v>
      </c>
      <c r="J361" s="616" t="s">
        <v>447</v>
      </c>
      <c r="K361" s="616" t="s">
        <v>448</v>
      </c>
      <c r="L361" s="616" t="s">
        <v>449</v>
      </c>
    </row>
    <row r="362" spans="1:12" x14ac:dyDescent="0.25">
      <c r="A362" s="1774" t="s">
        <v>456</v>
      </c>
      <c r="B362" s="1876" t="s">
        <v>457</v>
      </c>
      <c r="C362" s="1347" t="s">
        <v>458</v>
      </c>
      <c r="D362" s="229" t="s">
        <v>459</v>
      </c>
      <c r="E362" s="195" t="s">
        <v>460</v>
      </c>
      <c r="F362" s="195">
        <v>545</v>
      </c>
      <c r="G362" s="195">
        <v>598</v>
      </c>
      <c r="H362" s="195">
        <v>600</v>
      </c>
      <c r="I362" s="195">
        <v>563</v>
      </c>
      <c r="J362" s="195">
        <v>578</v>
      </c>
      <c r="K362" s="195">
        <v>613</v>
      </c>
      <c r="L362" s="20"/>
    </row>
    <row r="363" spans="1:12" ht="14.1" customHeight="1" x14ac:dyDescent="0.25">
      <c r="A363" s="1775"/>
      <c r="B363" s="1799"/>
      <c r="C363" s="1348"/>
      <c r="D363" s="227" t="s">
        <v>436</v>
      </c>
      <c r="E363" s="96"/>
      <c r="F363" s="96">
        <v>284</v>
      </c>
      <c r="G363" s="96">
        <v>305</v>
      </c>
      <c r="H363" s="96">
        <v>329</v>
      </c>
      <c r="I363" s="96">
        <v>327</v>
      </c>
      <c r="J363" s="96">
        <v>299</v>
      </c>
      <c r="K363" s="96">
        <v>309</v>
      </c>
      <c r="L363" s="21"/>
    </row>
    <row r="364" spans="1:12" x14ac:dyDescent="0.25">
      <c r="A364" s="1775"/>
      <c r="B364" s="1799"/>
      <c r="C364" s="1348"/>
      <c r="D364" s="227" t="s">
        <v>437</v>
      </c>
      <c r="E364" s="96"/>
      <c r="F364" s="96">
        <v>261</v>
      </c>
      <c r="G364" s="96">
        <v>293</v>
      </c>
      <c r="H364" s="96">
        <v>271</v>
      </c>
      <c r="I364" s="96">
        <v>236</v>
      </c>
      <c r="J364" s="96">
        <v>279</v>
      </c>
      <c r="K364" s="96">
        <v>304</v>
      </c>
      <c r="L364" s="21"/>
    </row>
    <row r="365" spans="1:12" ht="15" customHeight="1" x14ac:dyDescent="0.25">
      <c r="A365" s="1775"/>
      <c r="B365" s="1799"/>
      <c r="C365" s="1348" t="s">
        <v>461</v>
      </c>
      <c r="D365" s="226" t="s">
        <v>459</v>
      </c>
      <c r="E365" s="157"/>
      <c r="F365" s="157">
        <v>309</v>
      </c>
      <c r="G365" s="157">
        <f>165+176</f>
        <v>341</v>
      </c>
      <c r="H365" s="44">
        <v>331</v>
      </c>
      <c r="I365" s="157">
        <v>277</v>
      </c>
      <c r="J365" s="157">
        <f>127+155</f>
        <v>282</v>
      </c>
      <c r="K365" s="96">
        <v>345</v>
      </c>
      <c r="L365" s="21"/>
    </row>
    <row r="366" spans="1:12" x14ac:dyDescent="0.25">
      <c r="A366" s="1775"/>
      <c r="B366" s="1799"/>
      <c r="C366" s="1348"/>
      <c r="D366" s="227" t="s">
        <v>436</v>
      </c>
      <c r="E366" s="96"/>
      <c r="F366" s="96">
        <v>178</v>
      </c>
      <c r="G366" s="96">
        <f>96+93</f>
        <v>189</v>
      </c>
      <c r="H366" s="96">
        <v>208</v>
      </c>
      <c r="I366" s="96">
        <v>181</v>
      </c>
      <c r="J366" s="96">
        <f>80+80</f>
        <v>160</v>
      </c>
      <c r="K366" s="96">
        <v>189</v>
      </c>
      <c r="L366" s="21"/>
    </row>
    <row r="367" spans="1:12" ht="16.5" thickBot="1" x14ac:dyDescent="0.3">
      <c r="A367" s="1775"/>
      <c r="B367" s="1799"/>
      <c r="C367" s="1349"/>
      <c r="D367" s="239" t="s">
        <v>437</v>
      </c>
      <c r="E367" s="190"/>
      <c r="F367" s="190">
        <v>131</v>
      </c>
      <c r="G367" s="190">
        <f>69+83</f>
        <v>152</v>
      </c>
      <c r="H367" s="190">
        <v>123</v>
      </c>
      <c r="I367" s="190">
        <v>96</v>
      </c>
      <c r="J367" s="190">
        <f>47+75</f>
        <v>122</v>
      </c>
      <c r="K367" s="190">
        <v>156</v>
      </c>
      <c r="L367" s="22"/>
    </row>
    <row r="368" spans="1:12" x14ac:dyDescent="0.25">
      <c r="A368" s="1775"/>
      <c r="B368" s="1799"/>
      <c r="C368" s="1389" t="s">
        <v>462</v>
      </c>
      <c r="D368" s="1390"/>
      <c r="E368" s="225"/>
      <c r="F368" s="283">
        <f>F366/F363*100</f>
        <v>62.676056338028175</v>
      </c>
      <c r="G368" s="283">
        <f>G366/G363*100</f>
        <v>61.967213114754095</v>
      </c>
      <c r="H368" s="283">
        <f t="shared" ref="H368:I369" si="24">H366/H363*100</f>
        <v>63.221884498480243</v>
      </c>
      <c r="I368" s="283">
        <f t="shared" si="24"/>
        <v>55.35168195718655</v>
      </c>
      <c r="J368" s="283">
        <f>J366/J363*100</f>
        <v>53.511705685618729</v>
      </c>
      <c r="K368" s="283">
        <f>K366/K363*100</f>
        <v>61.165048543689316</v>
      </c>
      <c r="L368" s="20"/>
    </row>
    <row r="369" spans="1:12" x14ac:dyDescent="0.25">
      <c r="A369" s="1775"/>
      <c r="B369" s="1799"/>
      <c r="C369" s="1123" t="s">
        <v>463</v>
      </c>
      <c r="D369" s="1124"/>
      <c r="E369" s="96"/>
      <c r="F369" s="29">
        <f>F367/F364*100</f>
        <v>50.191570881226056</v>
      </c>
      <c r="G369" s="29">
        <f>G367/G364*100</f>
        <v>51.877133105802045</v>
      </c>
      <c r="H369" s="29">
        <f t="shared" si="24"/>
        <v>45.38745387453875</v>
      </c>
      <c r="I369" s="29">
        <f t="shared" si="24"/>
        <v>40.677966101694921</v>
      </c>
      <c r="J369" s="29">
        <f>J367/J364*100</f>
        <v>43.727598566308245</v>
      </c>
      <c r="K369" s="29">
        <f>K367/K364*100</f>
        <v>51.315789473684212</v>
      </c>
      <c r="L369" s="21"/>
    </row>
    <row r="370" spans="1:12" ht="16.5" thickBot="1" x14ac:dyDescent="0.3">
      <c r="A370" s="1775"/>
      <c r="B370" s="1877"/>
      <c r="C370" s="1359" t="s">
        <v>354</v>
      </c>
      <c r="D370" s="1225"/>
      <c r="E370" s="203"/>
      <c r="F370" s="161">
        <f>+F369-F368</f>
        <v>-12.484485456802119</v>
      </c>
      <c r="G370" s="161">
        <f t="shared" ref="G370:I370" si="25">+G369-G368</f>
        <v>-10.09008000895205</v>
      </c>
      <c r="H370" s="161">
        <f t="shared" si="25"/>
        <v>-17.834430623941493</v>
      </c>
      <c r="I370" s="161">
        <f t="shared" si="25"/>
        <v>-14.673715855491629</v>
      </c>
      <c r="J370" s="161">
        <f>+J369-J368</f>
        <v>-9.7841071193104838</v>
      </c>
      <c r="K370" s="161">
        <f>+K369-K368</f>
        <v>-9.8492590700051039</v>
      </c>
      <c r="L370" s="22"/>
    </row>
    <row r="371" spans="1:12" ht="16.5" thickBot="1" x14ac:dyDescent="0.3">
      <c r="A371" s="1775"/>
      <c r="B371" s="896" t="s">
        <v>249</v>
      </c>
      <c r="C371" s="1675"/>
      <c r="D371" s="1675"/>
      <c r="E371" s="112" t="s">
        <v>442</v>
      </c>
      <c r="F371" s="112" t="s">
        <v>443</v>
      </c>
      <c r="G371" s="112" t="s">
        <v>444</v>
      </c>
      <c r="H371" s="112" t="s">
        <v>445</v>
      </c>
      <c r="I371" s="112" t="s">
        <v>446</v>
      </c>
      <c r="J371" s="112" t="s">
        <v>447</v>
      </c>
      <c r="K371" s="112" t="s">
        <v>448</v>
      </c>
      <c r="L371" s="112" t="s">
        <v>449</v>
      </c>
    </row>
    <row r="372" spans="1:12" ht="15" customHeight="1" x14ac:dyDescent="0.25">
      <c r="A372" s="1776"/>
      <c r="B372" s="1744" t="s">
        <v>464</v>
      </c>
      <c r="C372" s="1251" t="s">
        <v>459</v>
      </c>
      <c r="D372" s="1206"/>
      <c r="E372" s="36"/>
      <c r="F372" s="195">
        <v>337</v>
      </c>
      <c r="G372" s="195">
        <v>319</v>
      </c>
      <c r="H372" s="195">
        <v>495</v>
      </c>
      <c r="I372" s="195">
        <v>445</v>
      </c>
      <c r="J372" s="195">
        <v>483</v>
      </c>
      <c r="K372" s="195">
        <v>498</v>
      </c>
      <c r="L372" s="20"/>
    </row>
    <row r="373" spans="1:12" x14ac:dyDescent="0.25">
      <c r="A373" s="1776"/>
      <c r="B373" s="1678"/>
      <c r="C373" s="1123" t="s">
        <v>436</v>
      </c>
      <c r="D373" s="1124"/>
      <c r="E373" s="96"/>
      <c r="F373" s="96">
        <v>297</v>
      </c>
      <c r="G373" s="96">
        <v>279</v>
      </c>
      <c r="H373" s="96">
        <v>450</v>
      </c>
      <c r="I373" s="96">
        <v>397</v>
      </c>
      <c r="J373" s="96">
        <v>441</v>
      </c>
      <c r="K373" s="96">
        <v>445</v>
      </c>
      <c r="L373" s="21"/>
    </row>
    <row r="374" spans="1:12" x14ac:dyDescent="0.25">
      <c r="A374" s="1776"/>
      <c r="B374" s="1678"/>
      <c r="C374" s="1123" t="s">
        <v>437</v>
      </c>
      <c r="D374" s="1124"/>
      <c r="E374" s="96"/>
      <c r="F374" s="96">
        <v>40</v>
      </c>
      <c r="G374" s="96">
        <v>40</v>
      </c>
      <c r="H374" s="96">
        <v>45</v>
      </c>
      <c r="I374" s="96">
        <v>48</v>
      </c>
      <c r="J374" s="96">
        <v>42</v>
      </c>
      <c r="K374" s="96">
        <v>53</v>
      </c>
      <c r="L374" s="21"/>
    </row>
    <row r="375" spans="1:12" ht="16.5" thickBot="1" x14ac:dyDescent="0.3">
      <c r="A375" s="1776"/>
      <c r="B375" s="1678"/>
      <c r="C375" s="1170" t="s">
        <v>270</v>
      </c>
      <c r="D375" s="1155"/>
      <c r="E375" s="190"/>
      <c r="F375" s="285">
        <f t="shared" ref="F375:J375" si="26">F374/F372*100</f>
        <v>11.869436201780417</v>
      </c>
      <c r="G375" s="285">
        <f t="shared" si="26"/>
        <v>12.539184952978054</v>
      </c>
      <c r="H375" s="285">
        <f t="shared" si="26"/>
        <v>9.0909090909090917</v>
      </c>
      <c r="I375" s="285">
        <f t="shared" si="26"/>
        <v>10.786516853932584</v>
      </c>
      <c r="J375" s="285">
        <f t="shared" si="26"/>
        <v>8.695652173913043</v>
      </c>
      <c r="K375" s="285">
        <f>K374/K372*100</f>
        <v>10.642570281124499</v>
      </c>
      <c r="L375" s="22"/>
    </row>
    <row r="376" spans="1:12" x14ac:dyDescent="0.25">
      <c r="A376" s="1776"/>
      <c r="B376" s="1151"/>
      <c r="C376" s="1159" t="s">
        <v>581</v>
      </c>
      <c r="D376" s="248" t="s">
        <v>251</v>
      </c>
      <c r="E376" s="249"/>
      <c r="F376" s="250">
        <v>108</v>
      </c>
      <c r="G376" s="250">
        <v>108</v>
      </c>
      <c r="H376" s="250">
        <v>253</v>
      </c>
      <c r="I376" s="250">
        <v>193</v>
      </c>
      <c r="J376" s="250">
        <v>205</v>
      </c>
      <c r="K376" s="36">
        <v>196</v>
      </c>
      <c r="L376" s="20"/>
    </row>
    <row r="377" spans="1:12" x14ac:dyDescent="0.25">
      <c r="A377" s="1776"/>
      <c r="B377" s="1151"/>
      <c r="C377" s="1160"/>
      <c r="D377" s="28" t="s">
        <v>257</v>
      </c>
      <c r="E377" s="94"/>
      <c r="F377" s="236">
        <v>107</v>
      </c>
      <c r="G377" s="236">
        <v>107</v>
      </c>
      <c r="H377" s="236">
        <v>243</v>
      </c>
      <c r="I377" s="236">
        <v>182</v>
      </c>
      <c r="J377" s="236">
        <v>196</v>
      </c>
      <c r="K377" s="28">
        <v>187</v>
      </c>
      <c r="L377" s="21"/>
    </row>
    <row r="378" spans="1:12" x14ac:dyDescent="0.25">
      <c r="A378" s="1776"/>
      <c r="B378" s="1151"/>
      <c r="C378" s="1160"/>
      <c r="D378" s="28" t="s">
        <v>263</v>
      </c>
      <c r="E378" s="94"/>
      <c r="F378" s="236">
        <v>1</v>
      </c>
      <c r="G378" s="236">
        <v>1</v>
      </c>
      <c r="H378" s="236">
        <v>10</v>
      </c>
      <c r="I378" s="236">
        <v>11</v>
      </c>
      <c r="J378" s="236">
        <v>9</v>
      </c>
      <c r="K378" s="28">
        <v>9</v>
      </c>
      <c r="L378" s="21"/>
    </row>
    <row r="379" spans="1:12" ht="16.5" thickBot="1" x14ac:dyDescent="0.3">
      <c r="A379" s="1776"/>
      <c r="B379" s="1151"/>
      <c r="C379" s="1161"/>
      <c r="D379" s="33" t="s">
        <v>270</v>
      </c>
      <c r="E379" s="104"/>
      <c r="F379" s="253">
        <f>(F378/F376)*100</f>
        <v>0.92592592592592582</v>
      </c>
      <c r="G379" s="253">
        <f>(G378/G376)*100</f>
        <v>0.92592592592592582</v>
      </c>
      <c r="H379" s="253">
        <f>(H378/H376)*100</f>
        <v>3.9525691699604746</v>
      </c>
      <c r="I379" s="253">
        <f>I378/I376*100</f>
        <v>5.6994818652849739</v>
      </c>
      <c r="J379" s="253">
        <f>J378/J376*100</f>
        <v>4.3902439024390238</v>
      </c>
      <c r="K379" s="253">
        <f>K378/K376*100</f>
        <v>4.591836734693878</v>
      </c>
      <c r="L379" s="22"/>
    </row>
    <row r="380" spans="1:12" x14ac:dyDescent="0.25">
      <c r="A380" s="1776"/>
      <c r="B380" s="1678"/>
      <c r="C380" s="1159" t="s">
        <v>589</v>
      </c>
      <c r="D380" s="248" t="s">
        <v>251</v>
      </c>
      <c r="E380" s="249"/>
      <c r="F380" s="250">
        <v>138</v>
      </c>
      <c r="G380" s="250">
        <v>130</v>
      </c>
      <c r="H380" s="250">
        <v>143</v>
      </c>
      <c r="I380" s="250">
        <v>143</v>
      </c>
      <c r="J380" s="250">
        <v>150</v>
      </c>
      <c r="K380" s="36">
        <v>152</v>
      </c>
      <c r="L380" s="20"/>
    </row>
    <row r="381" spans="1:12" x14ac:dyDescent="0.25">
      <c r="A381" s="1776"/>
      <c r="B381" s="1678"/>
      <c r="C381" s="1160"/>
      <c r="D381" s="28" t="s">
        <v>257</v>
      </c>
      <c r="E381" s="94"/>
      <c r="F381" s="236">
        <v>99</v>
      </c>
      <c r="G381" s="236">
        <v>95</v>
      </c>
      <c r="H381" s="236">
        <v>116</v>
      </c>
      <c r="I381" s="236">
        <v>116</v>
      </c>
      <c r="J381" s="236">
        <v>123</v>
      </c>
      <c r="K381" s="28">
        <v>117</v>
      </c>
      <c r="L381" s="21"/>
    </row>
    <row r="382" spans="1:12" x14ac:dyDescent="0.25">
      <c r="A382" s="1776"/>
      <c r="B382" s="1678"/>
      <c r="C382" s="1160"/>
      <c r="D382" s="28" t="s">
        <v>263</v>
      </c>
      <c r="E382" s="94"/>
      <c r="F382" s="236">
        <v>39</v>
      </c>
      <c r="G382" s="236">
        <v>35</v>
      </c>
      <c r="H382" s="236">
        <v>27</v>
      </c>
      <c r="I382" s="236">
        <v>27</v>
      </c>
      <c r="J382" s="236">
        <v>27</v>
      </c>
      <c r="K382" s="28">
        <v>35</v>
      </c>
      <c r="L382" s="21"/>
    </row>
    <row r="383" spans="1:12" ht="16.5" thickBot="1" x14ac:dyDescent="0.3">
      <c r="A383" s="1776"/>
      <c r="B383" s="1678"/>
      <c r="C383" s="1161"/>
      <c r="D383" s="33" t="s">
        <v>270</v>
      </c>
      <c r="E383" s="104"/>
      <c r="F383" s="253">
        <f>(F382/F380)*100</f>
        <v>28.260869565217391</v>
      </c>
      <c r="G383" s="253">
        <f t="shared" ref="G383:J383" si="27">(G382/G380)*100</f>
        <v>26.923076923076923</v>
      </c>
      <c r="H383" s="253">
        <f t="shared" si="27"/>
        <v>18.88111888111888</v>
      </c>
      <c r="I383" s="253">
        <f t="shared" si="27"/>
        <v>18.88111888111888</v>
      </c>
      <c r="J383" s="253">
        <f t="shared" si="27"/>
        <v>18</v>
      </c>
      <c r="K383" s="253">
        <f>(K382/K380)*100</f>
        <v>23.026315789473685</v>
      </c>
      <c r="L383" s="22"/>
    </row>
    <row r="384" spans="1:12" x14ac:dyDescent="0.25">
      <c r="A384" s="1776"/>
      <c r="B384" s="1678"/>
      <c r="C384" s="1159" t="s">
        <v>582</v>
      </c>
      <c r="D384" s="248" t="s">
        <v>251</v>
      </c>
      <c r="E384" s="249"/>
      <c r="F384" s="250">
        <v>91</v>
      </c>
      <c r="G384" s="250">
        <v>81</v>
      </c>
      <c r="H384" s="250">
        <v>99</v>
      </c>
      <c r="I384" s="250">
        <v>87</v>
      </c>
      <c r="J384" s="250">
        <v>83</v>
      </c>
      <c r="K384" s="36">
        <v>100</v>
      </c>
      <c r="L384" s="20"/>
    </row>
    <row r="385" spans="1:12" x14ac:dyDescent="0.25">
      <c r="A385" s="1776"/>
      <c r="B385" s="1678"/>
      <c r="C385" s="1160"/>
      <c r="D385" s="28" t="s">
        <v>257</v>
      </c>
      <c r="E385" s="94"/>
      <c r="F385" s="236">
        <v>91</v>
      </c>
      <c r="G385" s="236">
        <v>77</v>
      </c>
      <c r="H385" s="236">
        <v>91</v>
      </c>
      <c r="I385" s="236">
        <v>80</v>
      </c>
      <c r="J385" s="236">
        <v>81</v>
      </c>
      <c r="K385" s="28">
        <v>97</v>
      </c>
      <c r="L385" s="21"/>
    </row>
    <row r="386" spans="1:12" x14ac:dyDescent="0.25">
      <c r="A386" s="1776"/>
      <c r="B386" s="1678"/>
      <c r="C386" s="1160"/>
      <c r="D386" s="28" t="s">
        <v>263</v>
      </c>
      <c r="E386" s="94"/>
      <c r="F386" s="236">
        <v>0</v>
      </c>
      <c r="G386" s="236">
        <v>4</v>
      </c>
      <c r="H386" s="236">
        <v>8</v>
      </c>
      <c r="I386" s="236">
        <v>7</v>
      </c>
      <c r="J386" s="236">
        <v>2</v>
      </c>
      <c r="K386" s="28">
        <v>3</v>
      </c>
      <c r="L386" s="21"/>
    </row>
    <row r="387" spans="1:12" ht="16.5" thickBot="1" x14ac:dyDescent="0.3">
      <c r="A387" s="1776"/>
      <c r="B387" s="1678"/>
      <c r="C387" s="1519"/>
      <c r="D387" s="110" t="s">
        <v>270</v>
      </c>
      <c r="E387" s="126"/>
      <c r="F387" s="596">
        <f>(F386/F384)*100</f>
        <v>0</v>
      </c>
      <c r="G387" s="596">
        <f t="shared" ref="G387:J387" si="28">(G386/G384)*100</f>
        <v>4.9382716049382713</v>
      </c>
      <c r="H387" s="596">
        <f t="shared" si="28"/>
        <v>8.0808080808080813</v>
      </c>
      <c r="I387" s="596">
        <f t="shared" si="28"/>
        <v>8.0459770114942533</v>
      </c>
      <c r="J387" s="596">
        <f t="shared" si="28"/>
        <v>2.4096385542168677</v>
      </c>
      <c r="K387" s="596">
        <f>(K386/K384)*100</f>
        <v>3</v>
      </c>
      <c r="L387" s="53"/>
    </row>
    <row r="388" spans="1:12" x14ac:dyDescent="0.25">
      <c r="A388" s="1776"/>
      <c r="B388" s="1678"/>
      <c r="C388" s="1159" t="s">
        <v>609</v>
      </c>
      <c r="D388" s="248" t="s">
        <v>251</v>
      </c>
      <c r="E388" s="249"/>
      <c r="F388" s="81"/>
      <c r="G388" s="81"/>
      <c r="H388" s="81"/>
      <c r="I388" s="250">
        <v>22</v>
      </c>
      <c r="J388" s="250">
        <v>45</v>
      </c>
      <c r="K388" s="36">
        <v>50</v>
      </c>
      <c r="L388" s="20"/>
    </row>
    <row r="389" spans="1:12" ht="14.85" customHeight="1" x14ac:dyDescent="0.25">
      <c r="A389" s="1776"/>
      <c r="B389" s="1678"/>
      <c r="C389" s="1160"/>
      <c r="D389" s="28" t="s">
        <v>257</v>
      </c>
      <c r="E389" s="94"/>
      <c r="F389" s="80"/>
      <c r="G389" s="80"/>
      <c r="H389" s="80"/>
      <c r="I389" s="80">
        <v>19</v>
      </c>
      <c r="J389" s="80">
        <v>41</v>
      </c>
      <c r="K389" s="28">
        <v>44</v>
      </c>
      <c r="L389" s="21"/>
    </row>
    <row r="390" spans="1:12" x14ac:dyDescent="0.25">
      <c r="A390" s="1776"/>
      <c r="B390" s="1678"/>
      <c r="C390" s="1160"/>
      <c r="D390" s="28" t="s">
        <v>263</v>
      </c>
      <c r="E390" s="94"/>
      <c r="F390" s="80"/>
      <c r="G390" s="80"/>
      <c r="H390" s="80"/>
      <c r="I390" s="80">
        <v>3</v>
      </c>
      <c r="J390" s="80">
        <v>5</v>
      </c>
      <c r="K390" s="28">
        <v>6</v>
      </c>
      <c r="L390" s="21"/>
    </row>
    <row r="391" spans="1:12" ht="16.5" thickBot="1" x14ac:dyDescent="0.3">
      <c r="A391" s="1776"/>
      <c r="B391" s="1678"/>
      <c r="C391" s="1161"/>
      <c r="D391" s="33" t="s">
        <v>270</v>
      </c>
      <c r="E391" s="104"/>
      <c r="F391" s="197"/>
      <c r="G391" s="197"/>
      <c r="H391" s="197"/>
      <c r="I391" s="253">
        <f>(I390/I388)*100</f>
        <v>13.636363636363635</v>
      </c>
      <c r="J391" s="253">
        <f>(J390/J388)*100</f>
        <v>11.111111111111111</v>
      </c>
      <c r="K391" s="253">
        <f>(K390/K388)*100</f>
        <v>12</v>
      </c>
      <c r="L391" s="22"/>
    </row>
    <row r="392" spans="1:12" x14ac:dyDescent="0.25">
      <c r="A392" s="1776"/>
      <c r="B392" s="1678"/>
      <c r="C392" s="1587" t="s">
        <v>472</v>
      </c>
      <c r="D392" s="254" t="s">
        <v>473</v>
      </c>
      <c r="E392" s="242"/>
      <c r="F392" s="255">
        <f t="shared" ref="F392:K392" si="29">4/4*100</f>
        <v>100</v>
      </c>
      <c r="G392" s="255">
        <f t="shared" si="29"/>
        <v>100</v>
      </c>
      <c r="H392" s="255">
        <f t="shared" si="29"/>
        <v>100</v>
      </c>
      <c r="I392" s="255">
        <f t="shared" si="29"/>
        <v>100</v>
      </c>
      <c r="J392" s="255">
        <f t="shared" si="29"/>
        <v>100</v>
      </c>
      <c r="K392" s="255">
        <f t="shared" si="29"/>
        <v>100</v>
      </c>
      <c r="L392" s="87"/>
    </row>
    <row r="393" spans="1:12" x14ac:dyDescent="0.25">
      <c r="A393" s="1776"/>
      <c r="B393" s="1678"/>
      <c r="C393" s="1167"/>
      <c r="D393" s="232" t="s">
        <v>474</v>
      </c>
      <c r="E393" s="94"/>
      <c r="F393" s="234">
        <f t="shared" ref="F393:K394" si="30">0/4*100</f>
        <v>0</v>
      </c>
      <c r="G393" s="234">
        <f t="shared" si="30"/>
        <v>0</v>
      </c>
      <c r="H393" s="234">
        <f t="shared" si="30"/>
        <v>0</v>
      </c>
      <c r="I393" s="234">
        <f t="shared" si="30"/>
        <v>0</v>
      </c>
      <c r="J393" s="234">
        <f t="shared" si="30"/>
        <v>0</v>
      </c>
      <c r="K393" s="234">
        <f t="shared" si="30"/>
        <v>0</v>
      </c>
      <c r="L393" s="21"/>
    </row>
    <row r="394" spans="1:12" ht="16.5" thickBot="1" x14ac:dyDescent="0.3">
      <c r="A394" s="1776"/>
      <c r="B394" s="1745"/>
      <c r="C394" s="1255"/>
      <c r="D394" s="311" t="s">
        <v>475</v>
      </c>
      <c r="E394" s="104"/>
      <c r="F394" s="935">
        <f t="shared" si="30"/>
        <v>0</v>
      </c>
      <c r="G394" s="935">
        <f t="shared" si="30"/>
        <v>0</v>
      </c>
      <c r="H394" s="935">
        <f t="shared" si="30"/>
        <v>0</v>
      </c>
      <c r="I394" s="935">
        <f t="shared" si="30"/>
        <v>0</v>
      </c>
      <c r="J394" s="935">
        <f t="shared" si="30"/>
        <v>0</v>
      </c>
      <c r="K394" s="935">
        <f t="shared" si="30"/>
        <v>0</v>
      </c>
      <c r="L394" s="22"/>
    </row>
    <row r="395" spans="1:12" ht="16.5" thickBot="1" x14ac:dyDescent="0.3">
      <c r="A395" s="1775"/>
      <c r="B395" s="896" t="s">
        <v>249</v>
      </c>
      <c r="C395" s="1675"/>
      <c r="D395" s="1675"/>
      <c r="E395" s="112" t="s">
        <v>442</v>
      </c>
      <c r="F395" s="112" t="s">
        <v>443</v>
      </c>
      <c r="G395" s="112" t="s">
        <v>444</v>
      </c>
      <c r="H395" s="112" t="s">
        <v>445</v>
      </c>
      <c r="I395" s="112" t="s">
        <v>446</v>
      </c>
      <c r="J395" s="112" t="s">
        <v>447</v>
      </c>
      <c r="K395" s="112" t="s">
        <v>448</v>
      </c>
      <c r="L395" s="112" t="s">
        <v>449</v>
      </c>
    </row>
    <row r="396" spans="1:12" ht="15" customHeight="1" x14ac:dyDescent="0.25">
      <c r="A396" s="1776"/>
      <c r="B396" s="1744" t="s">
        <v>476</v>
      </c>
      <c r="C396" s="1251" t="s">
        <v>459</v>
      </c>
      <c r="D396" s="1206"/>
      <c r="E396" s="36"/>
      <c r="F396" s="195">
        <v>196</v>
      </c>
      <c r="G396" s="195">
        <v>274</v>
      </c>
      <c r="H396" s="195">
        <v>554</v>
      </c>
      <c r="I396" s="195">
        <v>579</v>
      </c>
      <c r="J396" s="195">
        <v>616</v>
      </c>
      <c r="K396" s="36">
        <v>678</v>
      </c>
      <c r="L396" s="20"/>
    </row>
    <row r="397" spans="1:12" x14ac:dyDescent="0.25">
      <c r="A397" s="1776"/>
      <c r="B397" s="1678"/>
      <c r="C397" s="1123" t="s">
        <v>436</v>
      </c>
      <c r="D397" s="1124"/>
      <c r="E397" s="96"/>
      <c r="F397" s="96">
        <v>176</v>
      </c>
      <c r="G397" s="96">
        <v>243</v>
      </c>
      <c r="H397" s="96">
        <v>513</v>
      </c>
      <c r="I397" s="96">
        <v>538</v>
      </c>
      <c r="J397" s="96">
        <v>567</v>
      </c>
      <c r="K397" s="157">
        <v>617</v>
      </c>
      <c r="L397" s="21"/>
    </row>
    <row r="398" spans="1:12" x14ac:dyDescent="0.25">
      <c r="A398" s="1776"/>
      <c r="B398" s="1678"/>
      <c r="C398" s="1123" t="s">
        <v>437</v>
      </c>
      <c r="D398" s="1124"/>
      <c r="E398" s="96"/>
      <c r="F398" s="96">
        <v>20</v>
      </c>
      <c r="G398" s="96">
        <v>31</v>
      </c>
      <c r="H398" s="96">
        <v>41</v>
      </c>
      <c r="I398" s="96">
        <v>41</v>
      </c>
      <c r="J398" s="96">
        <v>49</v>
      </c>
      <c r="K398" s="157">
        <v>61</v>
      </c>
      <c r="L398" s="21"/>
    </row>
    <row r="399" spans="1:12" ht="16.5" thickBot="1" x14ac:dyDescent="0.3">
      <c r="A399" s="1776"/>
      <c r="B399" s="1678"/>
      <c r="C399" s="1170" t="s">
        <v>270</v>
      </c>
      <c r="D399" s="1155"/>
      <c r="E399" s="197"/>
      <c r="F399" s="285">
        <f t="shared" ref="F399:K399" si="31">F398/F396*100</f>
        <v>10.204081632653061</v>
      </c>
      <c r="G399" s="285">
        <f t="shared" si="31"/>
        <v>11.313868613138686</v>
      </c>
      <c r="H399" s="285">
        <f t="shared" si="31"/>
        <v>7.4007220216606493</v>
      </c>
      <c r="I399" s="285">
        <f>I398/I396*100</f>
        <v>7.081174438687392</v>
      </c>
      <c r="J399" s="285">
        <f t="shared" si="31"/>
        <v>7.9545454545454541</v>
      </c>
      <c r="K399" s="285">
        <f t="shared" si="31"/>
        <v>8.9970501474926259</v>
      </c>
      <c r="L399" s="22"/>
    </row>
    <row r="400" spans="1:12" ht="14.85" customHeight="1" x14ac:dyDescent="0.25">
      <c r="A400" s="1776"/>
      <c r="B400" s="1151"/>
      <c r="C400" s="1159" t="s">
        <v>581</v>
      </c>
      <c r="D400" s="248" t="s">
        <v>251</v>
      </c>
      <c r="E400" s="249"/>
      <c r="F400" s="250">
        <v>149</v>
      </c>
      <c r="G400" s="250">
        <v>184</v>
      </c>
      <c r="H400" s="250">
        <v>348</v>
      </c>
      <c r="I400" s="250">
        <v>334</v>
      </c>
      <c r="J400" s="250">
        <v>354</v>
      </c>
      <c r="K400" s="36">
        <v>385</v>
      </c>
      <c r="L400" s="20"/>
    </row>
    <row r="401" spans="1:12" x14ac:dyDescent="0.25">
      <c r="A401" s="1776"/>
      <c r="B401" s="1151"/>
      <c r="C401" s="1160"/>
      <c r="D401" s="28" t="s">
        <v>257</v>
      </c>
      <c r="E401" s="94"/>
      <c r="F401" s="80">
        <v>134</v>
      </c>
      <c r="G401" s="80">
        <v>171</v>
      </c>
      <c r="H401" s="80">
        <v>328</v>
      </c>
      <c r="I401" s="80">
        <v>318</v>
      </c>
      <c r="J401" s="80">
        <v>335</v>
      </c>
      <c r="K401" s="28">
        <v>358</v>
      </c>
      <c r="L401" s="21"/>
    </row>
    <row r="402" spans="1:12" x14ac:dyDescent="0.25">
      <c r="A402" s="1776"/>
      <c r="B402" s="1151"/>
      <c r="C402" s="1160"/>
      <c r="D402" s="28" t="s">
        <v>263</v>
      </c>
      <c r="E402" s="94"/>
      <c r="F402" s="80">
        <v>15</v>
      </c>
      <c r="G402" s="80">
        <v>13</v>
      </c>
      <c r="H402" s="80">
        <v>20</v>
      </c>
      <c r="I402" s="80">
        <v>16</v>
      </c>
      <c r="J402" s="80">
        <v>19</v>
      </c>
      <c r="K402" s="28">
        <v>27</v>
      </c>
      <c r="L402" s="21"/>
    </row>
    <row r="403" spans="1:12" ht="16.5" thickBot="1" x14ac:dyDescent="0.3">
      <c r="A403" s="1776"/>
      <c r="B403" s="1151"/>
      <c r="C403" s="1161"/>
      <c r="D403" s="33" t="s">
        <v>270</v>
      </c>
      <c r="E403" s="104"/>
      <c r="F403" s="253">
        <f>(F402/F400)*100</f>
        <v>10.067114093959731</v>
      </c>
      <c r="G403" s="253">
        <f>(G402/G400)*100</f>
        <v>7.0652173913043477</v>
      </c>
      <c r="H403" s="253">
        <f>(H402/H400)*100</f>
        <v>5.7471264367816088</v>
      </c>
      <c r="I403" s="253">
        <f>I402/I400*100</f>
        <v>4.7904191616766472</v>
      </c>
      <c r="J403" s="253">
        <f>J402/J400*100</f>
        <v>5.3672316384180787</v>
      </c>
      <c r="K403" s="253">
        <f>K402/K400*100</f>
        <v>7.0129870129870122</v>
      </c>
      <c r="L403" s="22"/>
    </row>
    <row r="404" spans="1:12" ht="14.85" customHeight="1" x14ac:dyDescent="0.25">
      <c r="A404" s="1776"/>
      <c r="B404" s="1151"/>
      <c r="C404" s="1159" t="s">
        <v>609</v>
      </c>
      <c r="D404" s="248" t="s">
        <v>251</v>
      </c>
      <c r="E404" s="249"/>
      <c r="F404" s="250">
        <v>47</v>
      </c>
      <c r="G404" s="250">
        <v>61</v>
      </c>
      <c r="H404" s="250">
        <v>150</v>
      </c>
      <c r="I404" s="250">
        <v>149</v>
      </c>
      <c r="J404" s="250">
        <v>165</v>
      </c>
      <c r="K404" s="36">
        <v>178</v>
      </c>
      <c r="L404" s="20"/>
    </row>
    <row r="405" spans="1:12" x14ac:dyDescent="0.25">
      <c r="A405" s="1776"/>
      <c r="B405" s="1151"/>
      <c r="C405" s="1160"/>
      <c r="D405" s="28" t="s">
        <v>257</v>
      </c>
      <c r="E405" s="94"/>
      <c r="F405" s="80">
        <v>42</v>
      </c>
      <c r="G405" s="80">
        <v>48</v>
      </c>
      <c r="H405" s="80">
        <v>135</v>
      </c>
      <c r="I405" s="80">
        <v>133</v>
      </c>
      <c r="J405" s="80">
        <v>145</v>
      </c>
      <c r="K405" s="28">
        <v>152</v>
      </c>
      <c r="L405" s="21"/>
    </row>
    <row r="406" spans="1:12" x14ac:dyDescent="0.25">
      <c r="A406" s="1776"/>
      <c r="B406" s="1151"/>
      <c r="C406" s="1160"/>
      <c r="D406" s="28" t="s">
        <v>263</v>
      </c>
      <c r="E406" s="94"/>
      <c r="F406" s="80">
        <v>5</v>
      </c>
      <c r="G406" s="80">
        <v>13</v>
      </c>
      <c r="H406" s="80">
        <v>15</v>
      </c>
      <c r="I406" s="80">
        <v>16</v>
      </c>
      <c r="J406" s="80">
        <v>20</v>
      </c>
      <c r="K406" s="28">
        <v>26</v>
      </c>
      <c r="L406" s="21"/>
    </row>
    <row r="407" spans="1:12" ht="16.5" thickBot="1" x14ac:dyDescent="0.3">
      <c r="A407" s="1776"/>
      <c r="B407" s="1151"/>
      <c r="C407" s="1161"/>
      <c r="D407" s="33" t="s">
        <v>270</v>
      </c>
      <c r="E407" s="104"/>
      <c r="F407" s="253">
        <f>(F406/F404)*100</f>
        <v>10.638297872340425</v>
      </c>
      <c r="G407" s="253">
        <f>(G406/G404)*100</f>
        <v>21.311475409836063</v>
      </c>
      <c r="H407" s="253">
        <f>(H406/H404)*100</f>
        <v>10</v>
      </c>
      <c r="I407" s="253">
        <f>I406/I404*100</f>
        <v>10.738255033557047</v>
      </c>
      <c r="J407" s="253">
        <f>J406/J404*100</f>
        <v>12.121212121212121</v>
      </c>
      <c r="K407" s="253">
        <f>K406/K404*100</f>
        <v>14.606741573033707</v>
      </c>
      <c r="L407" s="22"/>
    </row>
    <row r="408" spans="1:12" ht="14.85" customHeight="1" x14ac:dyDescent="0.25">
      <c r="A408" s="1776"/>
      <c r="B408" s="1151"/>
      <c r="C408" s="1159" t="s">
        <v>469</v>
      </c>
      <c r="D408" s="248" t="s">
        <v>251</v>
      </c>
      <c r="E408" s="249"/>
      <c r="F408" s="250">
        <v>47</v>
      </c>
      <c r="G408" s="250">
        <v>29</v>
      </c>
      <c r="H408" s="250">
        <v>32</v>
      </c>
      <c r="I408" s="250">
        <v>29</v>
      </c>
      <c r="J408" s="250">
        <v>36</v>
      </c>
      <c r="K408" s="36">
        <v>29</v>
      </c>
      <c r="L408" s="20"/>
    </row>
    <row r="409" spans="1:12" x14ac:dyDescent="0.25">
      <c r="A409" s="1776"/>
      <c r="B409" s="1151"/>
      <c r="C409" s="1160"/>
      <c r="D409" s="28" t="s">
        <v>257</v>
      </c>
      <c r="E409" s="94"/>
      <c r="F409" s="80">
        <v>42</v>
      </c>
      <c r="G409" s="80">
        <v>24</v>
      </c>
      <c r="H409" s="80">
        <v>27</v>
      </c>
      <c r="I409" s="80">
        <v>25</v>
      </c>
      <c r="J409" s="80">
        <v>29</v>
      </c>
      <c r="K409" s="28">
        <v>24</v>
      </c>
      <c r="L409" s="21"/>
    </row>
    <row r="410" spans="1:12" x14ac:dyDescent="0.25">
      <c r="A410" s="1776"/>
      <c r="B410" s="1151"/>
      <c r="C410" s="1160"/>
      <c r="D410" s="28" t="s">
        <v>263</v>
      </c>
      <c r="E410" s="94"/>
      <c r="F410" s="80">
        <v>5</v>
      </c>
      <c r="G410" s="80">
        <v>5</v>
      </c>
      <c r="H410" s="80">
        <v>5</v>
      </c>
      <c r="I410" s="80">
        <v>4</v>
      </c>
      <c r="J410" s="80">
        <v>7</v>
      </c>
      <c r="K410" s="28">
        <v>5</v>
      </c>
      <c r="L410" s="21"/>
    </row>
    <row r="411" spans="1:12" ht="16.5" thickBot="1" x14ac:dyDescent="0.3">
      <c r="A411" s="1776"/>
      <c r="B411" s="1151"/>
      <c r="C411" s="1161"/>
      <c r="D411" s="33" t="s">
        <v>270</v>
      </c>
      <c r="E411" s="104"/>
      <c r="F411" s="253">
        <f>(F410/F408)*100</f>
        <v>10.638297872340425</v>
      </c>
      <c r="G411" s="253">
        <f>(G410/G408)*100</f>
        <v>17.241379310344829</v>
      </c>
      <c r="H411" s="253">
        <f>(H410/H408)*100</f>
        <v>15.625</v>
      </c>
      <c r="I411" s="253">
        <f>I410/I408*100</f>
        <v>13.793103448275861</v>
      </c>
      <c r="J411" s="253">
        <f>J410/J408*100</f>
        <v>19.444444444444446</v>
      </c>
      <c r="K411" s="253">
        <f>K410/K408*100</f>
        <v>17.241379310344829</v>
      </c>
      <c r="L411" s="22"/>
    </row>
    <row r="412" spans="1:12" ht="14.85" customHeight="1" x14ac:dyDescent="0.25">
      <c r="A412" s="1776"/>
      <c r="B412" s="1151"/>
      <c r="C412" s="1159" t="s">
        <v>582</v>
      </c>
      <c r="D412" s="248" t="s">
        <v>251</v>
      </c>
      <c r="E412" s="249"/>
      <c r="F412" s="250"/>
      <c r="G412" s="250"/>
      <c r="H412" s="250">
        <v>24</v>
      </c>
      <c r="I412" s="250">
        <v>42</v>
      </c>
      <c r="J412" s="250">
        <v>32</v>
      </c>
      <c r="K412" s="36">
        <v>53</v>
      </c>
      <c r="L412" s="20"/>
    </row>
    <row r="413" spans="1:12" ht="14.85" customHeight="1" x14ac:dyDescent="0.25">
      <c r="A413" s="1776"/>
      <c r="B413" s="1151"/>
      <c r="C413" s="1160"/>
      <c r="D413" s="28" t="s">
        <v>257</v>
      </c>
      <c r="E413" s="94"/>
      <c r="F413" s="80"/>
      <c r="G413" s="80"/>
      <c r="H413" s="80">
        <v>23</v>
      </c>
      <c r="I413" s="80">
        <v>4</v>
      </c>
      <c r="J413" s="80">
        <v>31</v>
      </c>
      <c r="K413" s="28">
        <v>51</v>
      </c>
      <c r="L413" s="21"/>
    </row>
    <row r="414" spans="1:12" x14ac:dyDescent="0.25">
      <c r="A414" s="1776"/>
      <c r="B414" s="1151"/>
      <c r="C414" s="1160"/>
      <c r="D414" s="28" t="s">
        <v>263</v>
      </c>
      <c r="E414" s="94"/>
      <c r="F414" s="80"/>
      <c r="G414" s="80"/>
      <c r="H414" s="80">
        <v>1</v>
      </c>
      <c r="I414" s="80">
        <v>2</v>
      </c>
      <c r="J414" s="80">
        <v>1</v>
      </c>
      <c r="K414" s="28">
        <v>2</v>
      </c>
      <c r="L414" s="21"/>
    </row>
    <row r="415" spans="1:12" ht="16.5" thickBot="1" x14ac:dyDescent="0.3">
      <c r="A415" s="1776"/>
      <c r="B415" s="1151"/>
      <c r="C415" s="1161"/>
      <c r="D415" s="33" t="s">
        <v>270</v>
      </c>
      <c r="E415" s="104"/>
      <c r="F415" s="197"/>
      <c r="G415" s="197"/>
      <c r="H415" s="251">
        <f t="shared" ref="H415:K415" si="32">(H414/H412)*100</f>
        <v>4.1666666666666661</v>
      </c>
      <c r="I415" s="251">
        <f t="shared" si="32"/>
        <v>4.7619047619047619</v>
      </c>
      <c r="J415" s="251">
        <f t="shared" si="32"/>
        <v>3.125</v>
      </c>
      <c r="K415" s="253">
        <f t="shared" si="32"/>
        <v>3.7735849056603774</v>
      </c>
      <c r="L415" s="22"/>
    </row>
    <row r="416" spans="1:12" x14ac:dyDescent="0.25">
      <c r="A416" s="1776"/>
      <c r="B416" s="1151"/>
      <c r="C416" s="1159" t="s">
        <v>604</v>
      </c>
      <c r="D416" s="248" t="s">
        <v>251</v>
      </c>
      <c r="E416" s="249"/>
      <c r="F416" s="250"/>
      <c r="G416" s="250"/>
      <c r="H416" s="250"/>
      <c r="I416" s="250">
        <v>25</v>
      </c>
      <c r="J416" s="250">
        <v>29</v>
      </c>
      <c r="K416" s="36">
        <v>33</v>
      </c>
      <c r="L416" s="20"/>
    </row>
    <row r="417" spans="1:12" ht="14.85" customHeight="1" x14ac:dyDescent="0.25">
      <c r="A417" s="1776"/>
      <c r="B417" s="1151"/>
      <c r="C417" s="1160"/>
      <c r="D417" s="28" t="s">
        <v>257</v>
      </c>
      <c r="E417" s="94"/>
      <c r="F417" s="80"/>
      <c r="G417" s="80"/>
      <c r="H417" s="80"/>
      <c r="I417" s="80">
        <v>22</v>
      </c>
      <c r="J417" s="80">
        <v>27</v>
      </c>
      <c r="K417" s="28">
        <v>32</v>
      </c>
      <c r="L417" s="21"/>
    </row>
    <row r="418" spans="1:12" x14ac:dyDescent="0.25">
      <c r="A418" s="1776"/>
      <c r="B418" s="1151"/>
      <c r="C418" s="1160"/>
      <c r="D418" s="28" t="s">
        <v>263</v>
      </c>
      <c r="E418" s="94"/>
      <c r="F418" s="80"/>
      <c r="G418" s="80"/>
      <c r="H418" s="80"/>
      <c r="I418" s="80">
        <v>3</v>
      </c>
      <c r="J418" s="80">
        <v>2</v>
      </c>
      <c r="K418" s="28">
        <v>1</v>
      </c>
      <c r="L418" s="21"/>
    </row>
    <row r="419" spans="1:12" ht="16.5" thickBot="1" x14ac:dyDescent="0.3">
      <c r="A419" s="1776"/>
      <c r="B419" s="1151"/>
      <c r="C419" s="1161"/>
      <c r="D419" s="33" t="s">
        <v>270</v>
      </c>
      <c r="E419" s="104"/>
      <c r="F419" s="197"/>
      <c r="G419" s="197"/>
      <c r="H419" s="197"/>
      <c r="I419" s="251">
        <f t="shared" ref="I419:K419" si="33">(I418/I416)*100</f>
        <v>12</v>
      </c>
      <c r="J419" s="251">
        <f t="shared" si="33"/>
        <v>6.8965517241379306</v>
      </c>
      <c r="K419" s="253">
        <f t="shared" si="33"/>
        <v>3.0303030303030303</v>
      </c>
      <c r="L419" s="22"/>
    </row>
    <row r="420" spans="1:12" x14ac:dyDescent="0.25">
      <c r="A420" s="1776"/>
      <c r="B420" s="1678"/>
      <c r="C420" s="1166" t="s">
        <v>472</v>
      </c>
      <c r="D420" s="308" t="s">
        <v>473</v>
      </c>
      <c r="E420" s="249"/>
      <c r="F420" s="261">
        <v>100</v>
      </c>
      <c r="G420" s="261">
        <v>100</v>
      </c>
      <c r="H420" s="261">
        <f>3/4*100</f>
        <v>75</v>
      </c>
      <c r="I420" s="261">
        <f>3/5*100</f>
        <v>60</v>
      </c>
      <c r="J420" s="261">
        <v>60</v>
      </c>
      <c r="K420" s="261">
        <f>5/5*100</f>
        <v>100</v>
      </c>
      <c r="L420" s="20"/>
    </row>
    <row r="421" spans="1:12" x14ac:dyDescent="0.25">
      <c r="A421" s="1776"/>
      <c r="B421" s="1678"/>
      <c r="C421" s="1167"/>
      <c r="D421" s="232" t="s">
        <v>474</v>
      </c>
      <c r="E421" s="94"/>
      <c r="F421" s="234">
        <v>0</v>
      </c>
      <c r="G421" s="234">
        <v>0</v>
      </c>
      <c r="H421" s="234">
        <f>1/4*100</f>
        <v>25</v>
      </c>
      <c r="I421" s="234">
        <v>40</v>
      </c>
      <c r="J421" s="234">
        <v>40</v>
      </c>
      <c r="K421" s="234">
        <v>0</v>
      </c>
      <c r="L421" s="21"/>
    </row>
    <row r="422" spans="1:12" ht="16.5" thickBot="1" x14ac:dyDescent="0.3">
      <c r="A422" s="1776"/>
      <c r="B422" s="1745"/>
      <c r="C422" s="1255"/>
      <c r="D422" s="311" t="s">
        <v>475</v>
      </c>
      <c r="E422" s="104"/>
      <c r="F422" s="312">
        <v>0</v>
      </c>
      <c r="G422" s="312">
        <v>0</v>
      </c>
      <c r="H422" s="312">
        <v>0</v>
      </c>
      <c r="I422" s="312">
        <v>0</v>
      </c>
      <c r="J422" s="312">
        <v>0</v>
      </c>
      <c r="K422" s="312">
        <v>0</v>
      </c>
      <c r="L422" s="22"/>
    </row>
    <row r="423" spans="1:12" ht="16.5" thickBot="1" x14ac:dyDescent="0.3">
      <c r="A423" s="1775"/>
      <c r="B423" s="896" t="s">
        <v>249</v>
      </c>
      <c r="C423" s="1675"/>
      <c r="D423" s="1675"/>
      <c r="E423" s="112" t="s">
        <v>442</v>
      </c>
      <c r="F423" s="112" t="s">
        <v>443</v>
      </c>
      <c r="G423" s="112" t="s">
        <v>444</v>
      </c>
      <c r="H423" s="112" t="s">
        <v>445</v>
      </c>
      <c r="I423" s="112" t="s">
        <v>446</v>
      </c>
      <c r="J423" s="112" t="s">
        <v>447</v>
      </c>
      <c r="K423" s="112" t="s">
        <v>448</v>
      </c>
      <c r="L423" s="112" t="s">
        <v>449</v>
      </c>
    </row>
    <row r="424" spans="1:12" x14ac:dyDescent="0.25">
      <c r="A424" s="1776"/>
      <c r="B424" s="1744" t="s">
        <v>219</v>
      </c>
      <c r="C424" s="1251" t="s">
        <v>459</v>
      </c>
      <c r="D424" s="1206"/>
      <c r="E424" s="36"/>
      <c r="F424" s="259"/>
      <c r="G424" s="259"/>
      <c r="H424" s="259"/>
      <c r="I424" s="359">
        <v>40</v>
      </c>
      <c r="J424" s="359">
        <v>49</v>
      </c>
      <c r="K424" s="40">
        <v>46</v>
      </c>
      <c r="L424" s="20"/>
    </row>
    <row r="425" spans="1:12" x14ac:dyDescent="0.25">
      <c r="A425" s="1776"/>
      <c r="B425" s="1678"/>
      <c r="C425" s="1123" t="s">
        <v>436</v>
      </c>
      <c r="D425" s="1124"/>
      <c r="E425" s="28"/>
      <c r="F425" s="187"/>
      <c r="G425" s="187"/>
      <c r="H425" s="187"/>
      <c r="I425" s="358">
        <v>18</v>
      </c>
      <c r="J425" s="358">
        <v>28</v>
      </c>
      <c r="K425" s="28">
        <v>25</v>
      </c>
      <c r="L425" s="21"/>
    </row>
    <row r="426" spans="1:12" x14ac:dyDescent="0.25">
      <c r="A426" s="1776"/>
      <c r="B426" s="1678"/>
      <c r="C426" s="1123" t="s">
        <v>437</v>
      </c>
      <c r="D426" s="1124"/>
      <c r="E426" s="96"/>
      <c r="F426" s="96"/>
      <c r="G426" s="96"/>
      <c r="H426" s="96"/>
      <c r="I426" s="358">
        <v>22</v>
      </c>
      <c r="J426" s="96">
        <v>21</v>
      </c>
      <c r="K426" s="96">
        <v>21</v>
      </c>
      <c r="L426" s="21"/>
    </row>
    <row r="427" spans="1:12" x14ac:dyDescent="0.25">
      <c r="A427" s="1776"/>
      <c r="B427" s="1678"/>
      <c r="C427" s="1111" t="s">
        <v>353</v>
      </c>
      <c r="D427" s="1112"/>
      <c r="E427" s="157"/>
      <c r="F427" s="157"/>
      <c r="G427" s="157"/>
      <c r="H427" s="96"/>
      <c r="I427" s="157">
        <f>I426-I425</f>
        <v>4</v>
      </c>
      <c r="J427" s="157">
        <f>J426-J425</f>
        <v>-7</v>
      </c>
      <c r="K427" s="157">
        <f>K426-K425</f>
        <v>-4</v>
      </c>
      <c r="L427" s="21"/>
    </row>
    <row r="428" spans="1:12" ht="16.5" thickBot="1" x14ac:dyDescent="0.3">
      <c r="A428" s="1776"/>
      <c r="B428" s="1678"/>
      <c r="C428" s="1125" t="s">
        <v>270</v>
      </c>
      <c r="D428" s="1126"/>
      <c r="E428" s="190"/>
      <c r="F428" s="190"/>
      <c r="G428" s="190"/>
      <c r="H428" s="890"/>
      <c r="I428" s="904">
        <f>I426/I424*100</f>
        <v>55.000000000000007</v>
      </c>
      <c r="J428" s="34">
        <f>J426/J424*100</f>
        <v>42.857142857142854</v>
      </c>
      <c r="K428" s="34">
        <f>K426/K424*100</f>
        <v>45.652173913043477</v>
      </c>
      <c r="L428" s="22"/>
    </row>
    <row r="429" spans="1:12" x14ac:dyDescent="0.25">
      <c r="A429" s="1776"/>
      <c r="B429" s="1678"/>
      <c r="C429" s="1406" t="s">
        <v>484</v>
      </c>
      <c r="D429" s="1405"/>
      <c r="E429" s="225"/>
      <c r="F429" s="225"/>
      <c r="G429" s="225"/>
      <c r="H429" s="283"/>
      <c r="I429" s="261">
        <v>0</v>
      </c>
      <c r="J429" s="261">
        <v>0</v>
      </c>
      <c r="K429" s="315">
        <v>50</v>
      </c>
      <c r="L429" s="20"/>
    </row>
    <row r="430" spans="1:12" x14ac:dyDescent="0.25">
      <c r="A430" s="1776"/>
      <c r="B430" s="1678"/>
      <c r="C430" s="1111" t="s">
        <v>485</v>
      </c>
      <c r="D430" s="1112"/>
      <c r="E430" s="96"/>
      <c r="F430" s="96"/>
      <c r="G430" s="96"/>
      <c r="H430" s="29"/>
      <c r="I430" s="235">
        <v>0</v>
      </c>
      <c r="J430" s="235">
        <v>0</v>
      </c>
      <c r="K430" s="237">
        <v>25</v>
      </c>
      <c r="L430" s="21"/>
    </row>
    <row r="431" spans="1:12" x14ac:dyDescent="0.25">
      <c r="A431" s="1777"/>
      <c r="B431" s="1679"/>
      <c r="C431" s="1277" t="s">
        <v>486</v>
      </c>
      <c r="D431" s="1142"/>
      <c r="E431" s="360"/>
      <c r="F431" s="360"/>
      <c r="G431" s="360"/>
      <c r="H431" s="514"/>
      <c r="I431" s="356">
        <f>1/1*100</f>
        <v>100</v>
      </c>
      <c r="J431" s="356">
        <f>1/1*100</f>
        <v>100</v>
      </c>
      <c r="K431" s="361">
        <v>25</v>
      </c>
      <c r="L431" s="53"/>
    </row>
    <row r="432" spans="1:12" ht="16.5" thickBot="1" x14ac:dyDescent="0.3">
      <c r="A432" s="338" t="s">
        <v>248</v>
      </c>
      <c r="B432" s="338" t="s">
        <v>249</v>
      </c>
      <c r="C432" s="1422"/>
      <c r="D432" s="1422"/>
      <c r="E432" s="616">
        <v>2005</v>
      </c>
      <c r="F432" s="616">
        <v>2010</v>
      </c>
      <c r="G432" s="616">
        <v>2015</v>
      </c>
      <c r="H432" s="616">
        <v>2020</v>
      </c>
      <c r="I432" s="616">
        <v>2021</v>
      </c>
      <c r="J432" s="616">
        <v>2022</v>
      </c>
      <c r="K432" s="616">
        <v>2023</v>
      </c>
      <c r="L432" s="616">
        <v>2024</v>
      </c>
    </row>
    <row r="433" spans="1:12" ht="15" customHeight="1" x14ac:dyDescent="0.25">
      <c r="A433" s="1735" t="s">
        <v>487</v>
      </c>
      <c r="B433" s="1692" t="s">
        <v>227</v>
      </c>
      <c r="C433" s="1206" t="s">
        <v>435</v>
      </c>
      <c r="D433" s="1206"/>
      <c r="E433" s="36"/>
      <c r="F433" s="36"/>
      <c r="G433" s="36"/>
      <c r="H433" s="36"/>
      <c r="I433" s="36"/>
      <c r="J433" s="36"/>
      <c r="K433" s="195">
        <v>289</v>
      </c>
      <c r="L433" s="325">
        <v>297</v>
      </c>
    </row>
    <row r="434" spans="1:12" x14ac:dyDescent="0.25">
      <c r="A434" s="1736"/>
      <c r="B434" s="1693"/>
      <c r="C434" s="1124" t="s">
        <v>533</v>
      </c>
      <c r="D434" s="1124"/>
      <c r="E434" s="28"/>
      <c r="F434" s="28"/>
      <c r="G434" s="28"/>
      <c r="H434" s="28"/>
      <c r="I434" s="28"/>
      <c r="J434" s="28"/>
      <c r="K434" s="28">
        <v>78</v>
      </c>
      <c r="L434" s="21">
        <v>79</v>
      </c>
    </row>
    <row r="435" spans="1:12" x14ac:dyDescent="0.25">
      <c r="A435" s="1736"/>
      <c r="B435" s="1693"/>
      <c r="C435" s="1124" t="s">
        <v>534</v>
      </c>
      <c r="D435" s="1124"/>
      <c r="E435" s="28"/>
      <c r="F435" s="28"/>
      <c r="G435" s="28"/>
      <c r="H435" s="28"/>
      <c r="I435" s="28"/>
      <c r="J435" s="28"/>
      <c r="K435" s="28">
        <v>211</v>
      </c>
      <c r="L435" s="21">
        <v>218</v>
      </c>
    </row>
    <row r="436" spans="1:12" x14ac:dyDescent="0.25">
      <c r="A436" s="1736"/>
      <c r="B436" s="1693"/>
      <c r="C436" s="1128" t="s">
        <v>353</v>
      </c>
      <c r="D436" s="1128"/>
      <c r="E436" s="28"/>
      <c r="F436" s="28"/>
      <c r="G436" s="28"/>
      <c r="H436" s="28"/>
      <c r="I436" s="28"/>
      <c r="J436" s="28"/>
      <c r="K436" s="262">
        <f t="shared" ref="K436" si="34">K435-K434</f>
        <v>133</v>
      </c>
      <c r="L436" s="317">
        <v>139</v>
      </c>
    </row>
    <row r="437" spans="1:12" ht="16.5" thickBot="1" x14ac:dyDescent="0.3">
      <c r="A437" s="1736"/>
      <c r="B437" s="1694"/>
      <c r="C437" s="1126" t="s">
        <v>270</v>
      </c>
      <c r="D437" s="1126"/>
      <c r="E437" s="197"/>
      <c r="F437" s="197"/>
      <c r="G437" s="197"/>
      <c r="H437" s="197"/>
      <c r="I437" s="197"/>
      <c r="J437" s="197"/>
      <c r="K437" s="161">
        <f t="shared" ref="K437" si="35">K435/K433*100</f>
        <v>73.010380622837374</v>
      </c>
      <c r="L437" s="162">
        <v>73.400673400673398</v>
      </c>
    </row>
    <row r="438" spans="1:12" x14ac:dyDescent="0.25">
      <c r="A438" s="1736"/>
      <c r="B438" s="1692" t="s">
        <v>488</v>
      </c>
      <c r="C438" s="1206" t="s">
        <v>489</v>
      </c>
      <c r="D438" s="1206"/>
      <c r="E438" s="36"/>
      <c r="F438" s="40">
        <v>36</v>
      </c>
      <c r="G438" s="40">
        <v>40</v>
      </c>
      <c r="H438" s="40">
        <v>54</v>
      </c>
      <c r="I438" s="40"/>
      <c r="J438" s="40"/>
      <c r="K438" s="40">
        <v>61</v>
      </c>
      <c r="L438" s="1072">
        <v>31</v>
      </c>
    </row>
    <row r="439" spans="1:12" x14ac:dyDescent="0.25">
      <c r="A439" s="1736"/>
      <c r="B439" s="1693"/>
      <c r="C439" s="1110" t="s">
        <v>490</v>
      </c>
      <c r="D439" s="1110"/>
      <c r="E439" s="96"/>
      <c r="F439" s="44">
        <v>2</v>
      </c>
      <c r="G439" s="44">
        <v>1</v>
      </c>
      <c r="H439" s="44">
        <v>1</v>
      </c>
      <c r="I439" s="44"/>
      <c r="J439" s="44"/>
      <c r="K439" s="44">
        <v>1</v>
      </c>
      <c r="L439" s="1072">
        <v>1</v>
      </c>
    </row>
    <row r="440" spans="1:12" ht="16.5" thickBot="1" x14ac:dyDescent="0.3">
      <c r="A440" s="1737"/>
      <c r="B440" s="1694"/>
      <c r="C440" s="1225" t="s">
        <v>491</v>
      </c>
      <c r="D440" s="1225"/>
      <c r="E440" s="203"/>
      <c r="F440" s="161">
        <f>2/F438*100</f>
        <v>5.5555555555555554</v>
      </c>
      <c r="G440" s="161">
        <f>1/G438*100</f>
        <v>2.5</v>
      </c>
      <c r="H440" s="161">
        <f>1/H438*100</f>
        <v>1.8518518518518516</v>
      </c>
      <c r="I440" s="203"/>
      <c r="J440" s="203"/>
      <c r="K440" s="161">
        <f>1/K438*100</f>
        <v>1.639344262295082</v>
      </c>
      <c r="L440" s="859">
        <v>3.225806451612903</v>
      </c>
    </row>
    <row r="441" spans="1:12" ht="16.5" thickBot="1" x14ac:dyDescent="0.3">
      <c r="A441" s="767" t="s">
        <v>248</v>
      </c>
      <c r="B441" s="773" t="s">
        <v>249</v>
      </c>
      <c r="C441" s="1681"/>
      <c r="D441" s="1681"/>
      <c r="E441" s="112">
        <v>2005</v>
      </c>
      <c r="F441" s="112">
        <v>2010</v>
      </c>
      <c r="G441" s="112">
        <v>2015</v>
      </c>
      <c r="H441" s="112">
        <v>2020</v>
      </c>
      <c r="I441" s="112">
        <v>2021</v>
      </c>
      <c r="J441" s="112">
        <v>2022</v>
      </c>
      <c r="K441" s="112">
        <v>2023</v>
      </c>
      <c r="L441" s="112">
        <v>2024</v>
      </c>
    </row>
    <row r="442" spans="1:12" ht="15" customHeight="1" x14ac:dyDescent="0.25">
      <c r="A442" s="1705" t="s">
        <v>492</v>
      </c>
      <c r="B442" s="1624" t="s">
        <v>493</v>
      </c>
      <c r="C442" s="1251" t="s">
        <v>459</v>
      </c>
      <c r="D442" s="1206"/>
      <c r="E442" s="36"/>
      <c r="F442" s="195">
        <v>300</v>
      </c>
      <c r="G442" s="195">
        <v>361</v>
      </c>
      <c r="H442" s="195">
        <v>545</v>
      </c>
      <c r="I442" s="195">
        <v>671</v>
      </c>
      <c r="J442" s="195">
        <v>846</v>
      </c>
      <c r="K442" s="195">
        <v>898</v>
      </c>
      <c r="L442" s="195">
        <v>844</v>
      </c>
    </row>
    <row r="443" spans="1:12" x14ac:dyDescent="0.25">
      <c r="A443" s="1706"/>
      <c r="B443" s="1625"/>
      <c r="C443" s="1320" t="s">
        <v>436</v>
      </c>
      <c r="D443" s="28" t="s">
        <v>494</v>
      </c>
      <c r="E443" s="28"/>
      <c r="F443" s="96">
        <f>131</f>
        <v>131</v>
      </c>
      <c r="G443" s="96">
        <f>160</f>
        <v>160</v>
      </c>
      <c r="H443" s="96">
        <f>279</f>
        <v>279</v>
      </c>
      <c r="I443" s="96">
        <f>344</f>
        <v>344</v>
      </c>
      <c r="J443" s="96">
        <f>467</f>
        <v>467</v>
      </c>
      <c r="K443" s="96">
        <f>457</f>
        <v>457</v>
      </c>
      <c r="L443" s="21">
        <v>479</v>
      </c>
    </row>
    <row r="444" spans="1:12" x14ac:dyDescent="0.25">
      <c r="A444" s="1706"/>
      <c r="B444" s="1625"/>
      <c r="C444" s="1320"/>
      <c r="D444" s="28" t="s">
        <v>495</v>
      </c>
      <c r="E444" s="28"/>
      <c r="F444" s="96">
        <f>19</f>
        <v>19</v>
      </c>
      <c r="G444" s="96">
        <f>19</f>
        <v>19</v>
      </c>
      <c r="H444" s="96">
        <f>36</f>
        <v>36</v>
      </c>
      <c r="I444" s="96">
        <f>38</f>
        <v>38</v>
      </c>
      <c r="J444" s="96">
        <f>59</f>
        <v>59</v>
      </c>
      <c r="K444" s="96">
        <f>59</f>
        <v>59</v>
      </c>
      <c r="L444" s="21">
        <v>37</v>
      </c>
    </row>
    <row r="445" spans="1:12" x14ac:dyDescent="0.25">
      <c r="A445" s="1706"/>
      <c r="B445" s="1625"/>
      <c r="C445" s="1320" t="s">
        <v>437</v>
      </c>
      <c r="D445" s="28" t="s">
        <v>496</v>
      </c>
      <c r="E445" s="28"/>
      <c r="F445" s="96">
        <f>47</f>
        <v>47</v>
      </c>
      <c r="G445" s="96">
        <f>65</f>
        <v>65</v>
      </c>
      <c r="H445" s="96">
        <f>106</f>
        <v>106</v>
      </c>
      <c r="I445" s="96">
        <f>134</f>
        <v>134</v>
      </c>
      <c r="J445" s="96">
        <f>167</f>
        <v>167</v>
      </c>
      <c r="K445" s="96">
        <f>184</f>
        <v>184</v>
      </c>
      <c r="L445" s="21">
        <v>146</v>
      </c>
    </row>
    <row r="446" spans="1:12" ht="16.5" thickBot="1" x14ac:dyDescent="0.3">
      <c r="A446" s="1706"/>
      <c r="B446" s="1625"/>
      <c r="C446" s="1559"/>
      <c r="D446" s="110" t="s">
        <v>497</v>
      </c>
      <c r="E446" s="110"/>
      <c r="F446" s="360">
        <f>27</f>
        <v>27</v>
      </c>
      <c r="G446" s="360">
        <f>22</f>
        <v>22</v>
      </c>
      <c r="H446" s="360">
        <f>32</f>
        <v>32</v>
      </c>
      <c r="I446" s="360">
        <f>40</f>
        <v>40</v>
      </c>
      <c r="J446" s="360">
        <f>55</f>
        <v>55</v>
      </c>
      <c r="K446" s="360">
        <f>48</f>
        <v>48</v>
      </c>
      <c r="L446" s="53">
        <v>59</v>
      </c>
    </row>
    <row r="447" spans="1:12" ht="16.5" customHeight="1" x14ac:dyDescent="0.25">
      <c r="A447" s="1706"/>
      <c r="B447" s="1625"/>
      <c r="C447" s="1441" t="s">
        <v>353</v>
      </c>
      <c r="D447" s="40" t="s">
        <v>498</v>
      </c>
      <c r="E447" s="36"/>
      <c r="F447" s="81">
        <f>+F445-F443</f>
        <v>-84</v>
      </c>
      <c r="G447" s="81">
        <f t="shared" ref="G447:L447" si="36">+G445-G443</f>
        <v>-95</v>
      </c>
      <c r="H447" s="81">
        <f>+H445-H443</f>
        <v>-173</v>
      </c>
      <c r="I447" s="81">
        <f>+I445-I443</f>
        <v>-210</v>
      </c>
      <c r="J447" s="81">
        <f t="shared" si="36"/>
        <v>-300</v>
      </c>
      <c r="K447" s="81">
        <f t="shared" si="36"/>
        <v>-273</v>
      </c>
      <c r="L447" s="81">
        <f t="shared" si="36"/>
        <v>-333</v>
      </c>
    </row>
    <row r="448" spans="1:12" x14ac:dyDescent="0.25">
      <c r="A448" s="1706"/>
      <c r="B448" s="1625"/>
      <c r="C448" s="1560"/>
      <c r="D448" s="44" t="s">
        <v>499</v>
      </c>
      <c r="E448" s="28"/>
      <c r="F448" s="79">
        <f>F446-F444</f>
        <v>8</v>
      </c>
      <c r="G448" s="79">
        <f t="shared" ref="G448:J448" si="37">G446-G444</f>
        <v>3</v>
      </c>
      <c r="H448" s="79">
        <f>H446-H444</f>
        <v>-4</v>
      </c>
      <c r="I448" s="79">
        <f t="shared" si="37"/>
        <v>2</v>
      </c>
      <c r="J448" s="79">
        <f t="shared" si="37"/>
        <v>-4</v>
      </c>
      <c r="K448" s="79">
        <f>K446-K444</f>
        <v>-11</v>
      </c>
      <c r="L448" s="79">
        <f>L446-L444</f>
        <v>22</v>
      </c>
    </row>
    <row r="449" spans="1:12" ht="16.5" customHeight="1" x14ac:dyDescent="0.25">
      <c r="A449" s="1706"/>
      <c r="B449" s="1625"/>
      <c r="C449" s="1560" t="s">
        <v>270</v>
      </c>
      <c r="D449" s="44" t="s">
        <v>500</v>
      </c>
      <c r="E449" s="28"/>
      <c r="F449" s="263">
        <f>+F445/(F445+F443)*100</f>
        <v>26.40449438202247</v>
      </c>
      <c r="G449" s="263">
        <f t="shared" ref="G449:L449" si="38">+G445/(G445+G443)*100</f>
        <v>28.888888888888886</v>
      </c>
      <c r="H449" s="263">
        <f t="shared" si="38"/>
        <v>27.532467532467532</v>
      </c>
      <c r="I449" s="263">
        <f t="shared" si="38"/>
        <v>28.03347280334728</v>
      </c>
      <c r="J449" s="263">
        <f t="shared" si="38"/>
        <v>26.34069400630915</v>
      </c>
      <c r="K449" s="263">
        <f t="shared" si="38"/>
        <v>28.705148205928239</v>
      </c>
      <c r="L449" s="263">
        <f t="shared" si="38"/>
        <v>23.36</v>
      </c>
    </row>
    <row r="450" spans="1:12" ht="16.5" thickBot="1" x14ac:dyDescent="0.3">
      <c r="A450" s="1707"/>
      <c r="B450" s="1626"/>
      <c r="C450" s="1421"/>
      <c r="D450" s="203" t="s">
        <v>501</v>
      </c>
      <c r="E450" s="33"/>
      <c r="F450" s="230">
        <f>+F446/(F446+F444)*100</f>
        <v>58.695652173913047</v>
      </c>
      <c r="G450" s="230">
        <f t="shared" ref="G450:L450" si="39">+G446/(G446+G444)*100</f>
        <v>53.658536585365859</v>
      </c>
      <c r="H450" s="230">
        <f t="shared" si="39"/>
        <v>47.058823529411761</v>
      </c>
      <c r="I450" s="230">
        <f t="shared" si="39"/>
        <v>51.282051282051277</v>
      </c>
      <c r="J450" s="230">
        <f t="shared" si="39"/>
        <v>48.245614035087719</v>
      </c>
      <c r="K450" s="230">
        <f t="shared" si="39"/>
        <v>44.859813084112147</v>
      </c>
      <c r="L450" s="230">
        <f t="shared" si="39"/>
        <v>61.458333333333336</v>
      </c>
    </row>
    <row r="457" spans="1:12" ht="21.6" customHeight="1" x14ac:dyDescent="0.25"/>
    <row r="458" spans="1:12" ht="21.6" customHeight="1" x14ac:dyDescent="0.25"/>
    <row r="459" spans="1:12" ht="21.6" customHeight="1" x14ac:dyDescent="0.25"/>
    <row r="460" spans="1:12" ht="21.6" customHeight="1" x14ac:dyDescent="0.25"/>
    <row r="461" spans="1:12" ht="21.6" customHeight="1" x14ac:dyDescent="0.25"/>
    <row r="462" spans="1:12" ht="21.6" customHeight="1" x14ac:dyDescent="0.25"/>
    <row r="463" spans="1:12" ht="21.6" customHeight="1" x14ac:dyDescent="0.25"/>
    <row r="464" spans="1:12" ht="21.6" customHeight="1" x14ac:dyDescent="0.25"/>
    <row r="465" ht="21.6" customHeight="1" x14ac:dyDescent="0.25"/>
    <row r="466" ht="21.6" customHeight="1" x14ac:dyDescent="0.25"/>
    <row r="467" ht="21.6" customHeight="1" x14ac:dyDescent="0.25"/>
    <row r="468" ht="21.6" customHeight="1" x14ac:dyDescent="0.25"/>
    <row r="469" ht="21.6" customHeight="1" x14ac:dyDescent="0.25"/>
    <row r="470" ht="21.6" customHeight="1" x14ac:dyDescent="0.25"/>
    <row r="471" ht="21.6" customHeight="1" x14ac:dyDescent="0.25"/>
    <row r="472" ht="21.6" customHeight="1" x14ac:dyDescent="0.25"/>
    <row r="473" ht="17.100000000000001" customHeight="1" x14ac:dyDescent="0.25"/>
    <row r="474" ht="17.100000000000001" customHeight="1" x14ac:dyDescent="0.25"/>
    <row r="475" ht="17.100000000000001" customHeight="1" x14ac:dyDescent="0.25"/>
    <row r="476" ht="17.100000000000001" customHeight="1" x14ac:dyDescent="0.25"/>
    <row r="477" ht="17.100000000000001" customHeight="1" x14ac:dyDescent="0.25"/>
    <row r="478" ht="17.100000000000001" customHeight="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sheetData>
  <mergeCells count="223">
    <mergeCell ref="C447:C448"/>
    <mergeCell ref="C396:D396"/>
    <mergeCell ref="C429:D429"/>
    <mergeCell ref="C430:D430"/>
    <mergeCell ref="C431:D431"/>
    <mergeCell ref="C350:D350"/>
    <mergeCell ref="C358:D358"/>
    <mergeCell ref="C359:D359"/>
    <mergeCell ref="C360:D360"/>
    <mergeCell ref="C351:C353"/>
    <mergeCell ref="C388:C391"/>
    <mergeCell ref="C395:D395"/>
    <mergeCell ref="C442:D442"/>
    <mergeCell ref="C432:D432"/>
    <mergeCell ref="C443:C444"/>
    <mergeCell ref="C441:D441"/>
    <mergeCell ref="C427:D427"/>
    <mergeCell ref="C357:D357"/>
    <mergeCell ref="B362:B370"/>
    <mergeCell ref="C362:C364"/>
    <mergeCell ref="C365:C367"/>
    <mergeCell ref="C368:D368"/>
    <mergeCell ref="C369:D369"/>
    <mergeCell ref="C370:D370"/>
    <mergeCell ref="C372:D372"/>
    <mergeCell ref="C392:C394"/>
    <mergeCell ref="B372:B394"/>
    <mergeCell ref="C373:D373"/>
    <mergeCell ref="C374:D374"/>
    <mergeCell ref="C375:D375"/>
    <mergeCell ref="C371:D371"/>
    <mergeCell ref="A351:A360"/>
    <mergeCell ref="B351:B360"/>
    <mergeCell ref="C354:C356"/>
    <mergeCell ref="C361:D361"/>
    <mergeCell ref="C400:C403"/>
    <mergeCell ref="C404:C407"/>
    <mergeCell ref="C408:C411"/>
    <mergeCell ref="C416:C419"/>
    <mergeCell ref="C412:C415"/>
    <mergeCell ref="C376:C379"/>
    <mergeCell ref="C380:C383"/>
    <mergeCell ref="C384:C387"/>
    <mergeCell ref="A362:A431"/>
    <mergeCell ref="C424:D424"/>
    <mergeCell ref="C425:D425"/>
    <mergeCell ref="C426:D426"/>
    <mergeCell ref="C428:D428"/>
    <mergeCell ref="C397:D397"/>
    <mergeCell ref="C398:D398"/>
    <mergeCell ref="C399:D399"/>
    <mergeCell ref="B424:B431"/>
    <mergeCell ref="C420:C422"/>
    <mergeCell ref="C423:D423"/>
    <mergeCell ref="B396:B422"/>
    <mergeCell ref="A433:A440"/>
    <mergeCell ref="B433:B437"/>
    <mergeCell ref="C433:D433"/>
    <mergeCell ref="C434:D434"/>
    <mergeCell ref="C435:D435"/>
    <mergeCell ref="C437:D437"/>
    <mergeCell ref="B438:B440"/>
    <mergeCell ref="C438:D438"/>
    <mergeCell ref="C440:D440"/>
    <mergeCell ref="C436:D436"/>
    <mergeCell ref="C439:D439"/>
    <mergeCell ref="A442:A450"/>
    <mergeCell ref="B442:B450"/>
    <mergeCell ref="C445:C446"/>
    <mergeCell ref="C449:C450"/>
    <mergeCell ref="C316:D316"/>
    <mergeCell ref="C341:D341"/>
    <mergeCell ref="A342:A349"/>
    <mergeCell ref="B342:B345"/>
    <mergeCell ref="C342:D342"/>
    <mergeCell ref="C343:D343"/>
    <mergeCell ref="C344:D344"/>
    <mergeCell ref="C345:D345"/>
    <mergeCell ref="B346:B349"/>
    <mergeCell ref="C346:D346"/>
    <mergeCell ref="C347:D347"/>
    <mergeCell ref="C348:D348"/>
    <mergeCell ref="C349:D349"/>
    <mergeCell ref="B326:B335"/>
    <mergeCell ref="C326:C330"/>
    <mergeCell ref="A317:A340"/>
    <mergeCell ref="B317:B321"/>
    <mergeCell ref="C317:D317"/>
    <mergeCell ref="C318:D318"/>
    <mergeCell ref="C319:D319"/>
    <mergeCell ref="C320:D320"/>
    <mergeCell ref="C321:D321"/>
    <mergeCell ref="C322:D322"/>
    <mergeCell ref="C323:D323"/>
    <mergeCell ref="C324:D324"/>
    <mergeCell ref="C325:D325"/>
    <mergeCell ref="C331:C335"/>
    <mergeCell ref="B336:B340"/>
    <mergeCell ref="C336:D336"/>
    <mergeCell ref="C337:D337"/>
    <mergeCell ref="C338:D338"/>
    <mergeCell ref="C339:D339"/>
    <mergeCell ref="C340:D340"/>
    <mergeCell ref="B322:B325"/>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6:D46"/>
    <mergeCell ref="B36:B40"/>
    <mergeCell ref="C36:D36"/>
    <mergeCell ref="C37:D37"/>
    <mergeCell ref="C38:D38"/>
    <mergeCell ref="C39:D39"/>
    <mergeCell ref="C40:D40"/>
    <mergeCell ref="B31:B35"/>
    <mergeCell ref="B41:B45"/>
    <mergeCell ref="C41:D41"/>
    <mergeCell ref="C42:D42"/>
    <mergeCell ref="C43:D43"/>
    <mergeCell ref="C45:D45"/>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93:C296"/>
    <mergeCell ref="C297:C300"/>
    <mergeCell ref="C301:C304"/>
    <mergeCell ref="C305:C308"/>
    <mergeCell ref="C309:C312"/>
    <mergeCell ref="C313:D313"/>
    <mergeCell ref="C314:D314"/>
    <mergeCell ref="C315:D315"/>
    <mergeCell ref="C257:C260"/>
    <mergeCell ref="C261:C264"/>
    <mergeCell ref="C265:C268"/>
    <mergeCell ref="C269:C272"/>
    <mergeCell ref="C273:C276"/>
    <mergeCell ref="C277:C280"/>
    <mergeCell ref="C281:C284"/>
    <mergeCell ref="C285:C288"/>
    <mergeCell ref="C289:C292"/>
  </mergeCells>
  <conditionalFormatting sqref="E349:F349">
    <cfRule type="cellIs" dxfId="69" priority="292" operator="lessThan">
      <formula>0</formula>
    </cfRule>
    <cfRule type="cellIs" dxfId="68" priority="293" operator="greaterThan">
      <formula>0</formula>
    </cfRule>
  </conditionalFormatting>
  <conditionalFormatting sqref="E39:L39">
    <cfRule type="cellIs" dxfId="67" priority="182" operator="greaterThan">
      <formula>1</formula>
    </cfRule>
    <cfRule type="cellIs" dxfId="66" priority="185" operator="greaterThan">
      <formula>1</formula>
    </cfRule>
    <cfRule type="cellIs" dxfId="65" priority="184" operator="lessThan">
      <formula>1</formula>
    </cfRule>
    <cfRule type="cellIs" dxfId="64" priority="183" operator="greaterThan">
      <formula>1</formula>
    </cfRule>
  </conditionalFormatting>
  <conditionalFormatting sqref="E40:L40">
    <cfRule type="cellIs" dxfId="63" priority="181" operator="greaterThan">
      <formula>50</formula>
    </cfRule>
    <cfRule type="cellIs" dxfId="62" priority="187" operator="greaterThan">
      <formula>50</formula>
    </cfRule>
    <cfRule type="cellIs" dxfId="61" priority="186" operator="lessThan">
      <formula>50</formula>
    </cfRule>
  </conditionalFormatting>
  <conditionalFormatting sqref="E44:L44">
    <cfRule type="cellIs" dxfId="60" priority="177" operator="greaterThan">
      <formula>1</formula>
    </cfRule>
    <cfRule type="cellIs" dxfId="59" priority="178" operator="greaterThan">
      <formula>1</formula>
    </cfRule>
    <cfRule type="cellIs" dxfId="58" priority="179" operator="lessThan">
      <formula>1</formula>
    </cfRule>
    <cfRule type="cellIs" dxfId="57" priority="180" operator="greaterThan">
      <formula>1</formula>
    </cfRule>
  </conditionalFormatting>
  <conditionalFormatting sqref="E45:L45">
    <cfRule type="cellIs" dxfId="56" priority="175" operator="lessThan">
      <formula>50</formula>
    </cfRule>
    <cfRule type="cellIs" dxfId="55" priority="176" operator="greaterThan">
      <formula>50</formula>
    </cfRule>
    <cfRule type="cellIs" dxfId="54" priority="174" operator="greaterThan">
      <formula>50</formula>
    </cfRule>
  </conditionalFormatting>
  <conditionalFormatting sqref="E50:L50">
    <cfRule type="cellIs" dxfId="53" priority="144" operator="greaterThan">
      <formula>1</formula>
    </cfRule>
    <cfRule type="cellIs" dxfId="52" priority="142" operator="lessThan">
      <formula>1</formula>
    </cfRule>
    <cfRule type="cellIs" dxfId="51" priority="143" operator="greaterThan">
      <formula>1</formula>
    </cfRule>
    <cfRule type="cellIs" dxfId="50" priority="145" operator="lessThan">
      <formula>1</formula>
    </cfRule>
    <cfRule type="cellIs" dxfId="49" priority="146" operator="greaterThan">
      <formula>1</formula>
    </cfRule>
  </conditionalFormatting>
  <conditionalFormatting sqref="E51:L51">
    <cfRule type="cellIs" dxfId="48" priority="153" operator="greaterThan">
      <formula>50</formula>
    </cfRule>
    <cfRule type="cellIs" dxfId="47" priority="154" operator="lessThan">
      <formula>50</formula>
    </cfRule>
  </conditionalFormatting>
  <conditionalFormatting sqref="F370:K370">
    <cfRule type="cellIs" dxfId="46" priority="74" operator="lessThan">
      <formula>0</formula>
    </cfRule>
  </conditionalFormatting>
  <conditionalFormatting sqref="F320:L321">
    <cfRule type="cellIs" dxfId="45" priority="245" operator="lessThan">
      <formula>1</formula>
    </cfRule>
  </conditionalFormatting>
  <conditionalFormatting sqref="F447:L447">
    <cfRule type="cellIs" dxfId="44" priority="13" operator="lessThan">
      <formula>0</formula>
    </cfRule>
  </conditionalFormatting>
  <conditionalFormatting sqref="F448:L450">
    <cfRule type="cellIs" dxfId="43" priority="11" operator="greaterThan">
      <formula>0</formula>
    </cfRule>
  </conditionalFormatting>
  <conditionalFormatting sqref="F450:L450">
    <cfRule type="cellIs" dxfId="42" priority="15" operator="greaterThan">
      <formula>0</formula>
    </cfRule>
    <cfRule type="cellIs" dxfId="41" priority="16" operator="lessThan">
      <formula>0</formula>
    </cfRule>
  </conditionalFormatting>
  <conditionalFormatting sqref="G360 I360">
    <cfRule type="cellIs" dxfId="40" priority="76" operator="greaterThan">
      <formula>0</formula>
    </cfRule>
    <cfRule type="cellIs" dxfId="39" priority="75" operator="lessThan">
      <formula>0</formula>
    </cfRule>
  </conditionalFormatting>
  <conditionalFormatting sqref="G325:L325">
    <cfRule type="cellIs" dxfId="38" priority="270" operator="lessThan">
      <formula>1</formula>
    </cfRule>
    <cfRule type="cellIs" dxfId="37" priority="269" operator="greaterThan">
      <formula>0</formula>
    </cfRule>
  </conditionalFormatting>
  <conditionalFormatting sqref="H427:J427">
    <cfRule type="cellIs" dxfId="36" priority="3" operator="greaterThan">
      <formula>0</formula>
    </cfRule>
  </conditionalFormatting>
  <conditionalFormatting sqref="H59:K59">
    <cfRule type="cellIs" dxfId="35" priority="149" operator="greaterThan">
      <formula>0</formula>
    </cfRule>
  </conditionalFormatting>
  <conditionalFormatting sqref="H60:K60">
    <cfRule type="cellIs" dxfId="34" priority="151" operator="greaterThan">
      <formula>50</formula>
    </cfRule>
    <cfRule type="cellIs" dxfId="33" priority="150" operator="lessThan">
      <formula>50</formula>
    </cfRule>
    <cfRule type="cellIs" dxfId="32" priority="148" operator="greaterThan">
      <formula>50</formula>
    </cfRule>
    <cfRule type="cellIs" dxfId="31" priority="147" operator="lessThan">
      <formula>50</formula>
    </cfRule>
  </conditionalFormatting>
  <conditionalFormatting sqref="H339:K339">
    <cfRule type="cellIs" dxfId="30" priority="275" operator="greaterThan">
      <formula>0</formula>
    </cfRule>
    <cfRule type="cellIs" dxfId="29" priority="274" operator="lessThan">
      <formula>0</formula>
    </cfRule>
    <cfRule type="cellIs" dxfId="28" priority="273" operator="greaterThan">
      <formula>0</formula>
    </cfRule>
    <cfRule type="cellIs" dxfId="27" priority="271" operator="lessThan">
      <formula>0</formula>
    </cfRule>
  </conditionalFormatting>
  <conditionalFormatting sqref="H340:K340">
    <cfRule type="cellIs" dxfId="26" priority="262" operator="greaterThan">
      <formula>50</formula>
    </cfRule>
    <cfRule type="cellIs" dxfId="25" priority="261" operator="greaterThan">
      <formula>50</formula>
    </cfRule>
    <cfRule type="cellIs" dxfId="24" priority="261" operator="lessThan">
      <formula>50</formula>
    </cfRule>
  </conditionalFormatting>
  <conditionalFormatting sqref="H427:K427">
    <cfRule type="cellIs" dxfId="23" priority="2" operator="lessThan">
      <formula>0</formula>
    </cfRule>
  </conditionalFormatting>
  <conditionalFormatting sqref="H55:L55">
    <cfRule type="cellIs" dxfId="22" priority="152" operator="greaterThan">
      <formula>0</formula>
    </cfRule>
  </conditionalFormatting>
  <conditionalFormatting sqref="I329:J329">
    <cfRule type="cellIs" dxfId="21" priority="265" operator="greaterThan">
      <formula>0</formula>
    </cfRule>
    <cfRule type="cellIs" dxfId="20" priority="259" operator="greaterThan">
      <formula>0</formula>
    </cfRule>
    <cfRule type="cellIs" dxfId="19" priority="266" operator="lessThan">
      <formula>1</formula>
    </cfRule>
    <cfRule type="cellIs" dxfId="18" priority="258" operator="lessThan">
      <formula>0</formula>
    </cfRule>
  </conditionalFormatting>
  <conditionalFormatting sqref="I330:J330">
    <cfRule type="cellIs" dxfId="17" priority="257" operator="greaterThan">
      <formula>50</formula>
    </cfRule>
    <cfRule type="cellIs" dxfId="16" priority="264" operator="greaterThan">
      <formula>50</formula>
    </cfRule>
    <cfRule type="cellIs" dxfId="15" priority="256" operator="lessThan">
      <formula>50</formula>
    </cfRule>
    <cfRule type="cellIs" dxfId="14" priority="267" operator="lessThan">
      <formula>50</formula>
    </cfRule>
  </conditionalFormatting>
  <conditionalFormatting sqref="I334:L334">
    <cfRule type="cellIs" dxfId="13" priority="254" operator="lessThan">
      <formula>1</formula>
    </cfRule>
    <cfRule type="cellIs" dxfId="12" priority="250" operator="greaterThan">
      <formula>0</formula>
    </cfRule>
    <cfRule type="cellIs" dxfId="11" priority="249" operator="lessThan">
      <formula>0</formula>
    </cfRule>
    <cfRule type="cellIs" dxfId="10" priority="253" operator="greaterThan">
      <formula>0</formula>
    </cfRule>
  </conditionalFormatting>
  <conditionalFormatting sqref="I335:L335">
    <cfRule type="cellIs" dxfId="9" priority="252" operator="greaterThan">
      <formula>50</formula>
    </cfRule>
    <cfRule type="cellIs" dxfId="8" priority="255" operator="lessThan">
      <formula>50</formula>
    </cfRule>
    <cfRule type="cellIs" dxfId="7" priority="247" operator="lessThan">
      <formula>50</formula>
    </cfRule>
    <cfRule type="cellIs" dxfId="6" priority="248" operator="greaterThan">
      <formula>50</formula>
    </cfRule>
  </conditionalFormatting>
  <conditionalFormatting sqref="J428:K428">
    <cfRule type="cellIs" dxfId="5" priority="1" operator="lessThan">
      <formula>50</formula>
    </cfRule>
  </conditionalFormatting>
  <conditionalFormatting sqref="K428">
    <cfRule type="cellIs" dxfId="4" priority="4" operator="greaterThan">
      <formula>50</formula>
    </cfRule>
  </conditionalFormatting>
  <conditionalFormatting sqref="K437">
    <cfRule type="cellIs" dxfId="3" priority="10" operator="greaterThan">
      <formula>50</formula>
    </cfRule>
    <cfRule type="cellIs" dxfId="2" priority="9" operator="lessThan">
      <formula>50</formula>
    </cfRule>
    <cfRule type="cellIs" dxfId="1" priority="8" operator="lessThan">
      <formula>50</formula>
    </cfRule>
  </conditionalFormatting>
  <conditionalFormatting sqref="K335:L335">
    <cfRule type="cellIs" dxfId="0" priority="251" operator="greaterThan">
      <formula>0</formula>
    </cfRule>
  </conditionalFormatting>
  <hyperlinks>
    <hyperlink ref="M1" location="INDICADORES!A1" display="INDICADORES" xr:uid="{93077E5E-9AA3-4349-AA73-460CACDFB317}"/>
    <hyperlink ref="O1" location="DISTRITOS!A1" display="DISTRITOS" xr:uid="{98F660CC-AE33-45C3-9B38-41327DCCDA9F}"/>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7BB4B-C10E-4395-B4C1-52F4938FBE83}">
  <sheetPr codeName="Hoja3">
    <tabColor theme="8" tint="0.59999389629810485"/>
  </sheetPr>
  <dimension ref="A1:E143"/>
  <sheetViews>
    <sheetView showGridLines="0" topLeftCell="A3" zoomScale="75" zoomScaleNormal="75" workbookViewId="0">
      <selection activeCell="A3" sqref="A3:B3"/>
    </sheetView>
  </sheetViews>
  <sheetFormatPr baseColWidth="10" defaultColWidth="11.42578125" defaultRowHeight="15.75" x14ac:dyDescent="0.25"/>
  <cols>
    <col min="1" max="1" width="17.140625" style="11" customWidth="1"/>
    <col min="2" max="2" width="142" style="11" customWidth="1"/>
    <col min="3" max="16384" width="11.42578125" style="11"/>
  </cols>
  <sheetData>
    <row r="1" spans="1:5" ht="45" customHeight="1" thickBot="1" x14ac:dyDescent="0.3">
      <c r="A1" s="1099" t="s">
        <v>103</v>
      </c>
      <c r="B1" s="1099"/>
    </row>
    <row r="2" spans="1:5" ht="26.25" x14ac:dyDescent="0.4">
      <c r="A2" s="1024" t="s">
        <v>104</v>
      </c>
      <c r="B2" s="1025"/>
    </row>
    <row r="3" spans="1:5" x14ac:dyDescent="0.25">
      <c r="A3" s="1103" t="s">
        <v>105</v>
      </c>
      <c r="B3" s="1104"/>
    </row>
    <row r="4" spans="1:5" s="630" customFormat="1" ht="31.5" x14ac:dyDescent="0.25">
      <c r="A4" s="628" t="s">
        <v>106</v>
      </c>
      <c r="B4" s="629" t="s">
        <v>107</v>
      </c>
    </row>
    <row r="5" spans="1:5" s="630" customFormat="1" ht="47.25" x14ac:dyDescent="0.25">
      <c r="A5" s="628" t="s">
        <v>108</v>
      </c>
      <c r="B5" s="631" t="s">
        <v>109</v>
      </c>
    </row>
    <row r="6" spans="1:5" s="630" customFormat="1" x14ac:dyDescent="0.25">
      <c r="A6" s="1100" t="s">
        <v>110</v>
      </c>
      <c r="B6" s="632" t="s">
        <v>111</v>
      </c>
    </row>
    <row r="7" spans="1:5" s="630" customFormat="1" x14ac:dyDescent="0.25">
      <c r="A7" s="1101"/>
      <c r="B7" s="633" t="s">
        <v>112</v>
      </c>
    </row>
    <row r="8" spans="1:5" s="630" customFormat="1" ht="31.5" x14ac:dyDescent="0.25">
      <c r="A8" s="628" t="s">
        <v>113</v>
      </c>
      <c r="B8" s="634" t="s">
        <v>114</v>
      </c>
    </row>
    <row r="9" spans="1:5" x14ac:dyDescent="0.25">
      <c r="A9" s="1089" t="s">
        <v>115</v>
      </c>
      <c r="B9" s="1091"/>
    </row>
    <row r="10" spans="1:5" s="630" customFormat="1" x14ac:dyDescent="0.25">
      <c r="A10" s="628" t="s">
        <v>106</v>
      </c>
      <c r="B10" s="635" t="s">
        <v>116</v>
      </c>
    </row>
    <row r="11" spans="1:5" s="630" customFormat="1" ht="47.25" x14ac:dyDescent="0.25">
      <c r="A11" s="628" t="s">
        <v>117</v>
      </c>
      <c r="B11" s="631" t="s">
        <v>118</v>
      </c>
      <c r="E11" s="636"/>
    </row>
    <row r="12" spans="1:5" s="630" customFormat="1" x14ac:dyDescent="0.25">
      <c r="A12" s="1102" t="s">
        <v>110</v>
      </c>
      <c r="B12" s="637" t="s">
        <v>119</v>
      </c>
    </row>
    <row r="13" spans="1:5" s="630" customFormat="1" x14ac:dyDescent="0.25">
      <c r="A13" s="1102"/>
      <c r="B13" s="638" t="s">
        <v>120</v>
      </c>
    </row>
    <row r="14" spans="1:5" s="630" customFormat="1" ht="31.5" x14ac:dyDescent="0.25">
      <c r="A14" s="1102"/>
      <c r="B14" s="639" t="s">
        <v>121</v>
      </c>
    </row>
    <row r="15" spans="1:5" s="630" customFormat="1" x14ac:dyDescent="0.25">
      <c r="A15" s="640" t="s">
        <v>122</v>
      </c>
      <c r="B15" s="641" t="s">
        <v>123</v>
      </c>
    </row>
    <row r="16" spans="1:5" s="630" customFormat="1" ht="31.5" x14ac:dyDescent="0.25">
      <c r="A16" s="628" t="s">
        <v>113</v>
      </c>
      <c r="B16" s="634" t="s">
        <v>124</v>
      </c>
    </row>
    <row r="17" spans="1:2" x14ac:dyDescent="0.25">
      <c r="A17" s="1089" t="s">
        <v>125</v>
      </c>
      <c r="B17" s="1091"/>
    </row>
    <row r="18" spans="1:2" s="630" customFormat="1" x14ac:dyDescent="0.25">
      <c r="A18" s="628" t="s">
        <v>106</v>
      </c>
      <c r="B18" s="635" t="s">
        <v>126</v>
      </c>
    </row>
    <row r="19" spans="1:2" s="630" customFormat="1" ht="57.6" customHeight="1" x14ac:dyDescent="0.25">
      <c r="A19" s="628" t="s">
        <v>117</v>
      </c>
      <c r="B19" s="631" t="s">
        <v>127</v>
      </c>
    </row>
    <row r="20" spans="1:2" s="630" customFormat="1" x14ac:dyDescent="0.25">
      <c r="A20" s="1100" t="s">
        <v>110</v>
      </c>
      <c r="B20" s="632" t="s">
        <v>119</v>
      </c>
    </row>
    <row r="21" spans="1:2" s="630" customFormat="1" x14ac:dyDescent="0.25">
      <c r="A21" s="1101"/>
      <c r="B21" s="633" t="s">
        <v>120</v>
      </c>
    </row>
    <row r="22" spans="1:2" s="630" customFormat="1" ht="31.5" x14ac:dyDescent="0.25">
      <c r="A22" s="628" t="s">
        <v>113</v>
      </c>
      <c r="B22" s="635" t="s">
        <v>128</v>
      </c>
    </row>
    <row r="23" spans="1:2" x14ac:dyDescent="0.25">
      <c r="A23" s="1089" t="s">
        <v>129</v>
      </c>
      <c r="B23" s="1091"/>
    </row>
    <row r="24" spans="1:2" s="630" customFormat="1" ht="18.75" customHeight="1" x14ac:dyDescent="0.25">
      <c r="A24" s="628" t="s">
        <v>106</v>
      </c>
      <c r="B24" s="635" t="s">
        <v>130</v>
      </c>
    </row>
    <row r="25" spans="1:2" s="630" customFormat="1" ht="78.75" x14ac:dyDescent="0.25">
      <c r="A25" s="628" t="s">
        <v>117</v>
      </c>
      <c r="B25" s="631" t="s">
        <v>131</v>
      </c>
    </row>
    <row r="26" spans="1:2" s="630" customFormat="1" x14ac:dyDescent="0.25">
      <c r="A26" s="1094" t="s">
        <v>110</v>
      </c>
      <c r="B26" s="642" t="s">
        <v>119</v>
      </c>
    </row>
    <row r="27" spans="1:2" s="630" customFormat="1" x14ac:dyDescent="0.25">
      <c r="A27" s="1095"/>
      <c r="B27" s="642" t="s">
        <v>132</v>
      </c>
    </row>
    <row r="28" spans="1:2" s="630" customFormat="1" ht="17.100000000000001" customHeight="1" x14ac:dyDescent="0.25">
      <c r="A28" s="628" t="s">
        <v>113</v>
      </c>
      <c r="B28" s="634" t="s">
        <v>133</v>
      </c>
    </row>
    <row r="29" spans="1:2" x14ac:dyDescent="0.25">
      <c r="A29" s="1089" t="s">
        <v>134</v>
      </c>
      <c r="B29" s="1091"/>
    </row>
    <row r="30" spans="1:2" s="630" customFormat="1" x14ac:dyDescent="0.25">
      <c r="A30" s="628" t="s">
        <v>106</v>
      </c>
      <c r="B30" s="635" t="s">
        <v>135</v>
      </c>
    </row>
    <row r="31" spans="1:2" s="630" customFormat="1" ht="64.5" customHeight="1" x14ac:dyDescent="0.25">
      <c r="A31" s="628" t="s">
        <v>136</v>
      </c>
      <c r="B31" s="631" t="s">
        <v>137</v>
      </c>
    </row>
    <row r="32" spans="1:2" s="630" customFormat="1" x14ac:dyDescent="0.25">
      <c r="A32" s="1094" t="s">
        <v>110</v>
      </c>
      <c r="B32" s="642" t="s">
        <v>119</v>
      </c>
    </row>
    <row r="33" spans="1:2" s="630" customFormat="1" x14ac:dyDescent="0.25">
      <c r="A33" s="1095"/>
      <c r="B33" s="642" t="s">
        <v>132</v>
      </c>
    </row>
    <row r="34" spans="1:2" s="630" customFormat="1" ht="32.25" thickBot="1" x14ac:dyDescent="0.3">
      <c r="A34" s="643" t="s">
        <v>113</v>
      </c>
      <c r="B34" s="644" t="s">
        <v>133</v>
      </c>
    </row>
    <row r="35" spans="1:2" ht="24" thickBot="1" x14ac:dyDescent="0.4">
      <c r="A35" s="1026" t="s">
        <v>138</v>
      </c>
      <c r="B35" s="1027"/>
    </row>
    <row r="36" spans="1:2" x14ac:dyDescent="0.25">
      <c r="A36" s="6" t="s">
        <v>139</v>
      </c>
      <c r="B36" s="7"/>
    </row>
    <row r="37" spans="1:2" x14ac:dyDescent="0.25">
      <c r="A37" s="645" t="s">
        <v>106</v>
      </c>
      <c r="B37" s="646" t="s">
        <v>140</v>
      </c>
    </row>
    <row r="38" spans="1:2" ht="63" x14ac:dyDescent="0.25">
      <c r="A38" s="645" t="s">
        <v>136</v>
      </c>
      <c r="B38" s="635" t="s">
        <v>141</v>
      </c>
    </row>
    <row r="39" spans="1:2" ht="47.25" x14ac:dyDescent="0.25">
      <c r="A39" s="647" t="s">
        <v>122</v>
      </c>
      <c r="B39" s="648" t="s">
        <v>142</v>
      </c>
    </row>
    <row r="40" spans="1:2" x14ac:dyDescent="0.25">
      <c r="A40" s="1107" t="s">
        <v>110</v>
      </c>
      <c r="B40" s="649" t="s">
        <v>143</v>
      </c>
    </row>
    <row r="41" spans="1:2" x14ac:dyDescent="0.25">
      <c r="A41" s="1108"/>
      <c r="B41" s="650" t="s">
        <v>144</v>
      </c>
    </row>
    <row r="42" spans="1:2" ht="31.5" x14ac:dyDescent="0.25">
      <c r="A42" s="651" t="s">
        <v>113</v>
      </c>
      <c r="B42" s="635" t="s">
        <v>145</v>
      </c>
    </row>
    <row r="43" spans="1:2" x14ac:dyDescent="0.25">
      <c r="A43" s="8" t="s">
        <v>146</v>
      </c>
      <c r="B43" s="652"/>
    </row>
    <row r="44" spans="1:2" ht="63" x14ac:dyDescent="0.25">
      <c r="A44" s="645" t="s">
        <v>106</v>
      </c>
      <c r="B44" s="635" t="s">
        <v>147</v>
      </c>
    </row>
    <row r="45" spans="1:2" ht="47.25" x14ac:dyDescent="0.25">
      <c r="A45" s="645" t="s">
        <v>136</v>
      </c>
      <c r="B45" s="635" t="s">
        <v>148</v>
      </c>
    </row>
    <row r="46" spans="1:2" x14ac:dyDescent="0.25">
      <c r="A46" s="651" t="s">
        <v>110</v>
      </c>
      <c r="B46" s="653" t="s">
        <v>149</v>
      </c>
    </row>
    <row r="47" spans="1:2" x14ac:dyDescent="0.25">
      <c r="A47" s="651" t="s">
        <v>113</v>
      </c>
      <c r="B47" s="654" t="s">
        <v>150</v>
      </c>
    </row>
    <row r="48" spans="1:2" x14ac:dyDescent="0.25">
      <c r="A48" s="8" t="s">
        <v>151</v>
      </c>
      <c r="B48" s="9"/>
    </row>
    <row r="49" spans="1:2" x14ac:dyDescent="0.25">
      <c r="A49" s="645" t="s">
        <v>106</v>
      </c>
      <c r="B49" s="646" t="s">
        <v>152</v>
      </c>
    </row>
    <row r="50" spans="1:2" ht="63" x14ac:dyDescent="0.25">
      <c r="A50" s="645" t="s">
        <v>136</v>
      </c>
      <c r="B50" s="635" t="s">
        <v>153</v>
      </c>
    </row>
    <row r="51" spans="1:2" x14ac:dyDescent="0.25">
      <c r="A51" s="651" t="s">
        <v>110</v>
      </c>
      <c r="B51" s="655" t="s">
        <v>154</v>
      </c>
    </row>
    <row r="52" spans="1:2" x14ac:dyDescent="0.25">
      <c r="A52" s="651" t="s">
        <v>113</v>
      </c>
      <c r="B52" s="654" t="s">
        <v>155</v>
      </c>
    </row>
    <row r="53" spans="1:2" x14ac:dyDescent="0.25">
      <c r="A53" s="8" t="s">
        <v>156</v>
      </c>
      <c r="B53" s="652"/>
    </row>
    <row r="54" spans="1:2" ht="66.599999999999994" customHeight="1" x14ac:dyDescent="0.25">
      <c r="A54" s="645" t="s">
        <v>106</v>
      </c>
      <c r="B54" s="656" t="s">
        <v>157</v>
      </c>
    </row>
    <row r="55" spans="1:2" ht="72.599999999999994" customHeight="1" x14ac:dyDescent="0.25">
      <c r="A55" s="645" t="s">
        <v>136</v>
      </c>
      <c r="B55" s="656" t="s">
        <v>158</v>
      </c>
    </row>
    <row r="56" spans="1:2" x14ac:dyDescent="0.25">
      <c r="A56" s="1105" t="s">
        <v>110</v>
      </c>
      <c r="B56" s="657" t="s">
        <v>159</v>
      </c>
    </row>
    <row r="57" spans="1:2" x14ac:dyDescent="0.25">
      <c r="A57" s="1106"/>
      <c r="B57" s="658" t="s">
        <v>160</v>
      </c>
    </row>
    <row r="58" spans="1:2" s="515" customFormat="1" x14ac:dyDescent="0.25">
      <c r="A58" s="659" t="s">
        <v>122</v>
      </c>
      <c r="B58" s="660" t="s">
        <v>161</v>
      </c>
    </row>
    <row r="59" spans="1:2" ht="32.25" thickBot="1" x14ac:dyDescent="0.3">
      <c r="A59" s="661" t="s">
        <v>113</v>
      </c>
      <c r="B59" s="662" t="s">
        <v>162</v>
      </c>
    </row>
    <row r="60" spans="1:2" ht="24" customHeight="1" thickBot="1" x14ac:dyDescent="0.4">
      <c r="A60" s="1029" t="s">
        <v>163</v>
      </c>
      <c r="B60" s="1028"/>
    </row>
    <row r="61" spans="1:2" s="205" customFormat="1" x14ac:dyDescent="0.25">
      <c r="A61" s="1092" t="s">
        <v>164</v>
      </c>
      <c r="B61" s="1093"/>
    </row>
    <row r="62" spans="1:2" s="205" customFormat="1" ht="47.25" x14ac:dyDescent="0.25">
      <c r="A62" s="663" t="s">
        <v>106</v>
      </c>
      <c r="B62" s="635" t="s">
        <v>165</v>
      </c>
    </row>
    <row r="63" spans="1:2" s="205" customFormat="1" ht="63" x14ac:dyDescent="0.25">
      <c r="A63" s="663" t="s">
        <v>136</v>
      </c>
      <c r="B63" s="635" t="s">
        <v>166</v>
      </c>
    </row>
    <row r="64" spans="1:2" s="205" customFormat="1" x14ac:dyDescent="0.25">
      <c r="A64" s="1094" t="s">
        <v>110</v>
      </c>
      <c r="B64" s="664" t="s">
        <v>167</v>
      </c>
    </row>
    <row r="65" spans="1:2" s="205" customFormat="1" ht="31.5" x14ac:dyDescent="0.25">
      <c r="A65" s="1095"/>
      <c r="B65" s="665" t="s">
        <v>168</v>
      </c>
    </row>
    <row r="66" spans="1:2" s="205" customFormat="1" ht="31.5" x14ac:dyDescent="0.25">
      <c r="A66" s="628" t="s">
        <v>113</v>
      </c>
      <c r="B66" s="654" t="s">
        <v>169</v>
      </c>
    </row>
    <row r="67" spans="1:2" s="205" customFormat="1" ht="20.85" customHeight="1" x14ac:dyDescent="0.25">
      <c r="A67" s="1089" t="s">
        <v>170</v>
      </c>
      <c r="B67" s="1090"/>
    </row>
    <row r="68" spans="1:2" s="205" customFormat="1" ht="31.5" x14ac:dyDescent="0.25">
      <c r="A68" s="663" t="s">
        <v>106</v>
      </c>
      <c r="B68" s="635" t="s">
        <v>171</v>
      </c>
    </row>
    <row r="69" spans="1:2" s="205" customFormat="1" ht="45.6" customHeight="1" x14ac:dyDescent="0.25">
      <c r="A69" s="663" t="s">
        <v>136</v>
      </c>
      <c r="B69" s="656" t="s">
        <v>172</v>
      </c>
    </row>
    <row r="70" spans="1:2" s="205" customFormat="1" x14ac:dyDescent="0.25">
      <c r="A70" s="628" t="s">
        <v>110</v>
      </c>
      <c r="B70" s="666" t="s">
        <v>173</v>
      </c>
    </row>
    <row r="71" spans="1:2" s="205" customFormat="1" ht="31.5" x14ac:dyDescent="0.25">
      <c r="A71" s="628" t="s">
        <v>113</v>
      </c>
      <c r="B71" s="656" t="s">
        <v>174</v>
      </c>
    </row>
    <row r="72" spans="1:2" s="205" customFormat="1" ht="20.85" customHeight="1" x14ac:dyDescent="0.25">
      <c r="A72" s="1089" t="s">
        <v>175</v>
      </c>
      <c r="B72" s="1091"/>
    </row>
    <row r="73" spans="1:2" s="205" customFormat="1" x14ac:dyDescent="0.25">
      <c r="A73" s="663" t="s">
        <v>106</v>
      </c>
      <c r="B73" s="635" t="s">
        <v>176</v>
      </c>
    </row>
    <row r="74" spans="1:2" s="205" customFormat="1" ht="63" x14ac:dyDescent="0.25">
      <c r="A74" s="663" t="s">
        <v>136</v>
      </c>
      <c r="B74" s="635" t="s">
        <v>177</v>
      </c>
    </row>
    <row r="75" spans="1:2" s="205" customFormat="1" x14ac:dyDescent="0.25">
      <c r="A75" s="628" t="s">
        <v>110</v>
      </c>
      <c r="B75" s="654" t="s">
        <v>178</v>
      </c>
    </row>
    <row r="76" spans="1:2" s="205" customFormat="1" ht="31.5" x14ac:dyDescent="0.25">
      <c r="A76" s="628" t="s">
        <v>113</v>
      </c>
      <c r="B76" s="654" t="s">
        <v>179</v>
      </c>
    </row>
    <row r="77" spans="1:2" s="205" customFormat="1" ht="21" customHeight="1" x14ac:dyDescent="0.25">
      <c r="A77" s="1089" t="s">
        <v>180</v>
      </c>
      <c r="B77" s="1091"/>
    </row>
    <row r="78" spans="1:2" s="205" customFormat="1" x14ac:dyDescent="0.25">
      <c r="A78" s="663" t="s">
        <v>106</v>
      </c>
      <c r="B78" s="635" t="s">
        <v>181</v>
      </c>
    </row>
    <row r="79" spans="1:2" s="205" customFormat="1" ht="94.5" x14ac:dyDescent="0.25">
      <c r="A79" s="663" t="s">
        <v>136</v>
      </c>
      <c r="B79" s="635" t="s">
        <v>182</v>
      </c>
    </row>
    <row r="80" spans="1:2" s="205" customFormat="1" ht="31.5" x14ac:dyDescent="0.25">
      <c r="A80" s="628" t="s">
        <v>110</v>
      </c>
      <c r="B80" s="665" t="s">
        <v>183</v>
      </c>
    </row>
    <row r="81" spans="1:2" s="205" customFormat="1" ht="32.25" thickBot="1" x14ac:dyDescent="0.3">
      <c r="A81" s="643" t="s">
        <v>113</v>
      </c>
      <c r="B81" s="662" t="s">
        <v>184</v>
      </c>
    </row>
    <row r="82" spans="1:2" ht="24" thickBot="1" x14ac:dyDescent="0.4">
      <c r="A82" s="1026" t="s">
        <v>185</v>
      </c>
      <c r="B82" s="1027"/>
    </row>
    <row r="83" spans="1:2" x14ac:dyDescent="0.25">
      <c r="A83" s="1092" t="s">
        <v>186</v>
      </c>
      <c r="B83" s="1093"/>
    </row>
    <row r="84" spans="1:2" ht="31.5" x14ac:dyDescent="0.25">
      <c r="A84" s="663" t="s">
        <v>106</v>
      </c>
      <c r="B84" s="635" t="s">
        <v>187</v>
      </c>
    </row>
    <row r="85" spans="1:2" ht="47.25" x14ac:dyDescent="0.25">
      <c r="A85" s="663" t="s">
        <v>136</v>
      </c>
      <c r="B85" s="635" t="s">
        <v>188</v>
      </c>
    </row>
    <row r="86" spans="1:2" x14ac:dyDescent="0.25">
      <c r="A86" s="1094" t="s">
        <v>110</v>
      </c>
      <c r="B86" s="667" t="s">
        <v>189</v>
      </c>
    </row>
    <row r="87" spans="1:2" x14ac:dyDescent="0.25">
      <c r="A87" s="1095"/>
      <c r="B87" s="668" t="s">
        <v>190</v>
      </c>
    </row>
    <row r="88" spans="1:2" ht="31.5" x14ac:dyDescent="0.25">
      <c r="A88" s="628" t="s">
        <v>113</v>
      </c>
      <c r="B88" s="654" t="s">
        <v>191</v>
      </c>
    </row>
    <row r="89" spans="1:2" x14ac:dyDescent="0.25">
      <c r="A89" s="1089" t="s">
        <v>192</v>
      </c>
      <c r="B89" s="1091"/>
    </row>
    <row r="90" spans="1:2" ht="31.5" x14ac:dyDescent="0.25">
      <c r="A90" s="663" t="s">
        <v>106</v>
      </c>
      <c r="B90" s="635" t="s">
        <v>193</v>
      </c>
    </row>
    <row r="91" spans="1:2" ht="31.5" x14ac:dyDescent="0.25">
      <c r="A91" s="663" t="s">
        <v>136</v>
      </c>
      <c r="B91" s="635" t="s">
        <v>194</v>
      </c>
    </row>
    <row r="92" spans="1:2" ht="31.5" x14ac:dyDescent="0.25">
      <c r="A92" s="669" t="s">
        <v>110</v>
      </c>
      <c r="B92" s="670" t="s">
        <v>195</v>
      </c>
    </row>
    <row r="93" spans="1:2" x14ac:dyDescent="0.25">
      <c r="A93" s="671" t="s">
        <v>122</v>
      </c>
      <c r="B93" s="672" t="s">
        <v>196</v>
      </c>
    </row>
    <row r="94" spans="1:2" ht="32.25" thickBot="1" x14ac:dyDescent="0.3">
      <c r="A94" s="643" t="s">
        <v>113</v>
      </c>
      <c r="B94" s="662" t="s">
        <v>197</v>
      </c>
    </row>
    <row r="95" spans="1:2" ht="24" thickBot="1" x14ac:dyDescent="0.4">
      <c r="A95" s="1026" t="s">
        <v>198</v>
      </c>
      <c r="B95" s="1027"/>
    </row>
    <row r="96" spans="1:2" x14ac:dyDescent="0.25">
      <c r="A96" s="1092" t="s">
        <v>199</v>
      </c>
      <c r="B96" s="1093"/>
    </row>
    <row r="97" spans="1:3" s="515" customFormat="1" ht="47.25" x14ac:dyDescent="0.25">
      <c r="A97" s="673" t="s">
        <v>106</v>
      </c>
      <c r="B97" s="674" t="s">
        <v>200</v>
      </c>
    </row>
    <row r="98" spans="1:3" s="515" customFormat="1" ht="78.75" x14ac:dyDescent="0.25">
      <c r="A98" s="673" t="s">
        <v>136</v>
      </c>
      <c r="B98" s="674" t="s">
        <v>201</v>
      </c>
    </row>
    <row r="99" spans="1:3" ht="31.5" x14ac:dyDescent="0.25">
      <c r="A99" s="1094" t="s">
        <v>110</v>
      </c>
      <c r="B99" s="665" t="s">
        <v>202</v>
      </c>
    </row>
    <row r="100" spans="1:3" x14ac:dyDescent="0.25">
      <c r="A100" s="1095"/>
      <c r="B100" s="665" t="s">
        <v>203</v>
      </c>
      <c r="C100" s="11" t="s">
        <v>204</v>
      </c>
    </row>
    <row r="101" spans="1:3" ht="32.25" thickBot="1" x14ac:dyDescent="0.3">
      <c r="A101" s="643" t="s">
        <v>113</v>
      </c>
      <c r="B101" s="662" t="s">
        <v>205</v>
      </c>
    </row>
    <row r="102" spans="1:3" ht="24" thickBot="1" x14ac:dyDescent="0.4">
      <c r="A102" s="1026" t="s">
        <v>206</v>
      </c>
      <c r="B102" s="1027"/>
    </row>
    <row r="103" spans="1:3" x14ac:dyDescent="0.25">
      <c r="A103" s="1092" t="s">
        <v>207</v>
      </c>
      <c r="B103" s="1093"/>
    </row>
    <row r="104" spans="1:3" ht="31.5" x14ac:dyDescent="0.25">
      <c r="A104" s="663" t="s">
        <v>106</v>
      </c>
      <c r="B104" s="635" t="s">
        <v>208</v>
      </c>
    </row>
    <row r="105" spans="1:3" ht="63" x14ac:dyDescent="0.25">
      <c r="A105" s="663" t="s">
        <v>136</v>
      </c>
      <c r="B105" s="635" t="s">
        <v>209</v>
      </c>
    </row>
    <row r="106" spans="1:3" ht="31.5" x14ac:dyDescent="0.25">
      <c r="A106" s="663" t="s">
        <v>110</v>
      </c>
      <c r="B106" s="642" t="s">
        <v>210</v>
      </c>
    </row>
    <row r="107" spans="1:3" x14ac:dyDescent="0.25">
      <c r="A107" s="663" t="s">
        <v>122</v>
      </c>
      <c r="B107" s="635" t="s">
        <v>211</v>
      </c>
    </row>
    <row r="108" spans="1:3" ht="15.6" customHeight="1" x14ac:dyDescent="0.25">
      <c r="A108" s="1089" t="s">
        <v>212</v>
      </c>
      <c r="B108" s="1091"/>
    </row>
    <row r="109" spans="1:3" ht="78.75" x14ac:dyDescent="0.25">
      <c r="A109" s="663" t="s">
        <v>106</v>
      </c>
      <c r="B109" s="635" t="s">
        <v>213</v>
      </c>
    </row>
    <row r="110" spans="1:3" ht="63" x14ac:dyDescent="0.25">
      <c r="A110" s="663" t="s">
        <v>136</v>
      </c>
      <c r="B110" s="635" t="s">
        <v>214</v>
      </c>
    </row>
    <row r="111" spans="1:3" ht="31.5" x14ac:dyDescent="0.25">
      <c r="A111" s="675" t="s">
        <v>110</v>
      </c>
      <c r="B111" s="676" t="s">
        <v>210</v>
      </c>
    </row>
    <row r="112" spans="1:3" x14ac:dyDescent="0.25">
      <c r="A112" s="663" t="s">
        <v>122</v>
      </c>
      <c r="B112" s="656" t="s">
        <v>215</v>
      </c>
    </row>
    <row r="113" spans="1:2" x14ac:dyDescent="0.25">
      <c r="A113" s="1092" t="s">
        <v>216</v>
      </c>
      <c r="B113" s="1093"/>
    </row>
    <row r="114" spans="1:2" ht="94.5" x14ac:dyDescent="0.25">
      <c r="A114" s="663" t="s">
        <v>106</v>
      </c>
      <c r="B114" s="635" t="s">
        <v>217</v>
      </c>
    </row>
    <row r="115" spans="1:2" ht="65.099999999999994" customHeight="1" x14ac:dyDescent="0.25">
      <c r="A115" s="663" t="s">
        <v>136</v>
      </c>
      <c r="B115" s="656" t="s">
        <v>218</v>
      </c>
    </row>
    <row r="116" spans="1:2" ht="31.5" x14ac:dyDescent="0.25">
      <c r="A116" s="663" t="s">
        <v>110</v>
      </c>
      <c r="B116" s="676" t="s">
        <v>210</v>
      </c>
    </row>
    <row r="117" spans="1:2" x14ac:dyDescent="0.25">
      <c r="A117" s="663" t="s">
        <v>122</v>
      </c>
      <c r="B117" s="656" t="s">
        <v>215</v>
      </c>
    </row>
    <row r="118" spans="1:2" x14ac:dyDescent="0.25">
      <c r="A118" s="1089" t="s">
        <v>219</v>
      </c>
      <c r="B118" s="1093"/>
    </row>
    <row r="119" spans="1:2" ht="78.599999999999994" customHeight="1" x14ac:dyDescent="0.25">
      <c r="A119" s="663" t="s">
        <v>106</v>
      </c>
      <c r="B119" s="635" t="s">
        <v>220</v>
      </c>
    </row>
    <row r="120" spans="1:2" ht="110.25" x14ac:dyDescent="0.25">
      <c r="A120" s="663" t="s">
        <v>136</v>
      </c>
      <c r="B120" s="635" t="s">
        <v>221</v>
      </c>
    </row>
    <row r="121" spans="1:2" ht="31.5" x14ac:dyDescent="0.25">
      <c r="A121" s="1096" t="s">
        <v>110</v>
      </c>
      <c r="B121" s="677" t="s">
        <v>222</v>
      </c>
    </row>
    <row r="122" spans="1:2" x14ac:dyDescent="0.25">
      <c r="A122" s="1097"/>
      <c r="B122" s="642" t="s">
        <v>223</v>
      </c>
    </row>
    <row r="123" spans="1:2" x14ac:dyDescent="0.25">
      <c r="A123" s="663" t="s">
        <v>122</v>
      </c>
      <c r="B123" s="635" t="s">
        <v>224</v>
      </c>
    </row>
    <row r="124" spans="1:2" ht="32.25" thickBot="1" x14ac:dyDescent="0.3">
      <c r="A124" s="663" t="s">
        <v>113</v>
      </c>
      <c r="B124" s="635" t="s">
        <v>225</v>
      </c>
    </row>
    <row r="125" spans="1:2" ht="24" thickBot="1" x14ac:dyDescent="0.4">
      <c r="A125" s="1026" t="s">
        <v>226</v>
      </c>
      <c r="B125" s="1027"/>
    </row>
    <row r="126" spans="1:2" ht="16.5" thickBot="1" x14ac:dyDescent="0.3">
      <c r="A126" s="1092" t="s">
        <v>227</v>
      </c>
      <c r="B126" s="1093"/>
    </row>
    <row r="127" spans="1:2" ht="31.5" x14ac:dyDescent="0.25">
      <c r="A127" s="663" t="s">
        <v>106</v>
      </c>
      <c r="B127" s="635" t="s">
        <v>228</v>
      </c>
    </row>
    <row r="128" spans="1:2" ht="47.25" x14ac:dyDescent="0.25">
      <c r="A128" s="663" t="s">
        <v>136</v>
      </c>
      <c r="B128" s="635" t="s">
        <v>229</v>
      </c>
    </row>
    <row r="129" spans="1:2" x14ac:dyDescent="0.25">
      <c r="A129" s="678" t="s">
        <v>110</v>
      </c>
      <c r="B129" s="664" t="s">
        <v>230</v>
      </c>
    </row>
    <row r="130" spans="1:2" ht="31.5" x14ac:dyDescent="0.25">
      <c r="A130" s="663" t="s">
        <v>113</v>
      </c>
      <c r="B130" s="635" t="s">
        <v>231</v>
      </c>
    </row>
    <row r="131" spans="1:2" s="515" customFormat="1" ht="15.6" customHeight="1" x14ac:dyDescent="0.25">
      <c r="A131" s="1089" t="s">
        <v>232</v>
      </c>
      <c r="B131" s="1091"/>
    </row>
    <row r="132" spans="1:2" ht="31.5" x14ac:dyDescent="0.25">
      <c r="A132" s="663" t="s">
        <v>106</v>
      </c>
      <c r="B132" s="635" t="s">
        <v>233</v>
      </c>
    </row>
    <row r="133" spans="1:2" x14ac:dyDescent="0.25">
      <c r="A133" s="663" t="s">
        <v>136</v>
      </c>
      <c r="B133" s="635" t="s">
        <v>234</v>
      </c>
    </row>
    <row r="134" spans="1:2" x14ac:dyDescent="0.25">
      <c r="A134" s="1096" t="s">
        <v>110</v>
      </c>
      <c r="B134" s="679" t="s">
        <v>235</v>
      </c>
    </row>
    <row r="135" spans="1:2" ht="31.5" x14ac:dyDescent="0.25">
      <c r="A135" s="1098"/>
      <c r="B135" s="642" t="s">
        <v>236</v>
      </c>
    </row>
    <row r="136" spans="1:2" ht="31.5" x14ac:dyDescent="0.25">
      <c r="A136" s="1097"/>
      <c r="B136" s="642" t="s">
        <v>237</v>
      </c>
    </row>
    <row r="137" spans="1:2" ht="32.25" thickBot="1" x14ac:dyDescent="0.3">
      <c r="A137" s="675" t="s">
        <v>113</v>
      </c>
      <c r="B137" s="680" t="s">
        <v>238</v>
      </c>
    </row>
    <row r="138" spans="1:2" ht="24" thickBot="1" x14ac:dyDescent="0.4">
      <c r="A138" s="1026" t="s">
        <v>239</v>
      </c>
      <c r="B138" s="1027"/>
    </row>
    <row r="139" spans="1:2" x14ac:dyDescent="0.25">
      <c r="A139" s="1092" t="s">
        <v>240</v>
      </c>
      <c r="B139" s="1093"/>
    </row>
    <row r="140" spans="1:2" ht="31.5" x14ac:dyDescent="0.25">
      <c r="A140" s="663" t="s">
        <v>106</v>
      </c>
      <c r="B140" s="635" t="s">
        <v>241</v>
      </c>
    </row>
    <row r="141" spans="1:2" ht="78.75" x14ac:dyDescent="0.25">
      <c r="A141" s="663" t="s">
        <v>136</v>
      </c>
      <c r="B141" s="635" t="s">
        <v>242</v>
      </c>
    </row>
    <row r="142" spans="1:2" ht="31.5" x14ac:dyDescent="0.25">
      <c r="A142" s="663" t="s">
        <v>110</v>
      </c>
      <c r="B142" s="642" t="s">
        <v>243</v>
      </c>
    </row>
    <row r="143" spans="1:2" ht="31.5" x14ac:dyDescent="0.25">
      <c r="A143" s="681" t="s">
        <v>113</v>
      </c>
      <c r="B143" s="682" t="s">
        <v>244</v>
      </c>
    </row>
  </sheetData>
  <mergeCells count="32">
    <mergeCell ref="A64:A65"/>
    <mergeCell ref="A1:B1"/>
    <mergeCell ref="A6:A7"/>
    <mergeCell ref="A12:A14"/>
    <mergeCell ref="A20:A21"/>
    <mergeCell ref="A26:A27"/>
    <mergeCell ref="A32:A33"/>
    <mergeCell ref="A3:B3"/>
    <mergeCell ref="A9:B9"/>
    <mergeCell ref="A17:B17"/>
    <mergeCell ref="A23:B23"/>
    <mergeCell ref="A29:B29"/>
    <mergeCell ref="A61:B61"/>
    <mergeCell ref="A56:A57"/>
    <mergeCell ref="A40:A41"/>
    <mergeCell ref="A139:B139"/>
    <mergeCell ref="A86:A87"/>
    <mergeCell ref="A96:B96"/>
    <mergeCell ref="A103:B103"/>
    <mergeCell ref="A108:B108"/>
    <mergeCell ref="A113:B113"/>
    <mergeCell ref="A118:B118"/>
    <mergeCell ref="A89:B89"/>
    <mergeCell ref="A99:A100"/>
    <mergeCell ref="A121:A122"/>
    <mergeCell ref="A134:A136"/>
    <mergeCell ref="A131:B131"/>
    <mergeCell ref="A67:B67"/>
    <mergeCell ref="A72:B72"/>
    <mergeCell ref="A77:B77"/>
    <mergeCell ref="A83:B83"/>
    <mergeCell ref="A126:B126"/>
  </mergeCells>
  <hyperlinks>
    <hyperlink ref="B57" r:id="rId1" display="Elaboración propia a partir de INE, Censo de Población y Viviendas 2011, 2021. " xr:uid="{125A8E24-68EC-4A9C-98DA-EC423358CCA0}"/>
    <hyperlink ref="B65" r:id="rId2" xr:uid="{1C98EDCB-65C6-485F-A271-B4FF2043BCE8}"/>
    <hyperlink ref="B80" r:id="rId3" xr:uid="{518D9F74-E90E-46A6-9DEA-D72357B86CFB}"/>
    <hyperlink ref="B86" r:id="rId4" xr:uid="{B269C934-80B1-4543-B622-4D1319612425}"/>
    <hyperlink ref="B92" r:id="rId5" display="Base de datos del reconocimiento del grado de discapacidad. Consejería Políticas Sociales, Familias, Igualdad y Natalidad. Comunidad de Madrid. Población de referencia: Ayuntamiento Madrid." xr:uid="{2FD365F0-3EB7-4124-9FBE-F107F8B99A79}"/>
    <hyperlink ref="B100" r:id="rId6" xr:uid="{79EF241C-5727-4E7C-A98C-426141F8E392}"/>
    <hyperlink ref="B106" r:id="rId7" xr:uid="{197B3498-C50E-4401-A321-8276DD073255}"/>
    <hyperlink ref="B111" r:id="rId8" xr:uid="{2F53B139-E83F-43A5-B02A-37A4E886AF63}"/>
    <hyperlink ref="B116" r:id="rId9" xr:uid="{3ADCE41F-E3AA-43F1-B53A-3F92D5676281}"/>
    <hyperlink ref="B121" r:id="rId10" xr:uid="{F141040C-E909-412A-8BB0-38E56E96EA7A}"/>
    <hyperlink ref="B122" r:id="rId11" display="Temporada en curso." xr:uid="{A0E41914-7286-4D16-AC29-580945341390}"/>
    <hyperlink ref="B134" r:id="rId12" display="Área de Gobierno de Coordinación Territorial y Cooperación Público Social. Años 2010 y 2015." xr:uid="{33B4B752-19A2-4151-B784-0F3384A81C1C}"/>
    <hyperlink ref="B136" r:id="rId13" xr:uid="{D1F75FA7-7D5F-409E-8C73-710DFD66EAB6}"/>
    <hyperlink ref="B142" r:id="rId14" xr:uid="{28572C4B-A098-4F3A-A800-3B3387E3D9EB}"/>
    <hyperlink ref="B7" r:id="rId15" display="Padrón Municipal de Habitantes. Subdirección General de Estadística." xr:uid="{9C4A9628-1AC3-47D7-AAF2-157BCDA55513}"/>
    <hyperlink ref="B6" r:id="rId16" xr:uid="{D61A6051-1811-4A6A-8183-563065E315A1}"/>
    <hyperlink ref="B13" r:id="rId17" display="Padrón Municipal de Habitantes. Subdirección General de Estadística." xr:uid="{594904CB-263A-44C5-B3AB-BB4412C3EC36}"/>
    <hyperlink ref="B12" r:id="rId18" display="Datos 2005 - 2015: Padrón Municipal de Habitantes. Subdirección General de Estadística." xr:uid="{3A945CA6-72FF-47EF-A97D-88C463937EF4}"/>
    <hyperlink ref="B14" r:id="rId19" xr:uid="{B63BD5B2-A687-49D1-BF08-86DA97D2397E}"/>
    <hyperlink ref="B21" r:id="rId20" display="Padrón Municipal de Habitantes. Subdirección General de Estadística." xr:uid="{E99C47E0-781E-4B46-9B70-7C996CBFF541}"/>
    <hyperlink ref="B20" r:id="rId21" display="Datos 2005 - 2015: Padrón Municipal de Habitantes. Subdirección General de Estadística." xr:uid="{15789EFC-30B7-4BAF-9315-678705C5CD69}"/>
    <hyperlink ref="B27" r:id="rId22" display="Padrón Municipal de Habitantes. Subdirección General de Estadística." xr:uid="{D6002257-7451-4711-8835-75657B28DD9C}"/>
    <hyperlink ref="B26" r:id="rId23" xr:uid="{DD88A7E3-78E1-442E-8523-7ACE5A82A226}"/>
    <hyperlink ref="B33" r:id="rId24" display="Padrón Municipal de Habitantes. Subdirección General de Estadística." xr:uid="{1745F82D-1FAD-4CE7-8792-8F923430AB1B}"/>
    <hyperlink ref="B32" r:id="rId25" xr:uid="{55114120-056F-4530-B212-B0B6ACE317E1}"/>
    <hyperlink ref="B56" r:id="rId26" display="Censos de Población y Viviendas 2011" xr:uid="{03E0E008-5C89-4EE8-95EB-A78E2499059A}"/>
    <hyperlink ref="B64" r:id="rId27" display="2010 - 2015: Muestra Continua de Vidas Laborales (2007 a 2018)" xr:uid="{7BC6E908-B799-4B51-963F-DCB91098EE24}"/>
    <hyperlink ref="B70" r:id="rId28" xr:uid="{92DA882C-866F-46B3-825B-36E16E468B16}"/>
    <hyperlink ref="B40" r:id="rId29" display="https://servpub.madrid.es/CSEBD_WBINTER/seleccionSerie.html?numSerie=0904030200021" xr:uid="{AD5DB354-BCFE-4C5D-B1B2-21404C8383AB}"/>
    <hyperlink ref="B41" r:id="rId30" display="Datos 2015-Servicio Público de Empleo Estatal. Elaboración: Subdirección General de Estadística. Ayuntamiento de Madrid" xr:uid="{066C0CDE-7113-4763-92CD-536531B3C146}"/>
    <hyperlink ref="B46" r:id="rId31" display="INE, Encuesta de Población Activa. Elaboración Subdireción General de Estadística del Ayuntamiento de Madrid" xr:uid="{2FC27C72-EDBD-4C65-ADC5-A77C41DD1094}"/>
    <hyperlink ref="B129" r:id="rId32" xr:uid="{C57294E5-635C-4867-B09B-DEA96E2C78CC}"/>
    <hyperlink ref="B51" r:id="rId33" display="Agencia para el Empleo. Perfiles de personas inscrita. Conjunto de datos disponible en Portal de datos abiertos del Ayuntamiento de Madrid. Nota: para los datos del año 2023, fichero recoge información entre 01/01/2023 y 31/05/2023." xr:uid="{A5E43384-76CF-4EE1-BFAC-78AFABB48CE3}"/>
    <hyperlink ref="B135" r:id="rId34" xr:uid="{64737B2E-0BF4-404F-9668-0F9A0A057BC8}"/>
    <hyperlink ref="B99" r:id="rId35" xr:uid="{544A4408-9536-4A25-BEC0-252C8B37A6BD}"/>
  </hyperlinks>
  <pageMargins left="0.7" right="0.7" top="0.75" bottom="0.75" header="0.3" footer="0.3"/>
  <pageSetup paperSize="9" orientation="portrait" r:id="rId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02D9B-5417-4EB5-AF5D-46692C1CBB9A}">
  <sheetPr codeName="Hoja4">
    <tabColor theme="8" tint="-0.249977111117893"/>
    <pageSetUpPr autoPageBreaks="0"/>
  </sheetPr>
  <dimension ref="A1:XFD487"/>
  <sheetViews>
    <sheetView showGridLines="0" topLeftCell="C1" zoomScale="80" zoomScaleNormal="80" workbookViewId="0">
      <pane ySplit="2" topLeftCell="A337" activePane="bottomLeft" state="frozen"/>
      <selection pane="bottomLeft" activeCell="B478" sqref="B478:B487"/>
    </sheetView>
  </sheetViews>
  <sheetFormatPr baseColWidth="10" defaultColWidth="11.42578125" defaultRowHeight="15.75" x14ac:dyDescent="0.25"/>
  <cols>
    <col min="1" max="1" width="26.5703125" style="141" customWidth="1"/>
    <col min="2" max="2" width="50.5703125" style="205" customWidth="1"/>
    <col min="3" max="3" width="30.5703125" style="205" customWidth="1"/>
    <col min="4" max="4" width="30.5703125" style="11" customWidth="1"/>
    <col min="5" max="12" width="13.5703125" style="11" customWidth="1"/>
    <col min="13" max="13" width="15.5703125" style="11" customWidth="1"/>
    <col min="14" max="14" width="6.42578125" style="11" customWidth="1"/>
    <col min="15" max="15" width="13.5703125" style="11" customWidth="1"/>
  </cols>
  <sheetData>
    <row r="1" spans="1:15" ht="30" customHeight="1" thickTop="1" thickBot="1" x14ac:dyDescent="0.3">
      <c r="A1" s="1020" t="s">
        <v>245</v>
      </c>
      <c r="B1" s="1020"/>
      <c r="C1" s="1020"/>
      <c r="D1" s="1020"/>
      <c r="E1" s="1020"/>
      <c r="F1" s="1020"/>
      <c r="G1" s="1020"/>
      <c r="H1" s="1020"/>
      <c r="I1" s="1020"/>
      <c r="J1" s="1020"/>
      <c r="K1" s="1020"/>
      <c r="L1" s="1043"/>
      <c r="M1" s="479" t="s">
        <v>246</v>
      </c>
      <c r="N1" s="480"/>
      <c r="O1" s="481" t="s">
        <v>247</v>
      </c>
    </row>
    <row r="2" spans="1:15" ht="18" customHeight="1" thickTop="1" thickBot="1" x14ac:dyDescent="0.3">
      <c r="A2" s="151" t="s">
        <v>248</v>
      </c>
      <c r="B2" s="694" t="s">
        <v>249</v>
      </c>
      <c r="C2" s="1176"/>
      <c r="D2" s="1176"/>
      <c r="E2" s="695">
        <v>2005</v>
      </c>
      <c r="F2" s="695">
        <v>2010</v>
      </c>
      <c r="G2" s="695">
        <v>2015</v>
      </c>
      <c r="H2" s="695">
        <v>2020</v>
      </c>
      <c r="I2" s="695">
        <v>2021</v>
      </c>
      <c r="J2" s="695">
        <v>2022</v>
      </c>
      <c r="K2" s="695">
        <v>2023</v>
      </c>
      <c r="L2" s="696">
        <v>2024</v>
      </c>
      <c r="M2" s="482"/>
    </row>
    <row r="3" spans="1:15" x14ac:dyDescent="0.25">
      <c r="A3" s="1192" t="s">
        <v>26</v>
      </c>
      <c r="B3" s="1194" t="s">
        <v>250</v>
      </c>
      <c r="C3" s="1210" t="s">
        <v>251</v>
      </c>
      <c r="D3" s="1211"/>
      <c r="E3" s="81">
        <v>148665</v>
      </c>
      <c r="F3" s="159" t="s">
        <v>252</v>
      </c>
      <c r="G3" s="159" t="s">
        <v>253</v>
      </c>
      <c r="H3" s="159" t="s">
        <v>254</v>
      </c>
      <c r="I3" s="159" t="s">
        <v>255</v>
      </c>
      <c r="J3" s="159" t="s">
        <v>256</v>
      </c>
      <c r="K3" s="81">
        <v>139687</v>
      </c>
      <c r="L3" s="82">
        <v>145411</v>
      </c>
      <c r="M3" s="484"/>
    </row>
    <row r="4" spans="1:15" x14ac:dyDescent="0.25">
      <c r="A4" s="1193"/>
      <c r="B4" s="1195"/>
      <c r="C4" s="1212" t="s">
        <v>257</v>
      </c>
      <c r="D4" s="1213"/>
      <c r="E4" s="80">
        <v>71902</v>
      </c>
      <c r="F4" s="156" t="s">
        <v>258</v>
      </c>
      <c r="G4" s="156" t="s">
        <v>259</v>
      </c>
      <c r="H4" s="156" t="s">
        <v>260</v>
      </c>
      <c r="I4" s="156" t="s">
        <v>261</v>
      </c>
      <c r="J4" s="156" t="s">
        <v>262</v>
      </c>
      <c r="K4" s="80">
        <v>70770</v>
      </c>
      <c r="L4" s="83">
        <v>73734</v>
      </c>
    </row>
    <row r="5" spans="1:15" x14ac:dyDescent="0.25">
      <c r="A5" s="1193"/>
      <c r="B5" s="1195"/>
      <c r="C5" s="1212" t="s">
        <v>263</v>
      </c>
      <c r="D5" s="1213"/>
      <c r="E5" s="80">
        <v>76763</v>
      </c>
      <c r="F5" s="156" t="s">
        <v>264</v>
      </c>
      <c r="G5" s="156" t="s">
        <v>265</v>
      </c>
      <c r="H5" s="156" t="s">
        <v>266</v>
      </c>
      <c r="I5" s="156" t="s">
        <v>267</v>
      </c>
      <c r="J5" s="156" t="s">
        <v>268</v>
      </c>
      <c r="K5" s="80">
        <v>68917</v>
      </c>
      <c r="L5" s="83">
        <v>71677</v>
      </c>
    </row>
    <row r="6" spans="1:15" s="10" customFormat="1" x14ac:dyDescent="0.25">
      <c r="A6" s="1193"/>
      <c r="B6" s="1196"/>
      <c r="C6" s="1214" t="s">
        <v>269</v>
      </c>
      <c r="D6" s="1215"/>
      <c r="E6" s="157">
        <f t="shared" ref="E6:L6" si="0">+E5-E4</f>
        <v>4861</v>
      </c>
      <c r="F6" s="157">
        <f t="shared" si="0"/>
        <v>1182</v>
      </c>
      <c r="G6" s="157">
        <f t="shared" si="0"/>
        <v>1896</v>
      </c>
      <c r="H6" s="157">
        <f t="shared" si="0"/>
        <v>-1781</v>
      </c>
      <c r="I6" s="157">
        <f t="shared" si="0"/>
        <v>-2526</v>
      </c>
      <c r="J6" s="157">
        <f t="shared" si="0"/>
        <v>-2290</v>
      </c>
      <c r="K6" s="157">
        <f t="shared" si="0"/>
        <v>-1853</v>
      </c>
      <c r="L6" s="160">
        <f t="shared" si="0"/>
        <v>-2057</v>
      </c>
      <c r="M6" s="64"/>
      <c r="N6" s="64"/>
      <c r="O6" s="64"/>
    </row>
    <row r="7" spans="1:15" s="10" customFormat="1" ht="16.5" thickBot="1" x14ac:dyDescent="0.3">
      <c r="A7" s="1193"/>
      <c r="B7" s="1197"/>
      <c r="C7" s="1177" t="s">
        <v>270</v>
      </c>
      <c r="D7" s="1178"/>
      <c r="E7" s="165">
        <f t="shared" ref="E7:L7" si="1">E5/E3*100</f>
        <v>51.634883799145726</v>
      </c>
      <c r="F7" s="165">
        <f t="shared" si="1"/>
        <v>50.410679044945383</v>
      </c>
      <c r="G7" s="165">
        <f t="shared" si="1"/>
        <v>50.723079035284421</v>
      </c>
      <c r="H7" s="165">
        <f t="shared" si="1"/>
        <v>49.366070348038413</v>
      </c>
      <c r="I7" s="165">
        <f t="shared" si="1"/>
        <v>49.105752074541904</v>
      </c>
      <c r="J7" s="165">
        <f t="shared" si="1"/>
        <v>49.18028092381266</v>
      </c>
      <c r="K7" s="165">
        <f t="shared" si="1"/>
        <v>49.336731406644859</v>
      </c>
      <c r="L7" s="166">
        <f t="shared" si="1"/>
        <v>49.292694500416061</v>
      </c>
      <c r="M7" s="64"/>
      <c r="N7" s="64"/>
      <c r="O7" s="64"/>
    </row>
    <row r="8" spans="1:15" ht="16.5" thickBot="1" x14ac:dyDescent="0.3">
      <c r="A8" s="1193"/>
      <c r="B8" s="1198" t="s">
        <v>271</v>
      </c>
      <c r="C8" s="1179" t="s">
        <v>257</v>
      </c>
      <c r="D8" s="182" t="s">
        <v>272</v>
      </c>
      <c r="E8" s="81" t="s">
        <v>273</v>
      </c>
      <c r="F8" s="81" t="s">
        <v>258</v>
      </c>
      <c r="G8" s="81" t="s">
        <v>259</v>
      </c>
      <c r="H8" s="81" t="s">
        <v>260</v>
      </c>
      <c r="I8" s="81" t="s">
        <v>261</v>
      </c>
      <c r="J8" s="81" t="s">
        <v>262</v>
      </c>
      <c r="K8" s="81" t="s">
        <v>274</v>
      </c>
      <c r="L8" s="82">
        <v>73734</v>
      </c>
    </row>
    <row r="9" spans="1:15" ht="16.5" thickBot="1" x14ac:dyDescent="0.3">
      <c r="A9" s="1193"/>
      <c r="B9" s="1199"/>
      <c r="C9" s="1180"/>
      <c r="D9" s="183" t="s">
        <v>275</v>
      </c>
      <c r="E9" s="80">
        <v>7723</v>
      </c>
      <c r="F9" s="156" t="s">
        <v>276</v>
      </c>
      <c r="G9" s="156" t="s">
        <v>277</v>
      </c>
      <c r="H9" s="156" t="s">
        <v>278</v>
      </c>
      <c r="I9" s="156" t="s">
        <v>279</v>
      </c>
      <c r="J9" s="156" t="s">
        <v>280</v>
      </c>
      <c r="K9" s="156" t="s">
        <v>281</v>
      </c>
      <c r="L9" s="189">
        <v>4885</v>
      </c>
    </row>
    <row r="10" spans="1:15" ht="16.5" thickBot="1" x14ac:dyDescent="0.3">
      <c r="A10" s="1193"/>
      <c r="B10" s="1199"/>
      <c r="C10" s="1180"/>
      <c r="D10" s="183" t="s">
        <v>282</v>
      </c>
      <c r="E10" s="80">
        <v>55475</v>
      </c>
      <c r="F10" s="156" t="s">
        <v>283</v>
      </c>
      <c r="G10" s="156" t="s">
        <v>284</v>
      </c>
      <c r="H10" s="156">
        <v>56948</v>
      </c>
      <c r="I10" s="156" t="s">
        <v>285</v>
      </c>
      <c r="J10" s="156" t="s">
        <v>286</v>
      </c>
      <c r="K10" s="156" t="s">
        <v>287</v>
      </c>
      <c r="L10" s="189">
        <v>59594</v>
      </c>
    </row>
    <row r="11" spans="1:15" ht="16.5" thickBot="1" x14ac:dyDescent="0.3">
      <c r="A11" s="1193"/>
      <c r="B11" s="1199"/>
      <c r="C11" s="1180"/>
      <c r="D11" s="183" t="s">
        <v>288</v>
      </c>
      <c r="E11" s="80">
        <v>8698</v>
      </c>
      <c r="F11" s="156" t="s">
        <v>289</v>
      </c>
      <c r="G11" s="156" t="s">
        <v>290</v>
      </c>
      <c r="H11" s="156" t="s">
        <v>291</v>
      </c>
      <c r="I11" s="156" t="s">
        <v>292</v>
      </c>
      <c r="J11" s="156" t="s">
        <v>293</v>
      </c>
      <c r="K11" s="156" t="s">
        <v>294</v>
      </c>
      <c r="L11" s="189">
        <v>9255</v>
      </c>
    </row>
    <row r="12" spans="1:15" ht="16.5" thickBot="1" x14ac:dyDescent="0.3">
      <c r="A12" s="1193"/>
      <c r="B12" s="1199"/>
      <c r="C12" s="1180"/>
      <c r="D12" s="183" t="s">
        <v>295</v>
      </c>
      <c r="E12" s="96">
        <v>2230</v>
      </c>
      <c r="F12" s="96">
        <v>2303</v>
      </c>
      <c r="G12" s="96">
        <v>2441</v>
      </c>
      <c r="H12" s="96">
        <v>2169</v>
      </c>
      <c r="I12" s="96">
        <v>2149</v>
      </c>
      <c r="J12" s="96">
        <v>2097</v>
      </c>
      <c r="K12" s="96">
        <v>2082</v>
      </c>
      <c r="L12" s="189">
        <v>2144</v>
      </c>
    </row>
    <row r="13" spans="1:15" ht="16.5" thickBot="1" x14ac:dyDescent="0.3">
      <c r="A13" s="1193"/>
      <c r="B13" s="1199"/>
      <c r="C13" s="1181"/>
      <c r="D13" s="184" t="s">
        <v>296</v>
      </c>
      <c r="E13" s="190">
        <v>6</v>
      </c>
      <c r="F13" s="190">
        <v>0</v>
      </c>
      <c r="G13" s="190">
        <v>0</v>
      </c>
      <c r="H13" s="190">
        <v>0</v>
      </c>
      <c r="I13" s="190">
        <v>0</v>
      </c>
      <c r="J13" s="190">
        <v>0</v>
      </c>
      <c r="K13" s="190">
        <v>0</v>
      </c>
      <c r="L13" s="191">
        <v>0</v>
      </c>
    </row>
    <row r="14" spans="1:15" ht="16.5" thickBot="1" x14ac:dyDescent="0.3">
      <c r="A14" s="1193"/>
      <c r="B14" s="1199"/>
      <c r="C14" s="1179" t="s">
        <v>263</v>
      </c>
      <c r="D14" s="182" t="s">
        <v>272</v>
      </c>
      <c r="E14" s="159" t="s">
        <v>297</v>
      </c>
      <c r="F14" s="159" t="s">
        <v>264</v>
      </c>
      <c r="G14" s="159" t="s">
        <v>265</v>
      </c>
      <c r="H14" s="159" t="s">
        <v>266</v>
      </c>
      <c r="I14" s="159" t="s">
        <v>267</v>
      </c>
      <c r="J14" s="159" t="s">
        <v>268</v>
      </c>
      <c r="K14" s="159" t="s">
        <v>298</v>
      </c>
      <c r="L14" s="193">
        <v>71677</v>
      </c>
    </row>
    <row r="15" spans="1:15" ht="16.5" thickBot="1" x14ac:dyDescent="0.3">
      <c r="A15" s="1193"/>
      <c r="B15" s="1199"/>
      <c r="C15" s="1180"/>
      <c r="D15" s="183" t="s">
        <v>275</v>
      </c>
      <c r="E15" s="156" t="s">
        <v>299</v>
      </c>
      <c r="F15" s="156" t="s">
        <v>300</v>
      </c>
      <c r="G15" s="156" t="s">
        <v>301</v>
      </c>
      <c r="H15" s="156" t="s">
        <v>302</v>
      </c>
      <c r="I15" s="156" t="s">
        <v>303</v>
      </c>
      <c r="J15" s="156" t="s">
        <v>304</v>
      </c>
      <c r="K15" s="156" t="s">
        <v>305</v>
      </c>
      <c r="L15" s="189">
        <v>4580</v>
      </c>
    </row>
    <row r="16" spans="1:15" ht="16.5" thickBot="1" x14ac:dyDescent="0.3">
      <c r="A16" s="1193"/>
      <c r="B16" s="1199"/>
      <c r="C16" s="1180"/>
      <c r="D16" s="183" t="s">
        <v>282</v>
      </c>
      <c r="E16" s="156" t="s">
        <v>306</v>
      </c>
      <c r="F16" s="156" t="s">
        <v>307</v>
      </c>
      <c r="G16" s="156" t="s">
        <v>308</v>
      </c>
      <c r="H16" s="156" t="s">
        <v>309</v>
      </c>
      <c r="I16" s="156" t="s">
        <v>310</v>
      </c>
      <c r="J16" s="156" t="s">
        <v>311</v>
      </c>
      <c r="K16" s="156" t="s">
        <v>312</v>
      </c>
      <c r="L16" s="189">
        <v>53558</v>
      </c>
    </row>
    <row r="17" spans="1:13" ht="16.5" thickBot="1" x14ac:dyDescent="0.3">
      <c r="A17" s="1193"/>
      <c r="B17" s="1199"/>
      <c r="C17" s="1180"/>
      <c r="D17" s="183" t="s">
        <v>288</v>
      </c>
      <c r="E17" s="156" t="s">
        <v>313</v>
      </c>
      <c r="F17" s="156" t="s">
        <v>314</v>
      </c>
      <c r="G17" s="156" t="s">
        <v>315</v>
      </c>
      <c r="H17" s="156" t="s">
        <v>316</v>
      </c>
      <c r="I17" s="156" t="s">
        <v>317</v>
      </c>
      <c r="J17" s="156" t="s">
        <v>318</v>
      </c>
      <c r="K17" s="156" t="s">
        <v>319</v>
      </c>
      <c r="L17" s="189">
        <v>13539</v>
      </c>
    </row>
    <row r="18" spans="1:13" ht="16.5" thickBot="1" x14ac:dyDescent="0.3">
      <c r="A18" s="1193"/>
      <c r="B18" s="1199"/>
      <c r="C18" s="1180"/>
      <c r="D18" s="183" t="s">
        <v>295</v>
      </c>
      <c r="E18" s="96">
        <v>6675</v>
      </c>
      <c r="F18" s="96">
        <v>6333</v>
      </c>
      <c r="G18" s="96">
        <v>5870</v>
      </c>
      <c r="H18" s="96">
        <v>5080</v>
      </c>
      <c r="I18" s="96">
        <v>4948</v>
      </c>
      <c r="J18" s="96">
        <v>4789</v>
      </c>
      <c r="K18" s="96">
        <v>4687</v>
      </c>
      <c r="L18" s="189">
        <v>4695</v>
      </c>
    </row>
    <row r="19" spans="1:13" ht="16.5" thickBot="1" x14ac:dyDescent="0.3">
      <c r="A19" s="1193"/>
      <c r="B19" s="1199"/>
      <c r="C19" s="1181"/>
      <c r="D19" s="184" t="s">
        <v>296</v>
      </c>
      <c r="E19" s="190">
        <v>3</v>
      </c>
      <c r="F19" s="190">
        <v>1</v>
      </c>
      <c r="G19" s="190">
        <v>0</v>
      </c>
      <c r="H19" s="190">
        <v>0</v>
      </c>
      <c r="I19" s="190">
        <v>0</v>
      </c>
      <c r="J19" s="190">
        <v>0</v>
      </c>
      <c r="K19" s="190">
        <v>0</v>
      </c>
      <c r="L19" s="191">
        <v>0</v>
      </c>
    </row>
    <row r="20" spans="1:13" ht="16.5" thickBot="1" x14ac:dyDescent="0.3">
      <c r="A20" s="1193"/>
      <c r="B20" s="1199"/>
      <c r="C20" s="1182" t="s">
        <v>269</v>
      </c>
      <c r="D20" s="182" t="s">
        <v>272</v>
      </c>
      <c r="E20" s="195">
        <f>E14-E8</f>
        <v>4861</v>
      </c>
      <c r="F20" s="195">
        <f t="shared" ref="F20:L20" si="2">F14-F8</f>
        <v>1182</v>
      </c>
      <c r="G20" s="195">
        <f t="shared" si="2"/>
        <v>1896</v>
      </c>
      <c r="H20" s="195">
        <f t="shared" si="2"/>
        <v>-1781</v>
      </c>
      <c r="I20" s="195">
        <f t="shared" si="2"/>
        <v>-2526</v>
      </c>
      <c r="J20" s="195">
        <f t="shared" si="2"/>
        <v>-2290</v>
      </c>
      <c r="K20" s="195">
        <f t="shared" si="2"/>
        <v>-1853</v>
      </c>
      <c r="L20" s="196">
        <f t="shared" si="2"/>
        <v>-2057</v>
      </c>
    </row>
    <row r="21" spans="1:13" ht="16.5" thickBot="1" x14ac:dyDescent="0.3">
      <c r="A21" s="1193"/>
      <c r="B21" s="1199"/>
      <c r="C21" s="1183"/>
      <c r="D21" s="185" t="s">
        <v>275</v>
      </c>
      <c r="E21" s="157">
        <f t="shared" ref="E21:E24" si="3">E15-E9</f>
        <v>-437</v>
      </c>
      <c r="F21" s="157">
        <f t="shared" ref="F21:L24" si="4">F15-F9</f>
        <v>-307</v>
      </c>
      <c r="G21" s="157">
        <f t="shared" si="4"/>
        <v>-220</v>
      </c>
      <c r="H21" s="157">
        <f t="shared" si="4"/>
        <v>-221</v>
      </c>
      <c r="I21" s="157">
        <f t="shared" si="4"/>
        <v>-284</v>
      </c>
      <c r="J21" s="157">
        <f t="shared" si="4"/>
        <v>-284</v>
      </c>
      <c r="K21" s="157">
        <f t="shared" si="4"/>
        <v>-330</v>
      </c>
      <c r="L21" s="160">
        <f t="shared" si="4"/>
        <v>-305</v>
      </c>
    </row>
    <row r="22" spans="1:13" ht="16.5" thickBot="1" x14ac:dyDescent="0.3">
      <c r="A22" s="1193"/>
      <c r="B22" s="1199"/>
      <c r="C22" s="1183"/>
      <c r="D22" s="185" t="s">
        <v>282</v>
      </c>
      <c r="E22" s="157">
        <f>E16-E10</f>
        <v>-3221</v>
      </c>
      <c r="F22" s="157">
        <f t="shared" si="4"/>
        <v>-5492</v>
      </c>
      <c r="G22" s="157">
        <f t="shared" si="4"/>
        <v>-3437</v>
      </c>
      <c r="H22" s="157">
        <f t="shared" si="4"/>
        <v>-6348</v>
      </c>
      <c r="I22" s="157">
        <f t="shared" si="4"/>
        <v>-6889</v>
      </c>
      <c r="J22" s="157">
        <f t="shared" si="4"/>
        <v>-6506</v>
      </c>
      <c r="K22" s="157">
        <f t="shared" si="4"/>
        <v>-5896</v>
      </c>
      <c r="L22" s="160">
        <f t="shared" si="4"/>
        <v>-6036</v>
      </c>
    </row>
    <row r="23" spans="1:13" ht="16.5" thickBot="1" x14ac:dyDescent="0.3">
      <c r="A23" s="1193"/>
      <c r="B23" s="1199"/>
      <c r="C23" s="1183"/>
      <c r="D23" s="185" t="s">
        <v>288</v>
      </c>
      <c r="E23" s="157">
        <f t="shared" si="3"/>
        <v>8522</v>
      </c>
      <c r="F23" s="157">
        <f t="shared" si="4"/>
        <v>6980</v>
      </c>
      <c r="G23" s="157">
        <f t="shared" si="4"/>
        <v>5553</v>
      </c>
      <c r="H23" s="157">
        <f t="shared" si="4"/>
        <v>4788</v>
      </c>
      <c r="I23" s="157">
        <f t="shared" si="4"/>
        <v>4647</v>
      </c>
      <c r="J23" s="157">
        <f t="shared" si="4"/>
        <v>4500</v>
      </c>
      <c r="K23" s="157">
        <f t="shared" si="4"/>
        <v>4373</v>
      </c>
      <c r="L23" s="160">
        <f t="shared" si="4"/>
        <v>4284</v>
      </c>
    </row>
    <row r="24" spans="1:13" ht="16.5" thickBot="1" x14ac:dyDescent="0.3">
      <c r="A24" s="1193"/>
      <c r="B24" s="1199"/>
      <c r="C24" s="1184"/>
      <c r="D24" s="186" t="s">
        <v>295</v>
      </c>
      <c r="E24" s="197">
        <f t="shared" si="3"/>
        <v>4445</v>
      </c>
      <c r="F24" s="197">
        <f t="shared" si="4"/>
        <v>4030</v>
      </c>
      <c r="G24" s="197">
        <f t="shared" si="4"/>
        <v>3429</v>
      </c>
      <c r="H24" s="197">
        <f t="shared" si="4"/>
        <v>2911</v>
      </c>
      <c r="I24" s="197">
        <f t="shared" si="4"/>
        <v>2799</v>
      </c>
      <c r="J24" s="197">
        <f t="shared" si="4"/>
        <v>2692</v>
      </c>
      <c r="K24" s="197">
        <f t="shared" si="4"/>
        <v>2605</v>
      </c>
      <c r="L24" s="198">
        <f t="shared" si="4"/>
        <v>2551</v>
      </c>
    </row>
    <row r="25" spans="1:13" ht="16.5" thickBot="1" x14ac:dyDescent="0.3">
      <c r="A25" s="1193"/>
      <c r="B25" s="1199"/>
      <c r="C25" s="1207" t="s">
        <v>270</v>
      </c>
      <c r="D25" s="188" t="s">
        <v>272</v>
      </c>
      <c r="E25" s="194">
        <f>E14/E3*100</f>
        <v>51.634883799145726</v>
      </c>
      <c r="F25" s="194">
        <f t="shared" ref="F25:L25" si="5">F14/F3*100</f>
        <v>50.410679044945383</v>
      </c>
      <c r="G25" s="194">
        <f t="shared" si="5"/>
        <v>50.723079035284421</v>
      </c>
      <c r="H25" s="194">
        <f t="shared" si="5"/>
        <v>49.366070348038413</v>
      </c>
      <c r="I25" s="194">
        <f t="shared" si="5"/>
        <v>49.105752074541904</v>
      </c>
      <c r="J25" s="194">
        <f t="shared" si="5"/>
        <v>49.18028092381266</v>
      </c>
      <c r="K25" s="194">
        <f t="shared" si="5"/>
        <v>49.336731406644859</v>
      </c>
      <c r="L25" s="698">
        <f t="shared" si="5"/>
        <v>49.292694500416061</v>
      </c>
    </row>
    <row r="26" spans="1:13" ht="16.5" thickBot="1" x14ac:dyDescent="0.3">
      <c r="A26" s="1193"/>
      <c r="B26" s="1199"/>
      <c r="C26" s="1208"/>
      <c r="D26" s="185" t="s">
        <v>275</v>
      </c>
      <c r="E26" s="158">
        <f>(E15/(E15+E9))*100</f>
        <v>48.54420680924779</v>
      </c>
      <c r="F26" s="158">
        <f t="shared" ref="F26:L26" si="6">(F15/(F15+F9))*100</f>
        <v>48.862710231903385</v>
      </c>
      <c r="G26" s="158">
        <f t="shared" si="6"/>
        <v>49.082568807339449</v>
      </c>
      <c r="H26" s="158">
        <f t="shared" si="6"/>
        <v>48.988002564337393</v>
      </c>
      <c r="I26" s="158">
        <f t="shared" si="6"/>
        <v>48.661387631975863</v>
      </c>
      <c r="J26" s="158">
        <f t="shared" si="6"/>
        <v>48.618945730402643</v>
      </c>
      <c r="K26" s="158">
        <f t="shared" si="6"/>
        <v>48.349669933986803</v>
      </c>
      <c r="L26" s="330">
        <f t="shared" si="6"/>
        <v>48.38880084521923</v>
      </c>
    </row>
    <row r="27" spans="1:13" ht="16.5" thickBot="1" x14ac:dyDescent="0.3">
      <c r="A27" s="1193"/>
      <c r="B27" s="1199"/>
      <c r="C27" s="1208"/>
      <c r="D27" s="185" t="s">
        <v>282</v>
      </c>
      <c r="E27" s="158">
        <f>(E16/(E16+E10))*100</f>
        <v>48.505045066787957</v>
      </c>
      <c r="F27" s="158">
        <f t="shared" ref="F27:L27" si="7">(F16/(F16+F10))*100</f>
        <v>47.442298019783536</v>
      </c>
      <c r="G27" s="158">
        <f t="shared" si="7"/>
        <v>48.232850370705521</v>
      </c>
      <c r="H27" s="158">
        <f t="shared" si="7"/>
        <v>47.048759623609918</v>
      </c>
      <c r="I27" s="158">
        <f t="shared" si="7"/>
        <v>46.830224447164269</v>
      </c>
      <c r="J27" s="158">
        <f t="shared" si="7"/>
        <v>46.97355934726383</v>
      </c>
      <c r="K27" s="158">
        <f t="shared" si="7"/>
        <v>47.258184523809518</v>
      </c>
      <c r="L27" s="330">
        <f t="shared" si="7"/>
        <v>47.332791289592762</v>
      </c>
    </row>
    <row r="28" spans="1:13" ht="16.5" thickBot="1" x14ac:dyDescent="0.3">
      <c r="A28" s="1193"/>
      <c r="B28" s="1199"/>
      <c r="C28" s="1208"/>
      <c r="D28" s="185" t="s">
        <v>288</v>
      </c>
      <c r="E28" s="187">
        <f t="shared" ref="E28:L29" si="8">(E17/(E17+E11))*100</f>
        <v>66.440311752450029</v>
      </c>
      <c r="F28" s="187">
        <f t="shared" si="8"/>
        <v>65.142311697327315</v>
      </c>
      <c r="G28" s="187">
        <f t="shared" si="8"/>
        <v>62.69605377474965</v>
      </c>
      <c r="H28" s="187">
        <f t="shared" si="8"/>
        <v>60.878851222393891</v>
      </c>
      <c r="I28" s="187">
        <f t="shared" si="8"/>
        <v>60.580119302399702</v>
      </c>
      <c r="J28" s="187">
        <f t="shared" si="8"/>
        <v>60.267408962307201</v>
      </c>
      <c r="K28" s="187">
        <f t="shared" si="8"/>
        <v>59.862871577427946</v>
      </c>
      <c r="L28" s="699">
        <f t="shared" si="8"/>
        <v>59.397209792050546</v>
      </c>
    </row>
    <row r="29" spans="1:13" ht="16.5" thickBot="1" x14ac:dyDescent="0.3">
      <c r="A29" s="1193"/>
      <c r="B29" s="1200"/>
      <c r="C29" s="1209"/>
      <c r="D29" s="684" t="s">
        <v>295</v>
      </c>
      <c r="E29" s="474">
        <f t="shared" si="8"/>
        <v>74.957888826501957</v>
      </c>
      <c r="F29" s="474">
        <f t="shared" si="8"/>
        <v>73.332561371005085</v>
      </c>
      <c r="G29" s="474">
        <f t="shared" si="8"/>
        <v>70.629286487787269</v>
      </c>
      <c r="H29" s="474">
        <f t="shared" si="8"/>
        <v>70.07863153538419</v>
      </c>
      <c r="I29" s="474">
        <f t="shared" si="8"/>
        <v>69.719599830914476</v>
      </c>
      <c r="J29" s="474">
        <f t="shared" si="8"/>
        <v>69.546906767354059</v>
      </c>
      <c r="K29" s="474">
        <f t="shared" si="8"/>
        <v>69.242133254542765</v>
      </c>
      <c r="L29" s="700">
        <f t="shared" si="8"/>
        <v>68.650387483550219</v>
      </c>
    </row>
    <row r="30" spans="1:13" ht="17.25" thickTop="1" thickBot="1" x14ac:dyDescent="0.3">
      <c r="A30" s="1193"/>
      <c r="B30" s="697" t="s">
        <v>249</v>
      </c>
      <c r="C30" s="1176"/>
      <c r="D30" s="1176"/>
      <c r="E30" s="695">
        <v>2005</v>
      </c>
      <c r="F30" s="695">
        <v>2010</v>
      </c>
      <c r="G30" s="695">
        <v>2015</v>
      </c>
      <c r="H30" s="695">
        <v>2020</v>
      </c>
      <c r="I30" s="695">
        <v>2021</v>
      </c>
      <c r="J30" s="695">
        <v>2022</v>
      </c>
      <c r="K30" s="695">
        <v>2023</v>
      </c>
      <c r="L30" s="696">
        <v>2024</v>
      </c>
      <c r="M30" s="482"/>
    </row>
    <row r="31" spans="1:13" ht="16.5" thickBot="1" x14ac:dyDescent="0.3">
      <c r="A31" s="1193"/>
      <c r="B31" s="1198" t="s">
        <v>320</v>
      </c>
      <c r="C31" s="1216" t="s">
        <v>272</v>
      </c>
      <c r="D31" s="1217"/>
      <c r="E31" s="685" t="s">
        <v>321</v>
      </c>
      <c r="F31" s="686" t="s">
        <v>322</v>
      </c>
      <c r="G31" s="686" t="s">
        <v>323</v>
      </c>
      <c r="H31" s="686" t="s">
        <v>324</v>
      </c>
      <c r="I31" s="686" t="s">
        <v>325</v>
      </c>
      <c r="J31" s="686" t="s">
        <v>326</v>
      </c>
      <c r="K31" s="687" t="s">
        <v>327</v>
      </c>
      <c r="L31" s="688">
        <f>L32+L33</f>
        <v>43706</v>
      </c>
    </row>
    <row r="32" spans="1:13" ht="16.5" thickBot="1" x14ac:dyDescent="0.3">
      <c r="A32" s="1193"/>
      <c r="B32" s="1199"/>
      <c r="C32" s="1148" t="s">
        <v>257</v>
      </c>
      <c r="D32" s="1124"/>
      <c r="E32" s="171" t="s">
        <v>328</v>
      </c>
      <c r="F32" s="178" t="s">
        <v>329</v>
      </c>
      <c r="G32" s="178" t="s">
        <v>330</v>
      </c>
      <c r="H32" s="178" t="s">
        <v>331</v>
      </c>
      <c r="I32" s="178" t="s">
        <v>332</v>
      </c>
      <c r="J32" s="178" t="s">
        <v>333</v>
      </c>
      <c r="K32" s="179" t="s">
        <v>334</v>
      </c>
      <c r="L32" s="180">
        <v>22536</v>
      </c>
    </row>
    <row r="33" spans="1:12" ht="16.5" thickBot="1" x14ac:dyDescent="0.3">
      <c r="A33" s="1193"/>
      <c r="B33" s="1199"/>
      <c r="C33" s="1148" t="s">
        <v>263</v>
      </c>
      <c r="D33" s="1124"/>
      <c r="E33" s="172" t="s">
        <v>335</v>
      </c>
      <c r="F33" s="181" t="s">
        <v>336</v>
      </c>
      <c r="G33" s="181" t="s">
        <v>337</v>
      </c>
      <c r="H33" s="181" t="s">
        <v>338</v>
      </c>
      <c r="I33" s="181" t="s">
        <v>339</v>
      </c>
      <c r="J33" s="181" t="s">
        <v>340</v>
      </c>
      <c r="K33" s="181" t="s">
        <v>341</v>
      </c>
      <c r="L33" s="199">
        <v>21170</v>
      </c>
    </row>
    <row r="34" spans="1:12" ht="16.5" thickBot="1" x14ac:dyDescent="0.3">
      <c r="A34" s="1193"/>
      <c r="B34" s="1199"/>
      <c r="C34" s="1190" t="s">
        <v>269</v>
      </c>
      <c r="D34" s="1112"/>
      <c r="E34" s="173">
        <f>+E33-E32</f>
        <v>-2925</v>
      </c>
      <c r="F34" s="157">
        <f t="shared" ref="F34:L34" si="9">+F33-F32</f>
        <v>-4742</v>
      </c>
      <c r="G34" s="157">
        <f t="shared" si="9"/>
        <v>-1998</v>
      </c>
      <c r="H34" s="157">
        <f t="shared" si="9"/>
        <v>-2426</v>
      </c>
      <c r="I34" s="157">
        <f t="shared" si="9"/>
        <v>-2457</v>
      </c>
      <c r="J34" s="157">
        <f t="shared" si="9"/>
        <v>-1957</v>
      </c>
      <c r="K34" s="157">
        <f t="shared" si="9"/>
        <v>-1466</v>
      </c>
      <c r="L34" s="160">
        <f t="shared" si="9"/>
        <v>-1366</v>
      </c>
    </row>
    <row r="35" spans="1:12" ht="16.5" thickBot="1" x14ac:dyDescent="0.3">
      <c r="A35" s="1193"/>
      <c r="B35" s="1201"/>
      <c r="C35" s="1169" t="s">
        <v>270</v>
      </c>
      <c r="D35" s="1126"/>
      <c r="E35" s="174">
        <f>E33/E31*100</f>
        <v>46.369976916776288</v>
      </c>
      <c r="F35" s="161">
        <f t="shared" ref="F35:L35" si="10">F33/F31*100</f>
        <v>44.013230986769017</v>
      </c>
      <c r="G35" s="161">
        <f t="shared" si="10"/>
        <v>46.407766990291258</v>
      </c>
      <c r="H35" s="161">
        <f t="shared" si="10"/>
        <v>46.441145405468845</v>
      </c>
      <c r="I35" s="161">
        <f t="shared" si="10"/>
        <v>46.635076282560469</v>
      </c>
      <c r="J35" s="161">
        <f t="shared" si="10"/>
        <v>47.36856259244319</v>
      </c>
      <c r="K35" s="161">
        <f t="shared" si="10"/>
        <v>48.104767814665429</v>
      </c>
      <c r="L35" s="162">
        <f t="shared" si="10"/>
        <v>48.437285498558552</v>
      </c>
    </row>
    <row r="36" spans="1:12" ht="15" customHeight="1" thickBot="1" x14ac:dyDescent="0.3">
      <c r="A36" s="1193"/>
      <c r="B36" s="1198" t="s">
        <v>342</v>
      </c>
      <c r="C36" s="1146" t="s">
        <v>343</v>
      </c>
      <c r="D36" s="1147"/>
      <c r="E36" s="175">
        <f t="shared" ref="E36:K36" si="11">E37+E38</f>
        <v>7845</v>
      </c>
      <c r="F36" s="195">
        <f t="shared" si="11"/>
        <v>7517</v>
      </c>
      <c r="G36" s="195">
        <f t="shared" si="11"/>
        <v>7412</v>
      </c>
      <c r="H36" s="195">
        <f t="shared" si="11"/>
        <v>7326</v>
      </c>
      <c r="I36" s="195">
        <f t="shared" si="11"/>
        <v>7433</v>
      </c>
      <c r="J36" s="195">
        <f t="shared" si="11"/>
        <v>7476</v>
      </c>
      <c r="K36" s="195">
        <f t="shared" si="11"/>
        <v>7589</v>
      </c>
      <c r="L36" s="196">
        <f>L37+L38</f>
        <v>7986</v>
      </c>
    </row>
    <row r="37" spans="1:12" ht="16.5" thickBot="1" x14ac:dyDescent="0.3">
      <c r="A37" s="1193"/>
      <c r="B37" s="1199"/>
      <c r="C37" s="1148" t="s">
        <v>344</v>
      </c>
      <c r="D37" s="1124"/>
      <c r="E37" s="176">
        <v>1588</v>
      </c>
      <c r="F37" s="96">
        <v>1787</v>
      </c>
      <c r="G37" s="80">
        <v>2073</v>
      </c>
      <c r="H37" s="96">
        <v>2269</v>
      </c>
      <c r="I37" s="96">
        <v>2296</v>
      </c>
      <c r="J37" s="96">
        <v>2352</v>
      </c>
      <c r="K37" s="96">
        <v>2436</v>
      </c>
      <c r="L37" s="200">
        <v>2637</v>
      </c>
    </row>
    <row r="38" spans="1:12" ht="16.5" thickBot="1" x14ac:dyDescent="0.3">
      <c r="A38" s="1193"/>
      <c r="B38" s="1199"/>
      <c r="C38" s="1148" t="s">
        <v>345</v>
      </c>
      <c r="D38" s="1124"/>
      <c r="E38" s="176">
        <v>6257</v>
      </c>
      <c r="F38" s="96">
        <v>5730</v>
      </c>
      <c r="G38" s="96">
        <v>5339</v>
      </c>
      <c r="H38" s="96">
        <v>5057</v>
      </c>
      <c r="I38" s="96">
        <v>5137</v>
      </c>
      <c r="J38" s="96">
        <v>5124</v>
      </c>
      <c r="K38" s="96">
        <v>5153</v>
      </c>
      <c r="L38" s="200">
        <v>5349</v>
      </c>
    </row>
    <row r="39" spans="1:12" ht="16.5" thickBot="1" x14ac:dyDescent="0.3">
      <c r="A39" s="1193"/>
      <c r="B39" s="1199"/>
      <c r="C39" s="1190" t="s">
        <v>269</v>
      </c>
      <c r="D39" s="1112"/>
      <c r="E39" s="173">
        <f>E38-E37</f>
        <v>4669</v>
      </c>
      <c r="F39" s="157">
        <f t="shared" ref="F39:L39" si="12">F38-F37</f>
        <v>3943</v>
      </c>
      <c r="G39" s="157">
        <f t="shared" si="12"/>
        <v>3266</v>
      </c>
      <c r="H39" s="157">
        <f t="shared" si="12"/>
        <v>2788</v>
      </c>
      <c r="I39" s="157">
        <f t="shared" si="12"/>
        <v>2841</v>
      </c>
      <c r="J39" s="157">
        <f t="shared" si="12"/>
        <v>2772</v>
      </c>
      <c r="K39" s="157">
        <f t="shared" si="12"/>
        <v>2717</v>
      </c>
      <c r="L39" s="160">
        <f t="shared" si="12"/>
        <v>2712</v>
      </c>
    </row>
    <row r="40" spans="1:12" ht="16.5" thickBot="1" x14ac:dyDescent="0.3">
      <c r="A40" s="1193"/>
      <c r="B40" s="1201"/>
      <c r="C40" s="1169" t="s">
        <v>346</v>
      </c>
      <c r="D40" s="1126"/>
      <c r="E40" s="174">
        <f t="shared" ref="E40:L40" si="13">E38/E36*100</f>
        <v>79.757807520713826</v>
      </c>
      <c r="F40" s="161">
        <f t="shared" si="13"/>
        <v>76.227218305174944</v>
      </c>
      <c r="G40" s="161">
        <f t="shared" si="13"/>
        <v>72.031840259039399</v>
      </c>
      <c r="H40" s="161">
        <f t="shared" si="13"/>
        <v>69.028119028119022</v>
      </c>
      <c r="I40" s="161">
        <f t="shared" si="13"/>
        <v>69.110722453921696</v>
      </c>
      <c r="J40" s="161">
        <f t="shared" si="13"/>
        <v>68.539325842696627</v>
      </c>
      <c r="K40" s="161">
        <f t="shared" si="13"/>
        <v>67.900909210699695</v>
      </c>
      <c r="L40" s="162">
        <f t="shared" si="13"/>
        <v>66.97971450037565</v>
      </c>
    </row>
    <row r="41" spans="1:12" x14ac:dyDescent="0.25">
      <c r="A41" s="1193"/>
      <c r="B41" s="1202" t="s">
        <v>347</v>
      </c>
      <c r="C41" s="1205" t="s">
        <v>348</v>
      </c>
      <c r="D41" s="1206"/>
      <c r="E41" s="201">
        <f t="shared" ref="E41:K41" si="14">E42+E43</f>
        <v>1156</v>
      </c>
      <c r="F41" s="195">
        <f t="shared" si="14"/>
        <v>1212</v>
      </c>
      <c r="G41" s="195">
        <f t="shared" si="14"/>
        <v>1289</v>
      </c>
      <c r="H41" s="195">
        <f t="shared" si="14"/>
        <v>987</v>
      </c>
      <c r="I41" s="195">
        <f t="shared" si="14"/>
        <v>1022</v>
      </c>
      <c r="J41" s="195">
        <f t="shared" si="14"/>
        <v>1020</v>
      </c>
      <c r="K41" s="195">
        <f t="shared" si="14"/>
        <v>988</v>
      </c>
      <c r="L41" s="196">
        <f>L42+L43</f>
        <v>1046</v>
      </c>
    </row>
    <row r="42" spans="1:12" x14ac:dyDescent="0.25">
      <c r="A42" s="1193"/>
      <c r="B42" s="1203"/>
      <c r="C42" s="1148" t="s">
        <v>349</v>
      </c>
      <c r="D42" s="1124"/>
      <c r="E42" s="177">
        <v>261</v>
      </c>
      <c r="F42" s="28">
        <v>226</v>
      </c>
      <c r="G42" s="28">
        <v>226</v>
      </c>
      <c r="H42" s="28">
        <v>172</v>
      </c>
      <c r="I42" s="28">
        <v>174</v>
      </c>
      <c r="J42" s="28">
        <v>180</v>
      </c>
      <c r="K42" s="28">
        <v>185</v>
      </c>
      <c r="L42" s="21">
        <v>194</v>
      </c>
    </row>
    <row r="43" spans="1:12" x14ac:dyDescent="0.25">
      <c r="A43" s="1193"/>
      <c r="B43" s="1203"/>
      <c r="C43" s="1148" t="s">
        <v>350</v>
      </c>
      <c r="D43" s="1124"/>
      <c r="E43" s="177">
        <v>895</v>
      </c>
      <c r="F43" s="28">
        <v>986</v>
      </c>
      <c r="G43" s="96">
        <v>1063</v>
      </c>
      <c r="H43" s="28">
        <v>815</v>
      </c>
      <c r="I43" s="28">
        <v>848</v>
      </c>
      <c r="J43" s="28">
        <v>840</v>
      </c>
      <c r="K43" s="28">
        <v>803</v>
      </c>
      <c r="L43" s="21">
        <v>852</v>
      </c>
    </row>
    <row r="44" spans="1:12" x14ac:dyDescent="0.25">
      <c r="A44" s="1193"/>
      <c r="B44" s="1203"/>
      <c r="C44" s="1190" t="s">
        <v>269</v>
      </c>
      <c r="D44" s="1112"/>
      <c r="E44" s="173">
        <f>E43-E42</f>
        <v>634</v>
      </c>
      <c r="F44" s="157">
        <f t="shared" ref="F44:L44" si="15">F43-F42</f>
        <v>760</v>
      </c>
      <c r="G44" s="157">
        <f t="shared" si="15"/>
        <v>837</v>
      </c>
      <c r="H44" s="157">
        <f t="shared" si="15"/>
        <v>643</v>
      </c>
      <c r="I44" s="157">
        <f t="shared" si="15"/>
        <v>674</v>
      </c>
      <c r="J44" s="157">
        <f t="shared" si="15"/>
        <v>660</v>
      </c>
      <c r="K44" s="157">
        <f t="shared" si="15"/>
        <v>618</v>
      </c>
      <c r="L44" s="160">
        <f t="shared" si="15"/>
        <v>658</v>
      </c>
    </row>
    <row r="45" spans="1:12" ht="16.5" thickBot="1" x14ac:dyDescent="0.3">
      <c r="A45" s="1193"/>
      <c r="B45" s="1204"/>
      <c r="C45" s="1177" t="s">
        <v>351</v>
      </c>
      <c r="D45" s="1178"/>
      <c r="E45" s="689">
        <f>E43/E41*100</f>
        <v>77.422145328719722</v>
      </c>
      <c r="F45" s="165">
        <f t="shared" ref="F45:L45" si="16">F43/F41*100</f>
        <v>81.353135313531354</v>
      </c>
      <c r="G45" s="165">
        <f t="shared" si="16"/>
        <v>82.467028704422034</v>
      </c>
      <c r="H45" s="165">
        <f t="shared" si="16"/>
        <v>82.573454913880454</v>
      </c>
      <c r="I45" s="165">
        <f t="shared" si="16"/>
        <v>82.974559686888455</v>
      </c>
      <c r="J45" s="165">
        <f t="shared" si="16"/>
        <v>82.35294117647058</v>
      </c>
      <c r="K45" s="165">
        <f t="shared" si="16"/>
        <v>81.275303643724698</v>
      </c>
      <c r="L45" s="166">
        <f t="shared" si="16"/>
        <v>81.453154875717019</v>
      </c>
    </row>
    <row r="46" spans="1:12" ht="16.5" thickBot="1" x14ac:dyDescent="0.3">
      <c r="A46" s="151" t="s">
        <v>248</v>
      </c>
      <c r="B46" s="993" t="s">
        <v>249</v>
      </c>
      <c r="C46" s="1191"/>
      <c r="D46" s="1191"/>
      <c r="E46" s="994">
        <v>2005</v>
      </c>
      <c r="F46" s="625">
        <v>2010</v>
      </c>
      <c r="G46" s="625">
        <v>2015</v>
      </c>
      <c r="H46" s="625">
        <v>2020</v>
      </c>
      <c r="I46" s="625">
        <v>2021</v>
      </c>
      <c r="J46" s="625">
        <v>2022</v>
      </c>
      <c r="K46" s="625">
        <v>2023</v>
      </c>
      <c r="L46" s="284">
        <v>2024</v>
      </c>
    </row>
    <row r="47" spans="1:12" ht="15" customHeight="1" x14ac:dyDescent="0.25">
      <c r="A47" s="1171" t="s">
        <v>38</v>
      </c>
      <c r="B47" s="1219" t="s">
        <v>352</v>
      </c>
      <c r="C47" s="1146" t="s">
        <v>251</v>
      </c>
      <c r="D47" s="1147"/>
      <c r="E47" s="195">
        <v>5800</v>
      </c>
      <c r="F47" s="195">
        <v>10707</v>
      </c>
      <c r="G47" s="195">
        <v>9567</v>
      </c>
      <c r="H47" s="195">
        <v>10302</v>
      </c>
      <c r="I47" s="195">
        <v>9730</v>
      </c>
      <c r="J47" s="195">
        <v>6270</v>
      </c>
      <c r="K47" s="195">
        <v>6300</v>
      </c>
      <c r="L47" s="196">
        <f>L48+L49</f>
        <v>6183</v>
      </c>
    </row>
    <row r="48" spans="1:12" x14ac:dyDescent="0.25">
      <c r="A48" s="1171"/>
      <c r="B48" s="1220"/>
      <c r="C48" s="1148" t="s">
        <v>257</v>
      </c>
      <c r="D48" s="1124"/>
      <c r="E48" s="96">
        <v>2730</v>
      </c>
      <c r="F48" s="96">
        <v>5792</v>
      </c>
      <c r="G48" s="96">
        <v>5085</v>
      </c>
      <c r="H48" s="96">
        <v>5380</v>
      </c>
      <c r="I48" s="96">
        <v>5040</v>
      </c>
      <c r="J48" s="96">
        <v>3125</v>
      </c>
      <c r="K48" s="96">
        <v>3223</v>
      </c>
      <c r="L48" s="83">
        <v>3244</v>
      </c>
    </row>
    <row r="49" spans="1:12" x14ac:dyDescent="0.25">
      <c r="A49" s="1171"/>
      <c r="B49" s="1220"/>
      <c r="C49" s="1148" t="s">
        <v>263</v>
      </c>
      <c r="D49" s="1124"/>
      <c r="E49" s="96">
        <v>3070</v>
      </c>
      <c r="F49" s="96">
        <v>4915</v>
      </c>
      <c r="G49" s="96">
        <v>4482</v>
      </c>
      <c r="H49" s="96">
        <v>4922</v>
      </c>
      <c r="I49" s="96">
        <v>4690</v>
      </c>
      <c r="J49" s="96">
        <v>3145</v>
      </c>
      <c r="K49" s="96">
        <v>3077</v>
      </c>
      <c r="L49" s="83">
        <v>2939</v>
      </c>
    </row>
    <row r="50" spans="1:12" x14ac:dyDescent="0.25">
      <c r="A50" s="1171"/>
      <c r="B50" s="1220"/>
      <c r="C50" s="1190" t="s">
        <v>353</v>
      </c>
      <c r="D50" s="1112"/>
      <c r="E50" s="157">
        <f>E49-E48</f>
        <v>340</v>
      </c>
      <c r="F50" s="157">
        <f t="shared" ref="F50:L50" si="17">F49-F48</f>
        <v>-877</v>
      </c>
      <c r="G50" s="157">
        <f t="shared" si="17"/>
        <v>-603</v>
      </c>
      <c r="H50" s="157">
        <f t="shared" si="17"/>
        <v>-458</v>
      </c>
      <c r="I50" s="157">
        <f t="shared" si="17"/>
        <v>-350</v>
      </c>
      <c r="J50" s="157">
        <f t="shared" si="17"/>
        <v>20</v>
      </c>
      <c r="K50" s="157">
        <f t="shared" si="17"/>
        <v>-146</v>
      </c>
      <c r="L50" s="160">
        <f t="shared" si="17"/>
        <v>-305</v>
      </c>
    </row>
    <row r="51" spans="1:12" ht="16.5" thickBot="1" x14ac:dyDescent="0.3">
      <c r="A51" s="1171"/>
      <c r="B51" s="1221"/>
      <c r="C51" s="1169" t="s">
        <v>270</v>
      </c>
      <c r="D51" s="1126"/>
      <c r="E51" s="161">
        <f>E49/E47*100</f>
        <v>52.931034482758619</v>
      </c>
      <c r="F51" s="161">
        <f t="shared" ref="F51:L51" si="18">F49/F47*100</f>
        <v>45.90454842626319</v>
      </c>
      <c r="G51" s="161">
        <f t="shared" si="18"/>
        <v>46.848541862652873</v>
      </c>
      <c r="H51" s="161">
        <f t="shared" si="18"/>
        <v>47.777130654241894</v>
      </c>
      <c r="I51" s="161">
        <f t="shared" si="18"/>
        <v>48.201438848920866</v>
      </c>
      <c r="J51" s="161">
        <f t="shared" si="18"/>
        <v>50.159489633173848</v>
      </c>
      <c r="K51" s="161">
        <f t="shared" si="18"/>
        <v>48.841269841269842</v>
      </c>
      <c r="L51" s="162">
        <f t="shared" si="18"/>
        <v>47.533559760633999</v>
      </c>
    </row>
    <row r="52" spans="1:12" x14ac:dyDescent="0.25">
      <c r="A52" s="1171"/>
      <c r="B52" s="1219" t="s">
        <v>146</v>
      </c>
      <c r="C52" s="1146" t="s">
        <v>251</v>
      </c>
      <c r="D52" s="1147"/>
      <c r="E52" s="36"/>
      <c r="F52" s="36"/>
      <c r="G52" s="36"/>
      <c r="H52" s="40">
        <v>9.3699999999999992</v>
      </c>
      <c r="I52" s="40">
        <v>7.4</v>
      </c>
      <c r="J52" s="40">
        <v>5.8</v>
      </c>
      <c r="K52" s="40">
        <v>5.54</v>
      </c>
      <c r="L52" s="20">
        <v>5.16</v>
      </c>
    </row>
    <row r="53" spans="1:12" x14ac:dyDescent="0.25">
      <c r="A53" s="1171"/>
      <c r="B53" s="1220"/>
      <c r="C53" s="1148" t="s">
        <v>257</v>
      </c>
      <c r="D53" s="1124"/>
      <c r="E53" s="28"/>
      <c r="F53" s="28"/>
      <c r="G53" s="28"/>
      <c r="H53" s="28">
        <v>9.25</v>
      </c>
      <c r="I53" s="28">
        <v>7.28</v>
      </c>
      <c r="J53" s="28">
        <v>5.63</v>
      </c>
      <c r="K53" s="28">
        <v>5.46</v>
      </c>
      <c r="L53" s="21">
        <v>4.93</v>
      </c>
    </row>
    <row r="54" spans="1:12" x14ac:dyDescent="0.25">
      <c r="A54" s="1171"/>
      <c r="B54" s="1220"/>
      <c r="C54" s="1222" t="s">
        <v>263</v>
      </c>
      <c r="D54" s="1223"/>
      <c r="E54" s="28"/>
      <c r="F54" s="28"/>
      <c r="G54" s="28"/>
      <c r="H54" s="28">
        <v>9.5</v>
      </c>
      <c r="I54" s="28">
        <v>7.54</v>
      </c>
      <c r="J54" s="28">
        <v>5.99</v>
      </c>
      <c r="K54" s="28">
        <v>5.64</v>
      </c>
      <c r="L54" s="21">
        <v>5.42</v>
      </c>
    </row>
    <row r="55" spans="1:12" ht="16.5" thickBot="1" x14ac:dyDescent="0.3">
      <c r="A55" s="1171"/>
      <c r="B55" s="1221"/>
      <c r="C55" s="1224" t="s">
        <v>354</v>
      </c>
      <c r="D55" s="1225"/>
      <c r="E55" s="33"/>
      <c r="F55" s="33"/>
      <c r="G55" s="33"/>
      <c r="H55" s="33">
        <f>+H54-H53</f>
        <v>0.25</v>
      </c>
      <c r="I55" s="203">
        <f>+I54-I53</f>
        <v>0.25999999999999979</v>
      </c>
      <c r="J55" s="203">
        <f>+J54-J53</f>
        <v>0.36000000000000032</v>
      </c>
      <c r="K55" s="203">
        <f>+K54-K53</f>
        <v>0.17999999999999972</v>
      </c>
      <c r="L55" s="204">
        <f>+L54-L53</f>
        <v>0.49000000000000021</v>
      </c>
    </row>
    <row r="56" spans="1:12" x14ac:dyDescent="0.25">
      <c r="A56" s="1171"/>
      <c r="B56" s="1219" t="s">
        <v>151</v>
      </c>
      <c r="C56" s="1227" t="s">
        <v>251</v>
      </c>
      <c r="D56" s="1228"/>
      <c r="E56" s="202"/>
      <c r="F56" s="202"/>
      <c r="G56" s="202"/>
      <c r="H56" s="202">
        <v>613</v>
      </c>
      <c r="I56" s="202">
        <v>632</v>
      </c>
      <c r="J56" s="202">
        <v>586</v>
      </c>
      <c r="K56" s="122">
        <v>513</v>
      </c>
      <c r="L56" s="87"/>
    </row>
    <row r="57" spans="1:12" x14ac:dyDescent="0.25">
      <c r="A57" s="1171"/>
      <c r="B57" s="1220"/>
      <c r="C57" s="1229" t="s">
        <v>257</v>
      </c>
      <c r="D57" s="1230"/>
      <c r="E57" s="28"/>
      <c r="F57" s="28"/>
      <c r="G57" s="28"/>
      <c r="H57" s="28">
        <v>281</v>
      </c>
      <c r="I57" s="28">
        <v>276</v>
      </c>
      <c r="J57" s="28">
        <v>245</v>
      </c>
      <c r="K57" s="28">
        <v>216</v>
      </c>
      <c r="L57" s="21"/>
    </row>
    <row r="58" spans="1:12" x14ac:dyDescent="0.25">
      <c r="A58" s="1171"/>
      <c r="B58" s="1220"/>
      <c r="C58" s="1148" t="s">
        <v>263</v>
      </c>
      <c r="D58" s="1124"/>
      <c r="E58" s="28"/>
      <c r="F58" s="28"/>
      <c r="G58" s="28"/>
      <c r="H58" s="28">
        <v>332</v>
      </c>
      <c r="I58" s="28">
        <v>356</v>
      </c>
      <c r="J58" s="28">
        <v>341</v>
      </c>
      <c r="K58" s="28">
        <v>297</v>
      </c>
      <c r="L58" s="21"/>
    </row>
    <row r="59" spans="1:12" x14ac:dyDescent="0.25">
      <c r="A59" s="1171"/>
      <c r="B59" s="1220"/>
      <c r="C59" s="1190" t="s">
        <v>353</v>
      </c>
      <c r="D59" s="1112"/>
      <c r="E59" s="44"/>
      <c r="F59" s="44"/>
      <c r="G59" s="44"/>
      <c r="H59" s="44">
        <f>+H58-H57</f>
        <v>51</v>
      </c>
      <c r="I59" s="44">
        <f>+I58-I57</f>
        <v>80</v>
      </c>
      <c r="J59" s="44">
        <f>+J58-J57</f>
        <v>96</v>
      </c>
      <c r="K59" s="44">
        <f>+K58-K57</f>
        <v>81</v>
      </c>
      <c r="L59" s="21"/>
    </row>
    <row r="60" spans="1:12" ht="16.5" thickBot="1" x14ac:dyDescent="0.3">
      <c r="A60" s="1171"/>
      <c r="B60" s="1221"/>
      <c r="C60" s="1169" t="s">
        <v>270</v>
      </c>
      <c r="D60" s="1126"/>
      <c r="E60" s="203"/>
      <c r="F60" s="203"/>
      <c r="G60" s="203"/>
      <c r="H60" s="161">
        <f>H58/H56*100</f>
        <v>54.159869494290383</v>
      </c>
      <c r="I60" s="161">
        <f>I58/I56*100</f>
        <v>56.329113924050631</v>
      </c>
      <c r="J60" s="161">
        <f>J58/J56*100</f>
        <v>58.191126279863482</v>
      </c>
      <c r="K60" s="161">
        <f>K58/K56*100</f>
        <v>57.894736842105267</v>
      </c>
      <c r="L60" s="22"/>
    </row>
    <row r="61" spans="1:12" ht="16.5" thickBot="1" x14ac:dyDescent="0.3">
      <c r="A61" s="1171"/>
      <c r="B61" s="752" t="s">
        <v>249</v>
      </c>
      <c r="C61" s="1226"/>
      <c r="D61" s="1226"/>
      <c r="E61" s="943"/>
      <c r="F61" s="943">
        <v>2011</v>
      </c>
      <c r="G61" s="943"/>
      <c r="H61" s="943"/>
      <c r="I61" s="943">
        <v>2021</v>
      </c>
      <c r="J61" s="943"/>
      <c r="K61" s="943"/>
      <c r="L61" s="944">
        <v>2024</v>
      </c>
    </row>
    <row r="62" spans="1:12" x14ac:dyDescent="0.25">
      <c r="A62" s="1171"/>
      <c r="B62" s="1231" t="s">
        <v>156</v>
      </c>
      <c r="C62" s="1172" t="s">
        <v>355</v>
      </c>
      <c r="D62" s="143" t="s">
        <v>251</v>
      </c>
      <c r="E62" s="129"/>
      <c r="F62" s="130">
        <v>69355</v>
      </c>
      <c r="G62" s="131"/>
      <c r="H62" s="131"/>
      <c r="I62" s="130">
        <v>68565</v>
      </c>
      <c r="J62" s="122"/>
      <c r="K62" s="122"/>
      <c r="L62" s="87"/>
    </row>
    <row r="63" spans="1:12" ht="15" customHeight="1" x14ac:dyDescent="0.25">
      <c r="A63" s="1171"/>
      <c r="B63" s="1232"/>
      <c r="C63" s="1173"/>
      <c r="D63" s="28" t="s">
        <v>257</v>
      </c>
      <c r="E63" s="94"/>
      <c r="F63" s="80">
        <v>36430</v>
      </c>
      <c r="G63" s="95"/>
      <c r="H63" s="95"/>
      <c r="I63" s="80">
        <v>37440</v>
      </c>
      <c r="J63" s="28"/>
      <c r="K63" s="28"/>
      <c r="L63" s="21"/>
    </row>
    <row r="64" spans="1:12" x14ac:dyDescent="0.25">
      <c r="A64" s="1171"/>
      <c r="B64" s="1232"/>
      <c r="C64" s="1173"/>
      <c r="D64" s="28" t="s">
        <v>263</v>
      </c>
      <c r="E64" s="94"/>
      <c r="F64" s="80">
        <v>32920</v>
      </c>
      <c r="G64" s="95"/>
      <c r="H64" s="95"/>
      <c r="I64" s="80">
        <v>31125</v>
      </c>
      <c r="J64" s="28"/>
      <c r="K64" s="28"/>
      <c r="L64" s="21"/>
    </row>
    <row r="65" spans="1:12" hidden="1" x14ac:dyDescent="0.25">
      <c r="A65" s="1171"/>
      <c r="B65" s="1232"/>
      <c r="C65" s="1117" t="s">
        <v>356</v>
      </c>
      <c r="D65" s="144" t="s">
        <v>251</v>
      </c>
      <c r="E65" s="94"/>
      <c r="F65" s="80">
        <v>215</v>
      </c>
      <c r="G65" s="95"/>
      <c r="H65" s="95"/>
      <c r="I65" s="96"/>
      <c r="J65" s="28"/>
      <c r="K65" s="28"/>
      <c r="L65" s="21"/>
    </row>
    <row r="66" spans="1:12" hidden="1" x14ac:dyDescent="0.25">
      <c r="A66" s="1171"/>
      <c r="B66" s="1232"/>
      <c r="C66" s="1117"/>
      <c r="D66" s="28" t="s">
        <v>257</v>
      </c>
      <c r="E66" s="94"/>
      <c r="F66" s="80">
        <v>190</v>
      </c>
      <c r="G66" s="95"/>
      <c r="H66" s="95"/>
      <c r="I66" s="96"/>
      <c r="J66" s="28"/>
      <c r="K66" s="28"/>
      <c r="L66" s="21"/>
    </row>
    <row r="67" spans="1:12" hidden="1" x14ac:dyDescent="0.25">
      <c r="A67" s="1171"/>
      <c r="B67" s="1232"/>
      <c r="C67" s="1117"/>
      <c r="D67" s="28" t="s">
        <v>263</v>
      </c>
      <c r="E67" s="94"/>
      <c r="F67" s="80">
        <v>20</v>
      </c>
      <c r="G67" s="95"/>
      <c r="H67" s="95"/>
      <c r="I67" s="96"/>
      <c r="J67" s="28"/>
      <c r="K67" s="28"/>
      <c r="L67" s="21"/>
    </row>
    <row r="68" spans="1:12" hidden="1" x14ac:dyDescent="0.25">
      <c r="A68" s="1171"/>
      <c r="B68" s="1232"/>
      <c r="C68" s="1117"/>
      <c r="D68" s="28" t="s">
        <v>357</v>
      </c>
      <c r="E68" s="94"/>
      <c r="F68" s="97">
        <f>F67/F65*100</f>
        <v>9.3023255813953494</v>
      </c>
      <c r="G68" s="94"/>
      <c r="H68" s="94"/>
      <c r="I68" s="28"/>
      <c r="J68" s="28"/>
      <c r="K68" s="28"/>
      <c r="L68" s="21"/>
    </row>
    <row r="69" spans="1:12" ht="14.85" hidden="1" customHeight="1" x14ac:dyDescent="0.25">
      <c r="A69" s="1171"/>
      <c r="B69" s="1232"/>
      <c r="C69" s="1117" t="s">
        <v>358</v>
      </c>
      <c r="D69" s="144" t="s">
        <v>251</v>
      </c>
      <c r="E69" s="94"/>
      <c r="F69" s="80">
        <v>915</v>
      </c>
      <c r="G69" s="80"/>
      <c r="H69" s="80"/>
      <c r="I69" s="80">
        <v>330</v>
      </c>
      <c r="J69" s="28"/>
      <c r="K69" s="28"/>
      <c r="L69" s="21"/>
    </row>
    <row r="70" spans="1:12" hidden="1" x14ac:dyDescent="0.25">
      <c r="A70" s="1171"/>
      <c r="B70" s="1232"/>
      <c r="C70" s="1117"/>
      <c r="D70" s="28" t="s">
        <v>257</v>
      </c>
      <c r="E70" s="94"/>
      <c r="F70" s="80">
        <v>680</v>
      </c>
      <c r="G70" s="80"/>
      <c r="H70" s="80"/>
      <c r="I70" s="80">
        <v>228</v>
      </c>
      <c r="J70" s="28"/>
      <c r="K70" s="28"/>
      <c r="L70" s="21"/>
    </row>
    <row r="71" spans="1:12" hidden="1" x14ac:dyDescent="0.25">
      <c r="A71" s="1171"/>
      <c r="B71" s="1232"/>
      <c r="C71" s="1117"/>
      <c r="D71" s="28" t="s">
        <v>263</v>
      </c>
      <c r="E71" s="94"/>
      <c r="F71" s="80">
        <v>240</v>
      </c>
      <c r="G71" s="80"/>
      <c r="H71" s="80"/>
      <c r="I71" s="80">
        <v>105</v>
      </c>
      <c r="J71" s="28"/>
      <c r="K71" s="28"/>
      <c r="L71" s="21"/>
    </row>
    <row r="72" spans="1:12" hidden="1" x14ac:dyDescent="0.25">
      <c r="A72" s="1171"/>
      <c r="B72" s="1232"/>
      <c r="C72" s="1117"/>
      <c r="D72" s="28" t="s">
        <v>357</v>
      </c>
      <c r="E72" s="94"/>
      <c r="F72" s="97">
        <f>F71/F69*100</f>
        <v>26.229508196721312</v>
      </c>
      <c r="G72" s="94"/>
      <c r="H72" s="94"/>
      <c r="I72" s="97">
        <f>I71/I69*100</f>
        <v>31.818181818181817</v>
      </c>
      <c r="J72" s="28"/>
      <c r="K72" s="28"/>
      <c r="L72" s="21"/>
    </row>
    <row r="73" spans="1:12" hidden="1" x14ac:dyDescent="0.25">
      <c r="A73" s="1171"/>
      <c r="B73" s="1232"/>
      <c r="C73" s="1117" t="s">
        <v>359</v>
      </c>
      <c r="D73" s="144" t="s">
        <v>251</v>
      </c>
      <c r="E73" s="94"/>
      <c r="F73" s="80">
        <v>1650</v>
      </c>
      <c r="G73" s="80"/>
      <c r="H73" s="80"/>
      <c r="I73" s="80">
        <v>1983</v>
      </c>
      <c r="J73" s="28"/>
      <c r="K73" s="28"/>
      <c r="L73" s="21"/>
    </row>
    <row r="74" spans="1:12" hidden="1" x14ac:dyDescent="0.25">
      <c r="A74" s="1171"/>
      <c r="B74" s="1232"/>
      <c r="C74" s="1117"/>
      <c r="D74" s="28" t="s">
        <v>257</v>
      </c>
      <c r="E74" s="94"/>
      <c r="F74" s="80">
        <v>1020</v>
      </c>
      <c r="G74" s="80"/>
      <c r="H74" s="80"/>
      <c r="I74" s="80">
        <v>1146</v>
      </c>
      <c r="J74" s="28"/>
      <c r="K74" s="28"/>
      <c r="L74" s="21"/>
    </row>
    <row r="75" spans="1:12" hidden="1" x14ac:dyDescent="0.25">
      <c r="A75" s="1171"/>
      <c r="B75" s="1232"/>
      <c r="C75" s="1117"/>
      <c r="D75" s="28" t="s">
        <v>263</v>
      </c>
      <c r="E75" s="94"/>
      <c r="F75" s="80">
        <v>630</v>
      </c>
      <c r="G75" s="80"/>
      <c r="H75" s="80"/>
      <c r="I75" s="80">
        <v>840</v>
      </c>
      <c r="J75" s="28"/>
      <c r="K75" s="28"/>
      <c r="L75" s="21"/>
    </row>
    <row r="76" spans="1:12" hidden="1" x14ac:dyDescent="0.25">
      <c r="A76" s="1171"/>
      <c r="B76" s="1232"/>
      <c r="C76" s="1117"/>
      <c r="D76" s="28" t="s">
        <v>357</v>
      </c>
      <c r="E76" s="94"/>
      <c r="F76" s="97">
        <f>F75/F73*100</f>
        <v>38.181818181818187</v>
      </c>
      <c r="G76" s="94"/>
      <c r="H76" s="94"/>
      <c r="I76" s="98">
        <f>I75/I73*100</f>
        <v>42.360060514372158</v>
      </c>
      <c r="J76" s="28"/>
      <c r="K76" s="28"/>
      <c r="L76" s="21"/>
    </row>
    <row r="77" spans="1:12" hidden="1" x14ac:dyDescent="0.25">
      <c r="A77" s="1171"/>
      <c r="B77" s="1232"/>
      <c r="C77" s="1117" t="s">
        <v>360</v>
      </c>
      <c r="D77" s="144" t="s">
        <v>251</v>
      </c>
      <c r="E77" s="94"/>
      <c r="F77" s="80">
        <v>1235</v>
      </c>
      <c r="G77" s="80"/>
      <c r="H77" s="80"/>
      <c r="I77" s="80">
        <v>558</v>
      </c>
      <c r="J77" s="28"/>
      <c r="K77" s="28"/>
      <c r="L77" s="21"/>
    </row>
    <row r="78" spans="1:12" hidden="1" x14ac:dyDescent="0.25">
      <c r="A78" s="1171"/>
      <c r="B78" s="1232"/>
      <c r="C78" s="1117"/>
      <c r="D78" s="28" t="s">
        <v>257</v>
      </c>
      <c r="E78" s="94"/>
      <c r="F78" s="80">
        <v>890</v>
      </c>
      <c r="G78" s="80"/>
      <c r="H78" s="80"/>
      <c r="I78" s="80">
        <v>375</v>
      </c>
      <c r="J78" s="28"/>
      <c r="K78" s="28"/>
      <c r="L78" s="21"/>
    </row>
    <row r="79" spans="1:12" hidden="1" x14ac:dyDescent="0.25">
      <c r="A79" s="1171"/>
      <c r="B79" s="1232"/>
      <c r="C79" s="1117"/>
      <c r="D79" s="28" t="s">
        <v>263</v>
      </c>
      <c r="E79" s="94"/>
      <c r="F79" s="80">
        <v>340</v>
      </c>
      <c r="G79" s="80"/>
      <c r="H79" s="80"/>
      <c r="I79" s="80">
        <v>186</v>
      </c>
      <c r="J79" s="28"/>
      <c r="K79" s="28"/>
      <c r="L79" s="21"/>
    </row>
    <row r="80" spans="1:12" hidden="1" x14ac:dyDescent="0.25">
      <c r="A80" s="1171"/>
      <c r="B80" s="1232"/>
      <c r="C80" s="1117"/>
      <c r="D80" s="28" t="s">
        <v>357</v>
      </c>
      <c r="E80" s="94"/>
      <c r="F80" s="97">
        <f>F79/F77*100</f>
        <v>27.530364372469634</v>
      </c>
      <c r="G80" s="94"/>
      <c r="H80" s="94"/>
      <c r="I80" s="97">
        <f>I79/I77*100</f>
        <v>33.333333333333329</v>
      </c>
      <c r="J80" s="28"/>
      <c r="K80" s="28"/>
      <c r="L80" s="21"/>
    </row>
    <row r="81" spans="1:12" hidden="1" x14ac:dyDescent="0.25">
      <c r="A81" s="1171"/>
      <c r="B81" s="1232"/>
      <c r="C81" s="1117" t="s">
        <v>361</v>
      </c>
      <c r="D81" s="144" t="s">
        <v>251</v>
      </c>
      <c r="E81" s="94"/>
      <c r="F81" s="80">
        <v>425</v>
      </c>
      <c r="G81" s="80"/>
      <c r="H81" s="80"/>
      <c r="I81" s="80">
        <v>438</v>
      </c>
      <c r="J81" s="28"/>
      <c r="K81" s="28"/>
      <c r="L81" s="21"/>
    </row>
    <row r="82" spans="1:12" hidden="1" x14ac:dyDescent="0.25">
      <c r="A82" s="1171"/>
      <c r="B82" s="1232"/>
      <c r="C82" s="1117"/>
      <c r="D82" s="28" t="s">
        <v>257</v>
      </c>
      <c r="E82" s="94"/>
      <c r="F82" s="80">
        <v>260</v>
      </c>
      <c r="G82" s="80"/>
      <c r="H82" s="80"/>
      <c r="I82" s="80">
        <v>270</v>
      </c>
      <c r="J82" s="28"/>
      <c r="K82" s="28"/>
      <c r="L82" s="21"/>
    </row>
    <row r="83" spans="1:12" hidden="1" x14ac:dyDescent="0.25">
      <c r="A83" s="1171"/>
      <c r="B83" s="1232"/>
      <c r="C83" s="1117"/>
      <c r="D83" s="28" t="s">
        <v>263</v>
      </c>
      <c r="E83" s="94"/>
      <c r="F83" s="80">
        <v>160</v>
      </c>
      <c r="G83" s="80"/>
      <c r="H83" s="80"/>
      <c r="I83" s="80">
        <v>168</v>
      </c>
      <c r="J83" s="28"/>
      <c r="K83" s="28"/>
      <c r="L83" s="21"/>
    </row>
    <row r="84" spans="1:12" hidden="1" x14ac:dyDescent="0.25">
      <c r="A84" s="1171"/>
      <c r="B84" s="1232"/>
      <c r="C84" s="1117"/>
      <c r="D84" s="28" t="s">
        <v>357</v>
      </c>
      <c r="E84" s="94"/>
      <c r="F84" s="97">
        <f>(F83/F81)*100</f>
        <v>37.647058823529413</v>
      </c>
      <c r="G84" s="94"/>
      <c r="H84" s="94"/>
      <c r="I84" s="97">
        <f>I83/I81*100</f>
        <v>38.356164383561641</v>
      </c>
      <c r="J84" s="28"/>
      <c r="K84" s="28"/>
      <c r="L84" s="21"/>
    </row>
    <row r="85" spans="1:12" hidden="1" x14ac:dyDescent="0.25">
      <c r="A85" s="1171"/>
      <c r="B85" s="1232"/>
      <c r="C85" s="1117" t="s">
        <v>362</v>
      </c>
      <c r="D85" s="144" t="s">
        <v>251</v>
      </c>
      <c r="E85" s="94"/>
      <c r="F85" s="80">
        <v>465</v>
      </c>
      <c r="G85" s="80"/>
      <c r="H85" s="80"/>
      <c r="I85" s="80">
        <v>798</v>
      </c>
      <c r="J85" s="28"/>
      <c r="K85" s="28"/>
      <c r="L85" s="21"/>
    </row>
    <row r="86" spans="1:12" ht="15" hidden="1" customHeight="1" x14ac:dyDescent="0.25">
      <c r="A86" s="1171"/>
      <c r="B86" s="1232"/>
      <c r="C86" s="1117"/>
      <c r="D86" s="28" t="s">
        <v>257</v>
      </c>
      <c r="E86" s="94"/>
      <c r="F86" s="80">
        <v>245</v>
      </c>
      <c r="G86" s="80"/>
      <c r="H86" s="80"/>
      <c r="I86" s="80">
        <v>516</v>
      </c>
      <c r="J86" s="28"/>
      <c r="K86" s="28"/>
      <c r="L86" s="21"/>
    </row>
    <row r="87" spans="1:12" hidden="1" x14ac:dyDescent="0.25">
      <c r="A87" s="1171"/>
      <c r="B87" s="1232"/>
      <c r="C87" s="1117"/>
      <c r="D87" s="28" t="s">
        <v>263</v>
      </c>
      <c r="E87" s="94"/>
      <c r="F87" s="80">
        <v>220</v>
      </c>
      <c r="G87" s="80"/>
      <c r="H87" s="80"/>
      <c r="I87" s="80">
        <v>282</v>
      </c>
      <c r="J87" s="28"/>
      <c r="K87" s="28"/>
      <c r="L87" s="21"/>
    </row>
    <row r="88" spans="1:12" hidden="1" x14ac:dyDescent="0.25">
      <c r="A88" s="1171"/>
      <c r="B88" s="1232"/>
      <c r="C88" s="1117"/>
      <c r="D88" s="28" t="s">
        <v>357</v>
      </c>
      <c r="E88" s="94"/>
      <c r="F88" s="98">
        <f>(F87/F85)*100</f>
        <v>47.311827956989248</v>
      </c>
      <c r="G88" s="94"/>
      <c r="H88" s="94"/>
      <c r="I88" s="97">
        <f>I87/I85*100</f>
        <v>35.338345864661655</v>
      </c>
      <c r="J88" s="28"/>
      <c r="K88" s="28"/>
      <c r="L88" s="21"/>
    </row>
    <row r="89" spans="1:12" hidden="1" x14ac:dyDescent="0.25">
      <c r="A89" s="1171"/>
      <c r="B89" s="1232"/>
      <c r="C89" s="1117" t="s">
        <v>363</v>
      </c>
      <c r="D89" s="144" t="s">
        <v>251</v>
      </c>
      <c r="E89" s="94"/>
      <c r="F89" s="80">
        <v>2635</v>
      </c>
      <c r="G89" s="80"/>
      <c r="H89" s="80"/>
      <c r="I89" s="80">
        <v>2868</v>
      </c>
      <c r="J89" s="28"/>
      <c r="K89" s="28"/>
      <c r="L89" s="21"/>
    </row>
    <row r="90" spans="1:12" hidden="1" x14ac:dyDescent="0.25">
      <c r="A90" s="1171"/>
      <c r="B90" s="1232"/>
      <c r="C90" s="1117"/>
      <c r="D90" s="28" t="s">
        <v>257</v>
      </c>
      <c r="E90" s="94"/>
      <c r="F90" s="80">
        <v>1095</v>
      </c>
      <c r="G90" s="80"/>
      <c r="H90" s="80"/>
      <c r="I90" s="80">
        <v>1083</v>
      </c>
      <c r="J90" s="28"/>
      <c r="K90" s="28"/>
      <c r="L90" s="21"/>
    </row>
    <row r="91" spans="1:12" hidden="1" x14ac:dyDescent="0.25">
      <c r="A91" s="1171"/>
      <c r="B91" s="1232"/>
      <c r="C91" s="1117"/>
      <c r="D91" s="28" t="s">
        <v>263</v>
      </c>
      <c r="E91" s="94"/>
      <c r="F91" s="80">
        <v>1540</v>
      </c>
      <c r="G91" s="80"/>
      <c r="H91" s="80"/>
      <c r="I91" s="80">
        <v>1788</v>
      </c>
      <c r="J91" s="28"/>
      <c r="K91" s="28"/>
      <c r="L91" s="21"/>
    </row>
    <row r="92" spans="1:12" hidden="1" x14ac:dyDescent="0.25">
      <c r="A92" s="1171"/>
      <c r="B92" s="1232"/>
      <c r="C92" s="1117"/>
      <c r="D92" s="28" t="s">
        <v>357</v>
      </c>
      <c r="E92" s="94"/>
      <c r="F92" s="98">
        <f>(F91/F89)*100</f>
        <v>58.444022770398483</v>
      </c>
      <c r="G92" s="94"/>
      <c r="H92" s="94"/>
      <c r="I92" s="99">
        <f>I91/I89*100</f>
        <v>62.343096234309627</v>
      </c>
      <c r="J92" s="28"/>
      <c r="K92" s="28"/>
      <c r="L92" s="21"/>
    </row>
    <row r="93" spans="1:12" hidden="1" x14ac:dyDescent="0.25">
      <c r="A93" s="1171"/>
      <c r="B93" s="1232"/>
      <c r="C93" s="1117" t="s">
        <v>364</v>
      </c>
      <c r="D93" s="144" t="s">
        <v>251</v>
      </c>
      <c r="E93" s="94"/>
      <c r="F93" s="80">
        <v>5000</v>
      </c>
      <c r="G93" s="80"/>
      <c r="H93" s="80"/>
      <c r="I93" s="80">
        <v>4272</v>
      </c>
      <c r="J93" s="28"/>
      <c r="K93" s="28"/>
      <c r="L93" s="21"/>
    </row>
    <row r="94" spans="1:12" ht="14.85" hidden="1" customHeight="1" x14ac:dyDescent="0.25">
      <c r="A94" s="1171"/>
      <c r="B94" s="1232"/>
      <c r="C94" s="1117"/>
      <c r="D94" s="28" t="s">
        <v>257</v>
      </c>
      <c r="E94" s="94"/>
      <c r="F94" s="80">
        <v>2150</v>
      </c>
      <c r="G94" s="80"/>
      <c r="H94" s="80"/>
      <c r="I94" s="80">
        <v>1935</v>
      </c>
      <c r="J94" s="28"/>
      <c r="K94" s="28"/>
      <c r="L94" s="21"/>
    </row>
    <row r="95" spans="1:12" hidden="1" x14ac:dyDescent="0.25">
      <c r="A95" s="1171"/>
      <c r="B95" s="1232"/>
      <c r="C95" s="1117"/>
      <c r="D95" s="28" t="s">
        <v>263</v>
      </c>
      <c r="E95" s="94"/>
      <c r="F95" s="80">
        <v>2850</v>
      </c>
      <c r="G95" s="80"/>
      <c r="H95" s="80"/>
      <c r="I95" s="80">
        <v>2340</v>
      </c>
      <c r="J95" s="28"/>
      <c r="K95" s="28"/>
      <c r="L95" s="21"/>
    </row>
    <row r="96" spans="1:12" hidden="1" x14ac:dyDescent="0.25">
      <c r="A96" s="1171"/>
      <c r="B96" s="1232"/>
      <c r="C96" s="1117"/>
      <c r="D96" s="28" t="s">
        <v>357</v>
      </c>
      <c r="E96" s="94"/>
      <c r="F96" s="98">
        <f>(F95/F93)*100</f>
        <v>56.999999999999993</v>
      </c>
      <c r="G96" s="94"/>
      <c r="H96" s="94"/>
      <c r="I96" s="98">
        <f>I95/I93*100</f>
        <v>54.775280898876403</v>
      </c>
      <c r="J96" s="28"/>
      <c r="K96" s="28"/>
      <c r="L96" s="21"/>
    </row>
    <row r="97" spans="1:12" hidden="1" x14ac:dyDescent="0.25">
      <c r="A97" s="1171"/>
      <c r="B97" s="1232"/>
      <c r="C97" s="1117" t="s">
        <v>365</v>
      </c>
      <c r="D97" s="144" t="s">
        <v>251</v>
      </c>
      <c r="E97" s="94"/>
      <c r="F97" s="80">
        <v>1465</v>
      </c>
      <c r="G97" s="80"/>
      <c r="H97" s="80"/>
      <c r="I97" s="80">
        <v>1932</v>
      </c>
      <c r="J97" s="28"/>
      <c r="K97" s="28"/>
      <c r="L97" s="21"/>
    </row>
    <row r="98" spans="1:12" hidden="1" x14ac:dyDescent="0.25">
      <c r="A98" s="1171"/>
      <c r="B98" s="1232"/>
      <c r="C98" s="1117"/>
      <c r="D98" s="28" t="s">
        <v>257</v>
      </c>
      <c r="E98" s="94"/>
      <c r="F98" s="80">
        <v>515</v>
      </c>
      <c r="G98" s="80"/>
      <c r="H98" s="80"/>
      <c r="I98" s="80">
        <v>864</v>
      </c>
      <c r="J98" s="28"/>
      <c r="K98" s="28"/>
      <c r="L98" s="21"/>
    </row>
    <row r="99" spans="1:12" hidden="1" x14ac:dyDescent="0.25">
      <c r="A99" s="1171"/>
      <c r="B99" s="1232"/>
      <c r="C99" s="1117"/>
      <c r="D99" s="28" t="s">
        <v>263</v>
      </c>
      <c r="E99" s="94"/>
      <c r="F99" s="80">
        <v>955</v>
      </c>
      <c r="G99" s="80"/>
      <c r="H99" s="80"/>
      <c r="I99" s="80">
        <v>1068</v>
      </c>
      <c r="J99" s="28"/>
      <c r="K99" s="28"/>
      <c r="L99" s="21"/>
    </row>
    <row r="100" spans="1:12" hidden="1" x14ac:dyDescent="0.25">
      <c r="A100" s="1171"/>
      <c r="B100" s="1232"/>
      <c r="C100" s="1117"/>
      <c r="D100" s="28" t="s">
        <v>357</v>
      </c>
      <c r="E100" s="94"/>
      <c r="F100" s="99">
        <f>(F99/F97)*100</f>
        <v>65.187713310580207</v>
      </c>
      <c r="G100" s="94"/>
      <c r="H100" s="94"/>
      <c r="I100" s="98">
        <f>I99/I97*100</f>
        <v>55.279503105590067</v>
      </c>
      <c r="J100" s="28"/>
      <c r="K100" s="28"/>
      <c r="L100" s="21"/>
    </row>
    <row r="101" spans="1:12" hidden="1" x14ac:dyDescent="0.25">
      <c r="A101" s="1171"/>
      <c r="B101" s="1232"/>
      <c r="C101" s="1117" t="s">
        <v>366</v>
      </c>
      <c r="D101" s="144" t="s">
        <v>251</v>
      </c>
      <c r="E101" s="94"/>
      <c r="F101" s="80">
        <v>4450</v>
      </c>
      <c r="G101" s="80"/>
      <c r="H101" s="80"/>
      <c r="I101" s="80">
        <v>3408</v>
      </c>
      <c r="J101" s="28"/>
      <c r="K101" s="28"/>
      <c r="L101" s="21"/>
    </row>
    <row r="102" spans="1:12" hidden="1" x14ac:dyDescent="0.25">
      <c r="A102" s="1171"/>
      <c r="B102" s="1232"/>
      <c r="C102" s="1117"/>
      <c r="D102" s="28" t="s">
        <v>257</v>
      </c>
      <c r="E102" s="94"/>
      <c r="F102" s="80">
        <v>2790</v>
      </c>
      <c r="G102" s="80"/>
      <c r="H102" s="80"/>
      <c r="I102" s="80">
        <v>2190</v>
      </c>
      <c r="J102" s="28"/>
      <c r="K102" s="28"/>
      <c r="L102" s="21"/>
    </row>
    <row r="103" spans="1:12" hidden="1" x14ac:dyDescent="0.25">
      <c r="A103" s="1171"/>
      <c r="B103" s="1232"/>
      <c r="C103" s="1117"/>
      <c r="D103" s="28" t="s">
        <v>263</v>
      </c>
      <c r="E103" s="94"/>
      <c r="F103" s="80">
        <v>1660</v>
      </c>
      <c r="G103" s="80"/>
      <c r="H103" s="80"/>
      <c r="I103" s="80">
        <v>1218</v>
      </c>
      <c r="J103" s="28"/>
      <c r="K103" s="28"/>
      <c r="L103" s="21"/>
    </row>
    <row r="104" spans="1:12" hidden="1" x14ac:dyDescent="0.25">
      <c r="A104" s="1171"/>
      <c r="B104" s="1232"/>
      <c r="C104" s="1117"/>
      <c r="D104" s="28" t="s">
        <v>357</v>
      </c>
      <c r="E104" s="94"/>
      <c r="F104" s="97">
        <f>(F103/F101)*100</f>
        <v>37.303370786516851</v>
      </c>
      <c r="G104" s="94"/>
      <c r="H104" s="94"/>
      <c r="I104" s="97">
        <f>I103/I101*100</f>
        <v>35.739436619718312</v>
      </c>
      <c r="J104" s="28"/>
      <c r="K104" s="28"/>
      <c r="L104" s="21"/>
    </row>
    <row r="105" spans="1:12" hidden="1" x14ac:dyDescent="0.25">
      <c r="A105" s="1171"/>
      <c r="B105" s="1232"/>
      <c r="C105" s="1117" t="s">
        <v>367</v>
      </c>
      <c r="D105" s="144" t="s">
        <v>251</v>
      </c>
      <c r="E105" s="94"/>
      <c r="F105" s="80">
        <v>1590</v>
      </c>
      <c r="G105" s="80"/>
      <c r="H105" s="80"/>
      <c r="I105" s="80">
        <v>1398</v>
      </c>
      <c r="J105" s="96"/>
      <c r="K105" s="28"/>
      <c r="L105" s="21"/>
    </row>
    <row r="106" spans="1:12" hidden="1" x14ac:dyDescent="0.25">
      <c r="A106" s="1171"/>
      <c r="B106" s="1232"/>
      <c r="C106" s="1117"/>
      <c r="D106" s="28" t="s">
        <v>257</v>
      </c>
      <c r="E106" s="94"/>
      <c r="F106" s="80">
        <v>760</v>
      </c>
      <c r="G106" s="80"/>
      <c r="H106" s="80"/>
      <c r="I106" s="80">
        <v>726</v>
      </c>
      <c r="J106" s="96"/>
      <c r="K106" s="28"/>
      <c r="L106" s="21"/>
    </row>
    <row r="107" spans="1:12" hidden="1" x14ac:dyDescent="0.25">
      <c r="A107" s="1171"/>
      <c r="B107" s="1232"/>
      <c r="C107" s="1117"/>
      <c r="D107" s="28" t="s">
        <v>263</v>
      </c>
      <c r="E107" s="94"/>
      <c r="F107" s="80">
        <v>830</v>
      </c>
      <c r="G107" s="80"/>
      <c r="H107" s="80"/>
      <c r="I107" s="80">
        <v>672</v>
      </c>
      <c r="J107" s="96"/>
      <c r="K107" s="28"/>
      <c r="L107" s="21"/>
    </row>
    <row r="108" spans="1:12" hidden="1" x14ac:dyDescent="0.25">
      <c r="A108" s="1171"/>
      <c r="B108" s="1232"/>
      <c r="C108" s="1117"/>
      <c r="D108" s="28" t="s">
        <v>357</v>
      </c>
      <c r="E108" s="94"/>
      <c r="F108" s="98">
        <f>(F107/F105)*100</f>
        <v>52.20125786163522</v>
      </c>
      <c r="G108" s="94"/>
      <c r="H108" s="94"/>
      <c r="I108" s="98">
        <f>I107/I105*100</f>
        <v>48.068669527896994</v>
      </c>
      <c r="J108" s="96"/>
      <c r="K108" s="28"/>
      <c r="L108" s="21"/>
    </row>
    <row r="109" spans="1:12" hidden="1" x14ac:dyDescent="0.25">
      <c r="A109" s="1171"/>
      <c r="B109" s="1232"/>
      <c r="C109" s="1117" t="s">
        <v>368</v>
      </c>
      <c r="D109" s="144" t="s">
        <v>251</v>
      </c>
      <c r="E109" s="94"/>
      <c r="F109" s="80">
        <v>3325</v>
      </c>
      <c r="G109" s="80"/>
      <c r="H109" s="80"/>
      <c r="I109" s="80">
        <v>4242</v>
      </c>
      <c r="J109" s="96"/>
      <c r="K109" s="28"/>
      <c r="L109" s="21"/>
    </row>
    <row r="110" spans="1:12" hidden="1" x14ac:dyDescent="0.25">
      <c r="A110" s="1171"/>
      <c r="B110" s="1232"/>
      <c r="C110" s="1117"/>
      <c r="D110" s="28" t="s">
        <v>257</v>
      </c>
      <c r="E110" s="94"/>
      <c r="F110" s="80">
        <v>1635</v>
      </c>
      <c r="G110" s="80"/>
      <c r="H110" s="80"/>
      <c r="I110" s="80">
        <v>2124</v>
      </c>
      <c r="J110" s="96"/>
      <c r="K110" s="28"/>
      <c r="L110" s="21"/>
    </row>
    <row r="111" spans="1:12" hidden="1" x14ac:dyDescent="0.25">
      <c r="A111" s="1171"/>
      <c r="B111" s="1232"/>
      <c r="C111" s="1117"/>
      <c r="D111" s="28" t="s">
        <v>263</v>
      </c>
      <c r="E111" s="94"/>
      <c r="F111" s="80">
        <v>1690</v>
      </c>
      <c r="G111" s="80"/>
      <c r="H111" s="80"/>
      <c r="I111" s="80">
        <v>2121</v>
      </c>
      <c r="J111" s="96"/>
      <c r="K111" s="28"/>
      <c r="L111" s="21"/>
    </row>
    <row r="112" spans="1:12" hidden="1" x14ac:dyDescent="0.25">
      <c r="A112" s="1171"/>
      <c r="B112" s="1232"/>
      <c r="C112" s="1117"/>
      <c r="D112" s="28" t="s">
        <v>357</v>
      </c>
      <c r="E112" s="94"/>
      <c r="F112" s="98">
        <f>(F111/F109)*100</f>
        <v>50.827067669172934</v>
      </c>
      <c r="G112" s="94"/>
      <c r="H112" s="94"/>
      <c r="I112" s="98">
        <f>I111/I109*100</f>
        <v>50</v>
      </c>
      <c r="J112" s="96"/>
      <c r="K112" s="28"/>
      <c r="L112" s="21"/>
    </row>
    <row r="113" spans="1:12" hidden="1" x14ac:dyDescent="0.25">
      <c r="A113" s="1171"/>
      <c r="B113" s="1232"/>
      <c r="C113" s="1117" t="s">
        <v>369</v>
      </c>
      <c r="D113" s="144" t="s">
        <v>251</v>
      </c>
      <c r="E113" s="94"/>
      <c r="F113" s="80">
        <v>985</v>
      </c>
      <c r="G113" s="80"/>
      <c r="H113" s="80"/>
      <c r="I113" s="80">
        <v>1983</v>
      </c>
      <c r="J113" s="96"/>
      <c r="K113" s="28"/>
      <c r="L113" s="21"/>
    </row>
    <row r="114" spans="1:12" hidden="1" x14ac:dyDescent="0.25">
      <c r="A114" s="1171"/>
      <c r="B114" s="1232"/>
      <c r="C114" s="1117"/>
      <c r="D114" s="28" t="s">
        <v>257</v>
      </c>
      <c r="E114" s="94"/>
      <c r="F114" s="80">
        <v>780</v>
      </c>
      <c r="G114" s="80"/>
      <c r="H114" s="80"/>
      <c r="I114" s="80">
        <v>1389</v>
      </c>
      <c r="J114" s="96"/>
      <c r="K114" s="28"/>
      <c r="L114" s="21"/>
    </row>
    <row r="115" spans="1:12" hidden="1" x14ac:dyDescent="0.25">
      <c r="A115" s="1171"/>
      <c r="B115" s="1232"/>
      <c r="C115" s="1117"/>
      <c r="D115" s="28" t="s">
        <v>263</v>
      </c>
      <c r="E115" s="94"/>
      <c r="F115" s="80">
        <v>205</v>
      </c>
      <c r="G115" s="80"/>
      <c r="H115" s="80"/>
      <c r="I115" s="80">
        <v>591</v>
      </c>
      <c r="J115" s="96"/>
      <c r="K115" s="28"/>
      <c r="L115" s="21"/>
    </row>
    <row r="116" spans="1:12" hidden="1" x14ac:dyDescent="0.25">
      <c r="A116" s="1171"/>
      <c r="B116" s="1232"/>
      <c r="C116" s="1117"/>
      <c r="D116" s="28" t="s">
        <v>357</v>
      </c>
      <c r="E116" s="94"/>
      <c r="F116" s="97">
        <f>(F115/F113)*100</f>
        <v>20.812182741116754</v>
      </c>
      <c r="G116" s="94"/>
      <c r="H116" s="94"/>
      <c r="I116" s="97">
        <f>I115/I113*100</f>
        <v>29.80332829046899</v>
      </c>
      <c r="J116" s="96"/>
      <c r="K116" s="28"/>
      <c r="L116" s="21"/>
    </row>
    <row r="117" spans="1:12" hidden="1" x14ac:dyDescent="0.25">
      <c r="A117" s="1171"/>
      <c r="B117" s="1232"/>
      <c r="C117" s="1117" t="s">
        <v>370</v>
      </c>
      <c r="D117" s="144" t="s">
        <v>251</v>
      </c>
      <c r="E117" s="94"/>
      <c r="F117" s="80">
        <v>1995</v>
      </c>
      <c r="G117" s="80"/>
      <c r="H117" s="80"/>
      <c r="I117" s="80">
        <v>1221</v>
      </c>
      <c r="J117" s="96"/>
      <c r="K117" s="28"/>
      <c r="L117" s="21"/>
    </row>
    <row r="118" spans="1:12" hidden="1" x14ac:dyDescent="0.25">
      <c r="A118" s="1171"/>
      <c r="B118" s="1232"/>
      <c r="C118" s="1117"/>
      <c r="D118" s="28" t="s">
        <v>257</v>
      </c>
      <c r="E118" s="94"/>
      <c r="F118" s="80">
        <v>720</v>
      </c>
      <c r="G118" s="80"/>
      <c r="H118" s="80"/>
      <c r="I118" s="80">
        <v>423</v>
      </c>
      <c r="J118" s="96"/>
      <c r="K118" s="28"/>
      <c r="L118" s="21"/>
    </row>
    <row r="119" spans="1:12" hidden="1" x14ac:dyDescent="0.25">
      <c r="A119" s="1171"/>
      <c r="B119" s="1232"/>
      <c r="C119" s="1117"/>
      <c r="D119" s="28" t="s">
        <v>263</v>
      </c>
      <c r="E119" s="94"/>
      <c r="F119" s="80">
        <v>1275</v>
      </c>
      <c r="G119" s="80"/>
      <c r="H119" s="80"/>
      <c r="I119" s="80">
        <v>798</v>
      </c>
      <c r="J119" s="96"/>
      <c r="K119" s="28"/>
      <c r="L119" s="21"/>
    </row>
    <row r="120" spans="1:12" hidden="1" x14ac:dyDescent="0.25">
      <c r="A120" s="1171"/>
      <c r="B120" s="1232"/>
      <c r="C120" s="1117"/>
      <c r="D120" s="28" t="s">
        <v>357</v>
      </c>
      <c r="E120" s="94"/>
      <c r="F120" s="99">
        <f>(F119/F117)*100</f>
        <v>63.909774436090231</v>
      </c>
      <c r="G120" s="94"/>
      <c r="H120" s="94"/>
      <c r="I120" s="99">
        <f>I119/I117*100</f>
        <v>65.356265356265354</v>
      </c>
      <c r="J120" s="96"/>
      <c r="K120" s="28"/>
      <c r="L120" s="21"/>
    </row>
    <row r="121" spans="1:12" hidden="1" x14ac:dyDescent="0.25">
      <c r="A121" s="1171"/>
      <c r="B121" s="1232"/>
      <c r="C121" s="1117" t="s">
        <v>371</v>
      </c>
      <c r="D121" s="144" t="s">
        <v>251</v>
      </c>
      <c r="E121" s="94"/>
      <c r="F121" s="80">
        <v>130</v>
      </c>
      <c r="G121" s="80"/>
      <c r="H121" s="80"/>
      <c r="I121" s="80">
        <v>4158</v>
      </c>
      <c r="J121" s="96"/>
      <c r="K121" s="28"/>
      <c r="L121" s="21"/>
    </row>
    <row r="122" spans="1:12" hidden="1" x14ac:dyDescent="0.25">
      <c r="A122" s="1171"/>
      <c r="B122" s="1232"/>
      <c r="C122" s="1117"/>
      <c r="D122" s="28" t="s">
        <v>257</v>
      </c>
      <c r="E122" s="94"/>
      <c r="F122" s="80">
        <v>115</v>
      </c>
      <c r="G122" s="80"/>
      <c r="H122" s="80"/>
      <c r="I122" s="80">
        <v>2298</v>
      </c>
      <c r="J122" s="96"/>
      <c r="K122" s="28"/>
      <c r="L122" s="21"/>
    </row>
    <row r="123" spans="1:12" hidden="1" x14ac:dyDescent="0.25">
      <c r="A123" s="1171"/>
      <c r="B123" s="1232"/>
      <c r="C123" s="1117"/>
      <c r="D123" s="28" t="s">
        <v>263</v>
      </c>
      <c r="E123" s="94"/>
      <c r="F123" s="80">
        <v>15</v>
      </c>
      <c r="G123" s="80"/>
      <c r="H123" s="80"/>
      <c r="I123" s="80">
        <v>1860</v>
      </c>
      <c r="J123" s="96"/>
      <c r="K123" s="28"/>
      <c r="L123" s="21"/>
    </row>
    <row r="124" spans="1:12" hidden="1" x14ac:dyDescent="0.25">
      <c r="A124" s="1171"/>
      <c r="B124" s="1232"/>
      <c r="C124" s="1117"/>
      <c r="D124" s="28" t="s">
        <v>357</v>
      </c>
      <c r="E124" s="94"/>
      <c r="F124" s="97">
        <f>(F123/F121)*100</f>
        <v>11.538461538461538</v>
      </c>
      <c r="G124" s="94"/>
      <c r="H124" s="94"/>
      <c r="I124" s="98">
        <f>I123/I121*100</f>
        <v>44.733044733044736</v>
      </c>
      <c r="J124" s="96"/>
      <c r="K124" s="28"/>
      <c r="L124" s="21"/>
    </row>
    <row r="125" spans="1:12" hidden="1" x14ac:dyDescent="0.25">
      <c r="A125" s="1171"/>
      <c r="B125" s="1232"/>
      <c r="C125" s="1117" t="s">
        <v>372</v>
      </c>
      <c r="D125" s="144" t="s">
        <v>251</v>
      </c>
      <c r="E125" s="94"/>
      <c r="F125" s="80">
        <v>1235</v>
      </c>
      <c r="G125" s="80"/>
      <c r="H125" s="80"/>
      <c r="I125" s="80">
        <v>804</v>
      </c>
      <c r="J125" s="96"/>
      <c r="K125" s="28"/>
      <c r="L125" s="21"/>
    </row>
    <row r="126" spans="1:12" ht="14.85" hidden="1" customHeight="1" x14ac:dyDescent="0.25">
      <c r="A126" s="1171"/>
      <c r="B126" s="1232"/>
      <c r="C126" s="1117"/>
      <c r="D126" s="28" t="s">
        <v>257</v>
      </c>
      <c r="E126" s="94"/>
      <c r="F126" s="80">
        <v>780</v>
      </c>
      <c r="G126" s="80"/>
      <c r="H126" s="80"/>
      <c r="I126" s="80">
        <v>540</v>
      </c>
      <c r="J126" s="96"/>
      <c r="K126" s="28"/>
      <c r="L126" s="21"/>
    </row>
    <row r="127" spans="1:12" hidden="1" x14ac:dyDescent="0.25">
      <c r="A127" s="1171"/>
      <c r="B127" s="1232"/>
      <c r="C127" s="1117"/>
      <c r="D127" s="28" t="s">
        <v>263</v>
      </c>
      <c r="E127" s="94"/>
      <c r="F127" s="80">
        <v>455</v>
      </c>
      <c r="G127" s="80"/>
      <c r="H127" s="80"/>
      <c r="I127" s="80">
        <v>267</v>
      </c>
      <c r="J127" s="96"/>
      <c r="K127" s="28"/>
      <c r="L127" s="21"/>
    </row>
    <row r="128" spans="1:12" hidden="1" x14ac:dyDescent="0.25">
      <c r="A128" s="1171"/>
      <c r="B128" s="1232"/>
      <c r="C128" s="1117"/>
      <c r="D128" s="28" t="s">
        <v>357</v>
      </c>
      <c r="E128" s="94"/>
      <c r="F128" s="97">
        <f>(F127/F125)*100</f>
        <v>36.84210526315789</v>
      </c>
      <c r="G128" s="94"/>
      <c r="H128" s="94"/>
      <c r="I128" s="97">
        <f>I127/I125*100</f>
        <v>33.208955223880601</v>
      </c>
      <c r="J128" s="96"/>
      <c r="K128" s="28"/>
      <c r="L128" s="21"/>
    </row>
    <row r="129" spans="1:12" hidden="1" x14ac:dyDescent="0.25">
      <c r="A129" s="1171"/>
      <c r="B129" s="1232"/>
      <c r="C129" s="1117" t="s">
        <v>373</v>
      </c>
      <c r="D129" s="144" t="s">
        <v>251</v>
      </c>
      <c r="E129" s="94"/>
      <c r="F129" s="80">
        <v>375</v>
      </c>
      <c r="G129" s="80"/>
      <c r="H129" s="80"/>
      <c r="I129" s="80">
        <v>150</v>
      </c>
      <c r="J129" s="96"/>
      <c r="K129" s="28"/>
      <c r="L129" s="21"/>
    </row>
    <row r="130" spans="1:12" hidden="1" x14ac:dyDescent="0.25">
      <c r="A130" s="1171"/>
      <c r="B130" s="1232"/>
      <c r="C130" s="1117"/>
      <c r="D130" s="28" t="s">
        <v>257</v>
      </c>
      <c r="E130" s="94"/>
      <c r="F130" s="80">
        <v>330</v>
      </c>
      <c r="G130" s="80"/>
      <c r="H130" s="80"/>
      <c r="I130" s="80">
        <v>120</v>
      </c>
      <c r="J130" s="96"/>
      <c r="K130" s="28"/>
      <c r="L130" s="21"/>
    </row>
    <row r="131" spans="1:12" hidden="1" x14ac:dyDescent="0.25">
      <c r="A131" s="1171"/>
      <c r="B131" s="1232"/>
      <c r="C131" s="1117"/>
      <c r="D131" s="28" t="s">
        <v>263</v>
      </c>
      <c r="E131" s="94"/>
      <c r="F131" s="80">
        <v>45</v>
      </c>
      <c r="G131" s="80"/>
      <c r="H131" s="80"/>
      <c r="I131" s="80">
        <v>30</v>
      </c>
      <c r="J131" s="96"/>
      <c r="K131" s="28"/>
      <c r="L131" s="21"/>
    </row>
    <row r="132" spans="1:12" hidden="1" x14ac:dyDescent="0.25">
      <c r="A132" s="1171"/>
      <c r="B132" s="1232"/>
      <c r="C132" s="1117"/>
      <c r="D132" s="28" t="s">
        <v>357</v>
      </c>
      <c r="E132" s="94"/>
      <c r="F132" s="97">
        <f>(F131/F129)*100</f>
        <v>12</v>
      </c>
      <c r="G132" s="94"/>
      <c r="H132" s="94"/>
      <c r="I132" s="97">
        <f>I131/I129*100</f>
        <v>20</v>
      </c>
      <c r="J132" s="96"/>
      <c r="K132" s="28"/>
      <c r="L132" s="21"/>
    </row>
    <row r="133" spans="1:12" hidden="1" x14ac:dyDescent="0.25">
      <c r="A133" s="1171"/>
      <c r="B133" s="1232"/>
      <c r="C133" s="1117" t="s">
        <v>374</v>
      </c>
      <c r="D133" s="144" t="s">
        <v>251</v>
      </c>
      <c r="E133" s="94"/>
      <c r="F133" s="80">
        <v>515</v>
      </c>
      <c r="G133" s="80"/>
      <c r="H133" s="80"/>
      <c r="I133" s="80">
        <v>297</v>
      </c>
      <c r="J133" s="96"/>
      <c r="K133" s="28"/>
      <c r="L133" s="21"/>
    </row>
    <row r="134" spans="1:12" hidden="1" x14ac:dyDescent="0.25">
      <c r="A134" s="1171"/>
      <c r="B134" s="1232"/>
      <c r="C134" s="1117"/>
      <c r="D134" s="28" t="s">
        <v>257</v>
      </c>
      <c r="E134" s="94"/>
      <c r="F134" s="80">
        <v>225</v>
      </c>
      <c r="G134" s="80"/>
      <c r="H134" s="80"/>
      <c r="I134" s="80">
        <v>102</v>
      </c>
      <c r="J134" s="96"/>
      <c r="K134" s="28"/>
      <c r="L134" s="21"/>
    </row>
    <row r="135" spans="1:12" hidden="1" x14ac:dyDescent="0.25">
      <c r="A135" s="1171"/>
      <c r="B135" s="1232"/>
      <c r="C135" s="1117"/>
      <c r="D135" s="28" t="s">
        <v>263</v>
      </c>
      <c r="E135" s="94"/>
      <c r="F135" s="80">
        <v>290</v>
      </c>
      <c r="G135" s="80"/>
      <c r="H135" s="80"/>
      <c r="I135" s="80">
        <v>195</v>
      </c>
      <c r="J135" s="96"/>
      <c r="K135" s="28"/>
      <c r="L135" s="21"/>
    </row>
    <row r="136" spans="1:12" hidden="1" x14ac:dyDescent="0.25">
      <c r="A136" s="1171"/>
      <c r="B136" s="1232"/>
      <c r="C136" s="1117"/>
      <c r="D136" s="28" t="s">
        <v>357</v>
      </c>
      <c r="E136" s="94"/>
      <c r="F136" s="98">
        <f>(F135/F133)*100</f>
        <v>56.310679611650485</v>
      </c>
      <c r="G136" s="94"/>
      <c r="H136" s="94"/>
      <c r="I136" s="99">
        <f>I135/I133*100</f>
        <v>65.656565656565661</v>
      </c>
      <c r="J136" s="96"/>
      <c r="K136" s="28"/>
      <c r="L136" s="21"/>
    </row>
    <row r="137" spans="1:12" hidden="1" x14ac:dyDescent="0.25">
      <c r="A137" s="1171"/>
      <c r="B137" s="1232"/>
      <c r="C137" s="1117" t="s">
        <v>375</v>
      </c>
      <c r="D137" s="144" t="s">
        <v>251</v>
      </c>
      <c r="E137" s="94"/>
      <c r="F137" s="80">
        <v>70</v>
      </c>
      <c r="G137" s="80"/>
      <c r="H137" s="80"/>
      <c r="I137" s="80">
        <v>153</v>
      </c>
      <c r="J137" s="96"/>
      <c r="K137" s="28"/>
      <c r="L137" s="21"/>
    </row>
    <row r="138" spans="1:12" ht="14.85" hidden="1" customHeight="1" x14ac:dyDescent="0.25">
      <c r="A138" s="1171"/>
      <c r="B138" s="1232"/>
      <c r="C138" s="1117"/>
      <c r="D138" s="28" t="s">
        <v>257</v>
      </c>
      <c r="E138" s="94"/>
      <c r="F138" s="80">
        <v>60</v>
      </c>
      <c r="G138" s="80"/>
      <c r="H138" s="80"/>
      <c r="I138" s="80">
        <v>90</v>
      </c>
      <c r="J138" s="96"/>
      <c r="K138" s="28"/>
      <c r="L138" s="21"/>
    </row>
    <row r="139" spans="1:12" hidden="1" x14ac:dyDescent="0.25">
      <c r="A139" s="1171"/>
      <c r="B139" s="1232"/>
      <c r="C139" s="1117"/>
      <c r="D139" s="28" t="s">
        <v>263</v>
      </c>
      <c r="E139" s="94"/>
      <c r="F139" s="80">
        <v>10</v>
      </c>
      <c r="G139" s="80"/>
      <c r="H139" s="80"/>
      <c r="I139" s="80">
        <v>63</v>
      </c>
      <c r="J139" s="96"/>
      <c r="K139" s="28"/>
      <c r="L139" s="21"/>
    </row>
    <row r="140" spans="1:12" hidden="1" x14ac:dyDescent="0.25">
      <c r="A140" s="1171"/>
      <c r="B140" s="1232"/>
      <c r="C140" s="1117"/>
      <c r="D140" s="28" t="s">
        <v>357</v>
      </c>
      <c r="E140" s="94"/>
      <c r="F140" s="97">
        <f>(F139/F137)*100</f>
        <v>14.285714285714285</v>
      </c>
      <c r="G140" s="94"/>
      <c r="H140" s="94"/>
      <c r="I140" s="98">
        <f>I139/I137*100</f>
        <v>41.17647058823529</v>
      </c>
      <c r="J140" s="96"/>
      <c r="K140" s="28"/>
      <c r="L140" s="21"/>
    </row>
    <row r="141" spans="1:12" hidden="1" x14ac:dyDescent="0.25">
      <c r="A141" s="1171"/>
      <c r="B141" s="1232"/>
      <c r="C141" s="1117" t="s">
        <v>376</v>
      </c>
      <c r="D141" s="144" t="s">
        <v>251</v>
      </c>
      <c r="E141" s="94"/>
      <c r="F141" s="80">
        <v>2205</v>
      </c>
      <c r="G141" s="80"/>
      <c r="H141" s="80"/>
      <c r="I141" s="80">
        <v>2304</v>
      </c>
      <c r="J141" s="96"/>
      <c r="K141" s="28"/>
      <c r="L141" s="21"/>
    </row>
    <row r="142" spans="1:12" ht="14.85" hidden="1" customHeight="1" x14ac:dyDescent="0.25">
      <c r="A142" s="1171"/>
      <c r="B142" s="1232"/>
      <c r="C142" s="1117"/>
      <c r="D142" s="28" t="s">
        <v>257</v>
      </c>
      <c r="E142" s="94"/>
      <c r="F142" s="80">
        <v>1375</v>
      </c>
      <c r="G142" s="80"/>
      <c r="H142" s="80"/>
      <c r="I142" s="80">
        <v>1344</v>
      </c>
      <c r="J142" s="96"/>
      <c r="K142" s="28"/>
      <c r="L142" s="21"/>
    </row>
    <row r="143" spans="1:12" hidden="1" x14ac:dyDescent="0.25">
      <c r="A143" s="1171"/>
      <c r="B143" s="1232"/>
      <c r="C143" s="1117"/>
      <c r="D143" s="28" t="s">
        <v>263</v>
      </c>
      <c r="E143" s="94"/>
      <c r="F143" s="80">
        <v>830</v>
      </c>
      <c r="G143" s="80"/>
      <c r="H143" s="80"/>
      <c r="I143" s="80">
        <v>963</v>
      </c>
      <c r="J143" s="96"/>
      <c r="K143" s="28"/>
      <c r="L143" s="21"/>
    </row>
    <row r="144" spans="1:12" hidden="1" x14ac:dyDescent="0.25">
      <c r="A144" s="1171"/>
      <c r="B144" s="1232"/>
      <c r="C144" s="1117"/>
      <c r="D144" s="28" t="s">
        <v>357</v>
      </c>
      <c r="E144" s="94"/>
      <c r="F144" s="97">
        <f>(F143/F141)*100</f>
        <v>37.641723356009074</v>
      </c>
      <c r="G144" s="94"/>
      <c r="H144" s="94"/>
      <c r="I144" s="98">
        <f>I143/I141*100</f>
        <v>41.796875</v>
      </c>
      <c r="J144" s="96"/>
      <c r="K144" s="28"/>
      <c r="L144" s="21"/>
    </row>
    <row r="145" spans="1:12" hidden="1" x14ac:dyDescent="0.25">
      <c r="A145" s="1171"/>
      <c r="B145" s="1232"/>
      <c r="C145" s="1117" t="s">
        <v>377</v>
      </c>
      <c r="D145" s="144" t="s">
        <v>251</v>
      </c>
      <c r="E145" s="94"/>
      <c r="F145" s="80">
        <v>1210</v>
      </c>
      <c r="G145" s="80"/>
      <c r="H145" s="80"/>
      <c r="I145" s="80">
        <v>1323</v>
      </c>
      <c r="J145" s="96"/>
      <c r="K145" s="28"/>
      <c r="L145" s="21"/>
    </row>
    <row r="146" spans="1:12" hidden="1" x14ac:dyDescent="0.25">
      <c r="A146" s="1171"/>
      <c r="B146" s="1232"/>
      <c r="C146" s="1117"/>
      <c r="D146" s="28" t="s">
        <v>257</v>
      </c>
      <c r="E146" s="94"/>
      <c r="F146" s="80">
        <v>175</v>
      </c>
      <c r="G146" s="80"/>
      <c r="H146" s="80"/>
      <c r="I146" s="80">
        <v>501</v>
      </c>
      <c r="J146" s="96"/>
      <c r="K146" s="28"/>
      <c r="L146" s="21"/>
    </row>
    <row r="147" spans="1:12" hidden="1" x14ac:dyDescent="0.25">
      <c r="A147" s="1171"/>
      <c r="B147" s="1232"/>
      <c r="C147" s="1117"/>
      <c r="D147" s="28" t="s">
        <v>263</v>
      </c>
      <c r="E147" s="94"/>
      <c r="F147" s="80">
        <v>1035</v>
      </c>
      <c r="G147" s="80"/>
      <c r="H147" s="80"/>
      <c r="I147" s="80">
        <v>825</v>
      </c>
      <c r="J147" s="96"/>
      <c r="K147" s="28"/>
      <c r="L147" s="21"/>
    </row>
    <row r="148" spans="1:12" hidden="1" x14ac:dyDescent="0.25">
      <c r="A148" s="1171"/>
      <c r="B148" s="1232"/>
      <c r="C148" s="1117"/>
      <c r="D148" s="28" t="s">
        <v>357</v>
      </c>
      <c r="E148" s="94"/>
      <c r="F148" s="99">
        <f>(F147/F145)*100</f>
        <v>85.537190082644628</v>
      </c>
      <c r="G148" s="94"/>
      <c r="H148" s="94"/>
      <c r="I148" s="99">
        <f>I147/I145*100</f>
        <v>62.358276643990926</v>
      </c>
      <c r="J148" s="96"/>
      <c r="K148" s="28"/>
      <c r="L148" s="21"/>
    </row>
    <row r="149" spans="1:12" hidden="1" x14ac:dyDescent="0.25">
      <c r="A149" s="1171"/>
      <c r="B149" s="1232"/>
      <c r="C149" s="1117" t="s">
        <v>378</v>
      </c>
      <c r="D149" s="144" t="s">
        <v>251</v>
      </c>
      <c r="E149" s="94"/>
      <c r="F149" s="80">
        <v>1280</v>
      </c>
      <c r="G149" s="80"/>
      <c r="H149" s="80"/>
      <c r="I149" s="80">
        <v>1527</v>
      </c>
      <c r="J149" s="96"/>
      <c r="K149" s="28"/>
      <c r="L149" s="21"/>
    </row>
    <row r="150" spans="1:12" hidden="1" x14ac:dyDescent="0.25">
      <c r="A150" s="1171"/>
      <c r="B150" s="1232"/>
      <c r="C150" s="1117"/>
      <c r="D150" s="28" t="s">
        <v>257</v>
      </c>
      <c r="E150" s="94"/>
      <c r="F150" s="80">
        <v>705</v>
      </c>
      <c r="G150" s="80"/>
      <c r="H150" s="80"/>
      <c r="I150" s="80">
        <v>837</v>
      </c>
      <c r="J150" s="96"/>
      <c r="K150" s="28"/>
      <c r="L150" s="21"/>
    </row>
    <row r="151" spans="1:12" hidden="1" x14ac:dyDescent="0.25">
      <c r="A151" s="1171"/>
      <c r="B151" s="1232"/>
      <c r="C151" s="1117"/>
      <c r="D151" s="28" t="s">
        <v>263</v>
      </c>
      <c r="E151" s="94"/>
      <c r="F151" s="80">
        <v>575</v>
      </c>
      <c r="G151" s="80"/>
      <c r="H151" s="80"/>
      <c r="I151" s="80">
        <v>693</v>
      </c>
      <c r="J151" s="96"/>
      <c r="K151" s="28"/>
      <c r="L151" s="21"/>
    </row>
    <row r="152" spans="1:12" hidden="1" x14ac:dyDescent="0.25">
      <c r="A152" s="1171"/>
      <c r="B152" s="1232"/>
      <c r="C152" s="1117"/>
      <c r="D152" s="28" t="s">
        <v>357</v>
      </c>
      <c r="E152" s="94"/>
      <c r="F152" s="98">
        <f>(F151/F149)*100</f>
        <v>44.921875</v>
      </c>
      <c r="G152" s="94"/>
      <c r="H152" s="94"/>
      <c r="I152" s="98">
        <f>I151/I149*100</f>
        <v>45.383104125736736</v>
      </c>
      <c r="J152" s="96"/>
      <c r="K152" s="28"/>
      <c r="L152" s="21"/>
    </row>
    <row r="153" spans="1:12" hidden="1" x14ac:dyDescent="0.25">
      <c r="A153" s="1171"/>
      <c r="B153" s="1232"/>
      <c r="C153" s="1117" t="s">
        <v>379</v>
      </c>
      <c r="D153" s="144" t="s">
        <v>251</v>
      </c>
      <c r="E153" s="94"/>
      <c r="F153" s="80">
        <v>2590</v>
      </c>
      <c r="G153" s="80"/>
      <c r="H153" s="80"/>
      <c r="I153" s="80">
        <v>1857</v>
      </c>
      <c r="J153" s="96"/>
      <c r="K153" s="28"/>
      <c r="L153" s="21"/>
    </row>
    <row r="154" spans="1:12" hidden="1" x14ac:dyDescent="0.25">
      <c r="A154" s="1171"/>
      <c r="B154" s="1232"/>
      <c r="C154" s="1117"/>
      <c r="D154" s="28" t="s">
        <v>257</v>
      </c>
      <c r="E154" s="94"/>
      <c r="F154" s="80">
        <v>1860</v>
      </c>
      <c r="G154" s="80"/>
      <c r="H154" s="80"/>
      <c r="I154" s="80">
        <v>1296</v>
      </c>
      <c r="J154" s="96"/>
      <c r="K154" s="28"/>
      <c r="L154" s="21"/>
    </row>
    <row r="155" spans="1:12" hidden="1" x14ac:dyDescent="0.25">
      <c r="A155" s="1171"/>
      <c r="B155" s="1232"/>
      <c r="C155" s="1117"/>
      <c r="D155" s="28" t="s">
        <v>263</v>
      </c>
      <c r="E155" s="94"/>
      <c r="F155" s="80">
        <v>730</v>
      </c>
      <c r="G155" s="80"/>
      <c r="H155" s="80"/>
      <c r="I155" s="80">
        <v>561</v>
      </c>
      <c r="J155" s="96"/>
      <c r="K155" s="28"/>
      <c r="L155" s="21"/>
    </row>
    <row r="156" spans="1:12" hidden="1" x14ac:dyDescent="0.25">
      <c r="A156" s="1171"/>
      <c r="B156" s="1232"/>
      <c r="C156" s="1117"/>
      <c r="D156" s="28" t="s">
        <v>357</v>
      </c>
      <c r="E156" s="94"/>
      <c r="F156" s="97">
        <f>(F155/F153)*100</f>
        <v>28.185328185328185</v>
      </c>
      <c r="G156" s="94"/>
      <c r="H156" s="94"/>
      <c r="I156" s="97">
        <f>I155/I153*100</f>
        <v>30.210016155088855</v>
      </c>
      <c r="J156" s="96"/>
      <c r="K156" s="28"/>
      <c r="L156" s="21"/>
    </row>
    <row r="157" spans="1:12" ht="14.85" hidden="1" customHeight="1" x14ac:dyDescent="0.25">
      <c r="A157" s="1171"/>
      <c r="B157" s="1232"/>
      <c r="C157" s="1117" t="s">
        <v>380</v>
      </c>
      <c r="D157" s="144" t="s">
        <v>251</v>
      </c>
      <c r="E157" s="94"/>
      <c r="F157" s="80">
        <v>2305</v>
      </c>
      <c r="G157" s="80"/>
      <c r="H157" s="80"/>
      <c r="I157" s="80">
        <v>1458</v>
      </c>
      <c r="J157" s="96"/>
      <c r="K157" s="28"/>
      <c r="L157" s="21"/>
    </row>
    <row r="158" spans="1:12" hidden="1" x14ac:dyDescent="0.25">
      <c r="A158" s="1171"/>
      <c r="B158" s="1232"/>
      <c r="C158" s="1117"/>
      <c r="D158" s="28" t="s">
        <v>257</v>
      </c>
      <c r="E158" s="94"/>
      <c r="F158" s="80">
        <v>1050</v>
      </c>
      <c r="G158" s="80"/>
      <c r="H158" s="80"/>
      <c r="I158" s="80">
        <v>783</v>
      </c>
      <c r="J158" s="96"/>
      <c r="K158" s="28"/>
      <c r="L158" s="21"/>
    </row>
    <row r="159" spans="1:12" hidden="1" x14ac:dyDescent="0.25">
      <c r="A159" s="1171"/>
      <c r="B159" s="1232"/>
      <c r="C159" s="1117"/>
      <c r="D159" s="28" t="s">
        <v>263</v>
      </c>
      <c r="E159" s="94"/>
      <c r="F159" s="80">
        <v>1255</v>
      </c>
      <c r="G159" s="80"/>
      <c r="H159" s="80"/>
      <c r="I159" s="80">
        <v>675</v>
      </c>
      <c r="J159" s="96"/>
      <c r="K159" s="28"/>
      <c r="L159" s="21"/>
    </row>
    <row r="160" spans="1:12" hidden="1" x14ac:dyDescent="0.25">
      <c r="A160" s="1171"/>
      <c r="B160" s="1232"/>
      <c r="C160" s="1117"/>
      <c r="D160" s="28" t="s">
        <v>357</v>
      </c>
      <c r="E160" s="94"/>
      <c r="F160" s="98">
        <f>(F159/F157)*100</f>
        <v>54.446854663774403</v>
      </c>
      <c r="G160" s="94"/>
      <c r="H160" s="94"/>
      <c r="I160" s="98">
        <f>I159/I157*100</f>
        <v>46.296296296296298</v>
      </c>
      <c r="J160" s="96"/>
      <c r="K160" s="28"/>
      <c r="L160" s="21"/>
    </row>
    <row r="161" spans="1:12" hidden="1" x14ac:dyDescent="0.25">
      <c r="A161" s="1171"/>
      <c r="B161" s="1232"/>
      <c r="C161" s="1117" t="s">
        <v>381</v>
      </c>
      <c r="D161" s="144" t="s">
        <v>251</v>
      </c>
      <c r="E161" s="94"/>
      <c r="F161" s="80">
        <v>200</v>
      </c>
      <c r="G161" s="80"/>
      <c r="H161" s="80"/>
      <c r="I161" s="80">
        <v>252</v>
      </c>
      <c r="J161" s="28"/>
      <c r="K161" s="28"/>
      <c r="L161" s="21"/>
    </row>
    <row r="162" spans="1:12" ht="14.85" hidden="1" customHeight="1" x14ac:dyDescent="0.25">
      <c r="A162" s="1171"/>
      <c r="B162" s="1232"/>
      <c r="C162" s="1117"/>
      <c r="D162" s="28" t="s">
        <v>257</v>
      </c>
      <c r="E162" s="94"/>
      <c r="F162" s="80">
        <v>120</v>
      </c>
      <c r="G162" s="80"/>
      <c r="H162" s="80"/>
      <c r="I162" s="80">
        <v>147</v>
      </c>
      <c r="J162" s="28"/>
      <c r="K162" s="28"/>
      <c r="L162" s="21"/>
    </row>
    <row r="163" spans="1:12" hidden="1" x14ac:dyDescent="0.25">
      <c r="A163" s="1171"/>
      <c r="B163" s="1232"/>
      <c r="C163" s="1117"/>
      <c r="D163" s="28" t="s">
        <v>263</v>
      </c>
      <c r="E163" s="94"/>
      <c r="F163" s="80">
        <v>80</v>
      </c>
      <c r="G163" s="80"/>
      <c r="H163" s="80"/>
      <c r="I163" s="80">
        <v>105</v>
      </c>
      <c r="J163" s="28"/>
      <c r="K163" s="28"/>
      <c r="L163" s="21"/>
    </row>
    <row r="164" spans="1:12" hidden="1" x14ac:dyDescent="0.25">
      <c r="A164" s="1171"/>
      <c r="B164" s="1232"/>
      <c r="C164" s="1117"/>
      <c r="D164" s="28" t="s">
        <v>357</v>
      </c>
      <c r="E164" s="94"/>
      <c r="F164" s="98">
        <f>(F163/F161)*100</f>
        <v>40</v>
      </c>
      <c r="G164" s="94"/>
      <c r="H164" s="94"/>
      <c r="I164" s="98">
        <f>I163/I161*100</f>
        <v>41.666666666666671</v>
      </c>
      <c r="J164" s="28"/>
      <c r="K164" s="28"/>
      <c r="L164" s="21"/>
    </row>
    <row r="165" spans="1:12" hidden="1" x14ac:dyDescent="0.25">
      <c r="A165" s="1171"/>
      <c r="B165" s="1232"/>
      <c r="C165" s="1218" t="s">
        <v>382</v>
      </c>
      <c r="D165" s="145" t="s">
        <v>251</v>
      </c>
      <c r="E165" s="95"/>
      <c r="F165" s="80">
        <v>2505</v>
      </c>
      <c r="G165" s="80"/>
      <c r="H165" s="80"/>
      <c r="I165" s="80">
        <v>2208</v>
      </c>
      <c r="J165" s="96"/>
      <c r="K165" s="96"/>
      <c r="L165" s="21"/>
    </row>
    <row r="166" spans="1:12" hidden="1" x14ac:dyDescent="0.25">
      <c r="A166" s="1171"/>
      <c r="B166" s="1232"/>
      <c r="C166" s="1218"/>
      <c r="D166" s="96" t="s">
        <v>257</v>
      </c>
      <c r="E166" s="95"/>
      <c r="F166" s="80">
        <v>1070</v>
      </c>
      <c r="G166" s="80"/>
      <c r="H166" s="80"/>
      <c r="I166" s="80">
        <v>894</v>
      </c>
      <c r="J166" s="96"/>
      <c r="K166" s="96"/>
      <c r="L166" s="21"/>
    </row>
    <row r="167" spans="1:12" hidden="1" x14ac:dyDescent="0.25">
      <c r="A167" s="1171"/>
      <c r="B167" s="1232"/>
      <c r="C167" s="1218"/>
      <c r="D167" s="96" t="s">
        <v>263</v>
      </c>
      <c r="E167" s="95"/>
      <c r="F167" s="80">
        <v>1440</v>
      </c>
      <c r="G167" s="80"/>
      <c r="H167" s="80"/>
      <c r="I167" s="80">
        <v>1311</v>
      </c>
      <c r="J167" s="96"/>
      <c r="K167" s="96"/>
      <c r="L167" s="21"/>
    </row>
    <row r="168" spans="1:12" hidden="1" x14ac:dyDescent="0.25">
      <c r="A168" s="1171"/>
      <c r="B168" s="1232"/>
      <c r="C168" s="1218"/>
      <c r="D168" s="96" t="s">
        <v>357</v>
      </c>
      <c r="E168" s="95"/>
      <c r="F168" s="98">
        <f>(F167/F165)*100</f>
        <v>57.485029940119759</v>
      </c>
      <c r="G168" s="94"/>
      <c r="H168" s="94"/>
      <c r="I168" s="98">
        <f>I167/I165*100</f>
        <v>59.375</v>
      </c>
      <c r="J168" s="96"/>
      <c r="K168" s="96"/>
      <c r="L168" s="21"/>
    </row>
    <row r="169" spans="1:12" ht="14.85" hidden="1" customHeight="1" x14ac:dyDescent="0.25">
      <c r="A169" s="1171"/>
      <c r="B169" s="1232"/>
      <c r="C169" s="1218" t="s">
        <v>383</v>
      </c>
      <c r="D169" s="145" t="s">
        <v>251</v>
      </c>
      <c r="E169" s="95"/>
      <c r="F169" s="80">
        <v>2070</v>
      </c>
      <c r="G169" s="80"/>
      <c r="H169" s="80"/>
      <c r="I169" s="80">
        <v>1719</v>
      </c>
      <c r="J169" s="96"/>
      <c r="K169" s="96"/>
      <c r="L169" s="21"/>
    </row>
    <row r="170" spans="1:12" hidden="1" x14ac:dyDescent="0.25">
      <c r="A170" s="1171"/>
      <c r="B170" s="1232"/>
      <c r="C170" s="1218"/>
      <c r="D170" s="96" t="s">
        <v>257</v>
      </c>
      <c r="E170" s="95"/>
      <c r="F170" s="80">
        <v>1040</v>
      </c>
      <c r="G170" s="80"/>
      <c r="H170" s="80"/>
      <c r="I170" s="80">
        <v>792</v>
      </c>
      <c r="J170" s="96"/>
      <c r="K170" s="96"/>
      <c r="L170" s="21"/>
    </row>
    <row r="171" spans="1:12" hidden="1" x14ac:dyDescent="0.25">
      <c r="A171" s="1171"/>
      <c r="B171" s="1232"/>
      <c r="C171" s="1218"/>
      <c r="D171" s="96" t="s">
        <v>263</v>
      </c>
      <c r="E171" s="95"/>
      <c r="F171" s="80">
        <v>1030</v>
      </c>
      <c r="G171" s="80"/>
      <c r="H171" s="80"/>
      <c r="I171" s="80">
        <v>924</v>
      </c>
      <c r="J171" s="96"/>
      <c r="K171" s="96"/>
      <c r="L171" s="21"/>
    </row>
    <row r="172" spans="1:12" hidden="1" x14ac:dyDescent="0.25">
      <c r="A172" s="1171"/>
      <c r="B172" s="1232"/>
      <c r="C172" s="1218"/>
      <c r="D172" s="96" t="s">
        <v>357</v>
      </c>
      <c r="E172" s="95"/>
      <c r="F172" s="98">
        <f>(F171/F169)*100</f>
        <v>49.75845410628019</v>
      </c>
      <c r="G172" s="94"/>
      <c r="H172" s="94"/>
      <c r="I172" s="98">
        <f>I171/I169*100</f>
        <v>53.752181500872595</v>
      </c>
      <c r="J172" s="96"/>
      <c r="K172" s="96"/>
      <c r="L172" s="21"/>
    </row>
    <row r="173" spans="1:12" hidden="1" x14ac:dyDescent="0.25">
      <c r="A173" s="1171"/>
      <c r="B173" s="1232"/>
      <c r="C173" s="1218" t="s">
        <v>384</v>
      </c>
      <c r="D173" s="145" t="s">
        <v>251</v>
      </c>
      <c r="E173" s="95"/>
      <c r="F173" s="80">
        <v>2410</v>
      </c>
      <c r="G173" s="80"/>
      <c r="H173" s="80"/>
      <c r="I173" s="80">
        <v>1545</v>
      </c>
      <c r="J173" s="96"/>
      <c r="K173" s="96"/>
      <c r="L173" s="21"/>
    </row>
    <row r="174" spans="1:12" hidden="1" x14ac:dyDescent="0.25">
      <c r="A174" s="1171"/>
      <c r="B174" s="1232"/>
      <c r="C174" s="1218"/>
      <c r="D174" s="96" t="s">
        <v>257</v>
      </c>
      <c r="E174" s="95"/>
      <c r="F174" s="80">
        <v>860</v>
      </c>
      <c r="G174" s="80"/>
      <c r="H174" s="80"/>
      <c r="I174" s="80">
        <v>585</v>
      </c>
      <c r="J174" s="96"/>
      <c r="K174" s="96"/>
      <c r="L174" s="21"/>
    </row>
    <row r="175" spans="1:12" hidden="1" x14ac:dyDescent="0.25">
      <c r="A175" s="1171"/>
      <c r="B175" s="1232"/>
      <c r="C175" s="1218"/>
      <c r="D175" s="96" t="s">
        <v>263</v>
      </c>
      <c r="E175" s="95"/>
      <c r="F175" s="80">
        <v>1555</v>
      </c>
      <c r="G175" s="80"/>
      <c r="H175" s="80"/>
      <c r="I175" s="80">
        <v>957</v>
      </c>
      <c r="J175" s="96"/>
      <c r="K175" s="96"/>
      <c r="L175" s="21"/>
    </row>
    <row r="176" spans="1:12" hidden="1" x14ac:dyDescent="0.25">
      <c r="A176" s="1171"/>
      <c r="B176" s="1232"/>
      <c r="C176" s="1218"/>
      <c r="D176" s="96" t="s">
        <v>357</v>
      </c>
      <c r="E176" s="95"/>
      <c r="F176" s="99">
        <f>(F175/F173)*100</f>
        <v>64.522821576763491</v>
      </c>
      <c r="G176" s="94"/>
      <c r="H176" s="94"/>
      <c r="I176" s="99">
        <f>I175/I173*100</f>
        <v>61.94174757281553</v>
      </c>
      <c r="J176" s="96"/>
      <c r="K176" s="96"/>
      <c r="L176" s="21"/>
    </row>
    <row r="177" spans="1:12" hidden="1" x14ac:dyDescent="0.25">
      <c r="A177" s="1171"/>
      <c r="B177" s="1232"/>
      <c r="C177" s="1218" t="s">
        <v>385</v>
      </c>
      <c r="D177" s="145" t="s">
        <v>251</v>
      </c>
      <c r="E177" s="95"/>
      <c r="F177" s="80">
        <v>385</v>
      </c>
      <c r="G177" s="80"/>
      <c r="H177" s="80"/>
      <c r="I177" s="80">
        <v>1062</v>
      </c>
      <c r="J177" s="96"/>
      <c r="K177" s="96"/>
      <c r="L177" s="21"/>
    </row>
    <row r="178" spans="1:12" ht="14.85" hidden="1" customHeight="1" x14ac:dyDescent="0.25">
      <c r="A178" s="1171"/>
      <c r="B178" s="1232"/>
      <c r="C178" s="1218"/>
      <c r="D178" s="96" t="s">
        <v>257</v>
      </c>
      <c r="E178" s="95"/>
      <c r="F178" s="80">
        <v>295</v>
      </c>
      <c r="G178" s="80"/>
      <c r="H178" s="80"/>
      <c r="I178" s="80">
        <v>717</v>
      </c>
      <c r="J178" s="96"/>
      <c r="K178" s="96"/>
      <c r="L178" s="21"/>
    </row>
    <row r="179" spans="1:12" hidden="1" x14ac:dyDescent="0.25">
      <c r="A179" s="1171"/>
      <c r="B179" s="1232"/>
      <c r="C179" s="1218"/>
      <c r="D179" s="96" t="s">
        <v>263</v>
      </c>
      <c r="E179" s="95"/>
      <c r="F179" s="80">
        <v>90</v>
      </c>
      <c r="G179" s="80"/>
      <c r="H179" s="80"/>
      <c r="I179" s="80">
        <v>345</v>
      </c>
      <c r="J179" s="96"/>
      <c r="K179" s="96"/>
      <c r="L179" s="21"/>
    </row>
    <row r="180" spans="1:12" hidden="1" x14ac:dyDescent="0.25">
      <c r="A180" s="1171"/>
      <c r="B180" s="1232"/>
      <c r="C180" s="1218"/>
      <c r="D180" s="96" t="s">
        <v>357</v>
      </c>
      <c r="E180" s="95"/>
      <c r="F180" s="97">
        <f>(F179/F177)*100</f>
        <v>23.376623376623375</v>
      </c>
      <c r="G180" s="94"/>
      <c r="H180" s="94"/>
      <c r="I180" s="97">
        <f>I179/I177*100</f>
        <v>32.485875706214692</v>
      </c>
      <c r="J180" s="96"/>
      <c r="K180" s="96"/>
      <c r="L180" s="21"/>
    </row>
    <row r="181" spans="1:12" hidden="1" x14ac:dyDescent="0.25">
      <c r="A181" s="1171"/>
      <c r="B181" s="1232"/>
      <c r="C181" s="1218" t="s">
        <v>386</v>
      </c>
      <c r="D181" s="145" t="s">
        <v>251</v>
      </c>
      <c r="E181" s="95"/>
      <c r="F181" s="80">
        <v>4005</v>
      </c>
      <c r="G181" s="80"/>
      <c r="H181" s="80"/>
      <c r="I181" s="80">
        <v>3765</v>
      </c>
      <c r="J181" s="96"/>
      <c r="K181" s="96"/>
      <c r="L181" s="21"/>
    </row>
    <row r="182" spans="1:12" hidden="1" x14ac:dyDescent="0.25">
      <c r="A182" s="1171"/>
      <c r="B182" s="1232"/>
      <c r="C182" s="1218"/>
      <c r="D182" s="96" t="s">
        <v>257</v>
      </c>
      <c r="E182" s="95"/>
      <c r="F182" s="80">
        <v>2795</v>
      </c>
      <c r="G182" s="80"/>
      <c r="H182" s="80"/>
      <c r="I182" s="80">
        <v>2421</v>
      </c>
      <c r="J182" s="96"/>
      <c r="K182" s="96"/>
      <c r="L182" s="21"/>
    </row>
    <row r="183" spans="1:12" hidden="1" x14ac:dyDescent="0.25">
      <c r="A183" s="1171"/>
      <c r="B183" s="1232"/>
      <c r="C183" s="1218"/>
      <c r="D183" s="96" t="s">
        <v>263</v>
      </c>
      <c r="E183" s="95"/>
      <c r="F183" s="80">
        <v>1205</v>
      </c>
      <c r="G183" s="80"/>
      <c r="H183" s="80"/>
      <c r="I183" s="80">
        <v>1347</v>
      </c>
      <c r="J183" s="96"/>
      <c r="K183" s="96"/>
      <c r="L183" s="21"/>
    </row>
    <row r="184" spans="1:12" hidden="1" x14ac:dyDescent="0.25">
      <c r="A184" s="1171"/>
      <c r="B184" s="1232"/>
      <c r="C184" s="1218"/>
      <c r="D184" s="96" t="s">
        <v>357</v>
      </c>
      <c r="E184" s="95"/>
      <c r="F184" s="97">
        <f>(F183/F181)*100</f>
        <v>30.087390761548065</v>
      </c>
      <c r="G184" s="94"/>
      <c r="H184" s="94"/>
      <c r="I184" s="97">
        <f>I183/I181*100</f>
        <v>35.776892430278885</v>
      </c>
      <c r="J184" s="96"/>
      <c r="K184" s="96"/>
      <c r="L184" s="21"/>
    </row>
    <row r="185" spans="1:12" hidden="1" x14ac:dyDescent="0.25">
      <c r="A185" s="1171"/>
      <c r="B185" s="1232"/>
      <c r="C185" s="1218" t="s">
        <v>387</v>
      </c>
      <c r="D185" s="145" t="s">
        <v>251</v>
      </c>
      <c r="E185" s="95"/>
      <c r="F185" s="80">
        <v>3535</v>
      </c>
      <c r="G185" s="80"/>
      <c r="H185" s="80"/>
      <c r="I185" s="80">
        <v>3027</v>
      </c>
      <c r="J185" s="96"/>
      <c r="K185" s="96"/>
      <c r="L185" s="21"/>
    </row>
    <row r="186" spans="1:12" hidden="1" x14ac:dyDescent="0.25">
      <c r="A186" s="1171"/>
      <c r="B186" s="1232"/>
      <c r="C186" s="1218"/>
      <c r="D186" s="96" t="s">
        <v>257</v>
      </c>
      <c r="E186" s="95"/>
      <c r="F186" s="80">
        <v>1720</v>
      </c>
      <c r="G186" s="80"/>
      <c r="H186" s="80"/>
      <c r="I186" s="80">
        <v>1719</v>
      </c>
      <c r="J186" s="96"/>
      <c r="K186" s="96"/>
      <c r="L186" s="21"/>
    </row>
    <row r="187" spans="1:12" hidden="1" x14ac:dyDescent="0.25">
      <c r="A187" s="1171"/>
      <c r="B187" s="1232"/>
      <c r="C187" s="1218"/>
      <c r="D187" s="96" t="s">
        <v>263</v>
      </c>
      <c r="E187" s="95"/>
      <c r="F187" s="80">
        <v>1815</v>
      </c>
      <c r="G187" s="80"/>
      <c r="H187" s="80"/>
      <c r="I187" s="80">
        <v>1308</v>
      </c>
      <c r="J187" s="96"/>
      <c r="K187" s="96"/>
      <c r="L187" s="21"/>
    </row>
    <row r="188" spans="1:12" hidden="1" x14ac:dyDescent="0.25">
      <c r="A188" s="1171"/>
      <c r="B188" s="1232"/>
      <c r="C188" s="1218"/>
      <c r="D188" s="96" t="s">
        <v>357</v>
      </c>
      <c r="E188" s="95"/>
      <c r="F188" s="98">
        <f>(F187/F185)*100</f>
        <v>51.343705799151337</v>
      </c>
      <c r="G188" s="94"/>
      <c r="H188" s="94"/>
      <c r="I188" s="98">
        <f>I187/I185*100</f>
        <v>43.21110009910803</v>
      </c>
      <c r="J188" s="96"/>
      <c r="K188" s="96"/>
      <c r="L188" s="21"/>
    </row>
    <row r="189" spans="1:12" hidden="1" x14ac:dyDescent="0.25">
      <c r="A189" s="1171"/>
      <c r="B189" s="1232"/>
      <c r="C189" s="1218" t="s">
        <v>388</v>
      </c>
      <c r="D189" s="145" t="s">
        <v>251</v>
      </c>
      <c r="E189" s="95"/>
      <c r="F189" s="80">
        <v>25</v>
      </c>
      <c r="G189" s="80"/>
      <c r="H189" s="80"/>
      <c r="I189" s="80">
        <v>1113</v>
      </c>
      <c r="J189" s="96"/>
      <c r="K189" s="96"/>
      <c r="L189" s="21"/>
    </row>
    <row r="190" spans="1:12" hidden="1" x14ac:dyDescent="0.25">
      <c r="A190" s="1171"/>
      <c r="B190" s="1232"/>
      <c r="C190" s="1218"/>
      <c r="D190" s="96" t="s">
        <v>257</v>
      </c>
      <c r="E190" s="95"/>
      <c r="F190" s="80">
        <v>25</v>
      </c>
      <c r="G190" s="80"/>
      <c r="H190" s="80"/>
      <c r="I190" s="80">
        <v>687</v>
      </c>
      <c r="J190" s="96"/>
      <c r="K190" s="96"/>
      <c r="L190" s="21"/>
    </row>
    <row r="191" spans="1:12" hidden="1" x14ac:dyDescent="0.25">
      <c r="A191" s="1171"/>
      <c r="B191" s="1232"/>
      <c r="C191" s="1218"/>
      <c r="D191" s="96" t="s">
        <v>263</v>
      </c>
      <c r="E191" s="95"/>
      <c r="F191" s="80">
        <v>0</v>
      </c>
      <c r="G191" s="80"/>
      <c r="H191" s="80"/>
      <c r="I191" s="80">
        <v>426</v>
      </c>
      <c r="J191" s="96"/>
      <c r="K191" s="96"/>
      <c r="L191" s="21"/>
    </row>
    <row r="192" spans="1:12" hidden="1" x14ac:dyDescent="0.25">
      <c r="A192" s="1171"/>
      <c r="B192" s="1232"/>
      <c r="C192" s="1218"/>
      <c r="D192" s="96" t="s">
        <v>357</v>
      </c>
      <c r="E192" s="95"/>
      <c r="F192" s="97">
        <f>(F191/F189)*100</f>
        <v>0</v>
      </c>
      <c r="G192" s="94"/>
      <c r="H192" s="94"/>
      <c r="I192" s="97">
        <f>I191/I189*100</f>
        <v>38.274932614555254</v>
      </c>
      <c r="J192" s="96"/>
      <c r="K192" s="96"/>
      <c r="L192" s="21"/>
    </row>
    <row r="193" spans="1:12" hidden="1" x14ac:dyDescent="0.25">
      <c r="A193" s="1171"/>
      <c r="B193" s="1232"/>
      <c r="C193" s="1117" t="s">
        <v>389</v>
      </c>
      <c r="D193" s="144" t="s">
        <v>251</v>
      </c>
      <c r="E193" s="94"/>
      <c r="F193" s="80">
        <v>490</v>
      </c>
      <c r="G193" s="80"/>
      <c r="H193" s="80"/>
      <c r="I193" s="80">
        <v>543</v>
      </c>
      <c r="J193" s="28"/>
      <c r="K193" s="28"/>
      <c r="L193" s="21"/>
    </row>
    <row r="194" spans="1:12" hidden="1" x14ac:dyDescent="0.25">
      <c r="A194" s="1171"/>
      <c r="B194" s="1232"/>
      <c r="C194" s="1117"/>
      <c r="D194" s="28" t="s">
        <v>257</v>
      </c>
      <c r="E194" s="94"/>
      <c r="F194" s="80">
        <v>195</v>
      </c>
      <c r="G194" s="80"/>
      <c r="H194" s="80"/>
      <c r="I194" s="80">
        <v>279</v>
      </c>
      <c r="J194" s="28"/>
      <c r="K194" s="28"/>
      <c r="L194" s="21"/>
    </row>
    <row r="195" spans="1:12" hidden="1" x14ac:dyDescent="0.25">
      <c r="A195" s="1171"/>
      <c r="B195" s="1232"/>
      <c r="C195" s="1117"/>
      <c r="D195" s="28" t="s">
        <v>263</v>
      </c>
      <c r="E195" s="94"/>
      <c r="F195" s="80">
        <v>295</v>
      </c>
      <c r="G195" s="80"/>
      <c r="H195" s="80"/>
      <c r="I195" s="80">
        <v>264</v>
      </c>
      <c r="J195" s="28"/>
      <c r="K195" s="28"/>
      <c r="L195" s="21"/>
    </row>
    <row r="196" spans="1:12" hidden="1" x14ac:dyDescent="0.25">
      <c r="A196" s="1171"/>
      <c r="B196" s="1232"/>
      <c r="C196" s="1117"/>
      <c r="D196" s="28" t="s">
        <v>357</v>
      </c>
      <c r="E196" s="94"/>
      <c r="F196" s="206">
        <f>(F195/F193)*100</f>
        <v>60.204081632653065</v>
      </c>
      <c r="G196" s="94"/>
      <c r="H196" s="94"/>
      <c r="I196" s="98">
        <f>I195/I193*100</f>
        <v>48.618784530386741</v>
      </c>
      <c r="J196" s="28"/>
      <c r="K196" s="28"/>
      <c r="L196" s="21"/>
    </row>
    <row r="197" spans="1:12" hidden="1" x14ac:dyDescent="0.25">
      <c r="A197" s="1171"/>
      <c r="B197" s="1232"/>
      <c r="C197" s="1117" t="s">
        <v>390</v>
      </c>
      <c r="D197" s="144" t="s">
        <v>251</v>
      </c>
      <c r="E197" s="94"/>
      <c r="F197" s="80">
        <v>245</v>
      </c>
      <c r="G197" s="80"/>
      <c r="H197" s="80"/>
      <c r="I197" s="80">
        <v>225</v>
      </c>
      <c r="J197" s="28"/>
      <c r="K197" s="28"/>
      <c r="L197" s="21"/>
    </row>
    <row r="198" spans="1:12" ht="14.85" hidden="1" customHeight="1" x14ac:dyDescent="0.25">
      <c r="A198" s="1171"/>
      <c r="B198" s="1232"/>
      <c r="C198" s="1117"/>
      <c r="D198" s="28" t="s">
        <v>257</v>
      </c>
      <c r="E198" s="94"/>
      <c r="F198" s="80">
        <v>150</v>
      </c>
      <c r="G198" s="80"/>
      <c r="H198" s="80"/>
      <c r="I198" s="80">
        <v>102</v>
      </c>
      <c r="J198" s="28"/>
      <c r="K198" s="28"/>
      <c r="L198" s="21"/>
    </row>
    <row r="199" spans="1:12" hidden="1" x14ac:dyDescent="0.25">
      <c r="A199" s="1171"/>
      <c r="B199" s="1232"/>
      <c r="C199" s="1117"/>
      <c r="D199" s="28" t="s">
        <v>263</v>
      </c>
      <c r="E199" s="94"/>
      <c r="F199" s="80">
        <v>95</v>
      </c>
      <c r="G199" s="80"/>
      <c r="H199" s="80"/>
      <c r="I199" s="80">
        <v>123</v>
      </c>
      <c r="J199" s="28"/>
      <c r="K199" s="28"/>
      <c r="L199" s="21"/>
    </row>
    <row r="200" spans="1:12" hidden="1" x14ac:dyDescent="0.25">
      <c r="A200" s="1171"/>
      <c r="B200" s="1232"/>
      <c r="C200" s="1117"/>
      <c r="D200" s="28" t="s">
        <v>357</v>
      </c>
      <c r="E200" s="94"/>
      <c r="F200" s="97">
        <f>(F199/F197)*100</f>
        <v>38.775510204081634</v>
      </c>
      <c r="G200" s="94"/>
      <c r="H200" s="94"/>
      <c r="I200" s="98">
        <f>I199/I197*100</f>
        <v>54.666666666666664</v>
      </c>
      <c r="J200" s="28"/>
      <c r="K200" s="28"/>
      <c r="L200" s="21"/>
    </row>
    <row r="201" spans="1:12" hidden="1" x14ac:dyDescent="0.25">
      <c r="A201" s="1171"/>
      <c r="B201" s="1232"/>
      <c r="C201" s="1117" t="s">
        <v>391</v>
      </c>
      <c r="D201" s="144" t="s">
        <v>251</v>
      </c>
      <c r="E201" s="94"/>
      <c r="F201" s="80">
        <v>910</v>
      </c>
      <c r="G201" s="80"/>
      <c r="H201" s="80"/>
      <c r="I201" s="80">
        <v>516</v>
      </c>
      <c r="J201" s="28"/>
      <c r="K201" s="28"/>
      <c r="L201" s="21"/>
    </row>
    <row r="202" spans="1:12" hidden="1" x14ac:dyDescent="0.25">
      <c r="A202" s="1171"/>
      <c r="B202" s="1232"/>
      <c r="C202" s="1117"/>
      <c r="D202" s="28" t="s">
        <v>257</v>
      </c>
      <c r="E202" s="94"/>
      <c r="F202" s="80">
        <v>280</v>
      </c>
      <c r="G202" s="80"/>
      <c r="H202" s="80"/>
      <c r="I202" s="80">
        <v>165</v>
      </c>
      <c r="J202" s="28"/>
      <c r="K202" s="28"/>
      <c r="L202" s="21"/>
    </row>
    <row r="203" spans="1:12" hidden="1" x14ac:dyDescent="0.25">
      <c r="A203" s="1171"/>
      <c r="B203" s="1232"/>
      <c r="C203" s="1117"/>
      <c r="D203" s="28" t="s">
        <v>263</v>
      </c>
      <c r="E203" s="94"/>
      <c r="F203" s="80">
        <v>625</v>
      </c>
      <c r="G203" s="80"/>
      <c r="H203" s="80"/>
      <c r="I203" s="80">
        <v>354</v>
      </c>
      <c r="J203" s="28"/>
      <c r="K203" s="28"/>
      <c r="L203" s="21"/>
    </row>
    <row r="204" spans="1:12" hidden="1" x14ac:dyDescent="0.25">
      <c r="A204" s="1171"/>
      <c r="B204" s="1232"/>
      <c r="C204" s="1117"/>
      <c r="D204" s="28" t="s">
        <v>357</v>
      </c>
      <c r="E204" s="94"/>
      <c r="F204" s="99">
        <f>(F203/F201)*100</f>
        <v>68.681318681318686</v>
      </c>
      <c r="G204" s="94"/>
      <c r="H204" s="94"/>
      <c r="I204" s="99">
        <f>I203/I201*100</f>
        <v>68.604651162790702</v>
      </c>
      <c r="J204" s="28"/>
      <c r="K204" s="28"/>
      <c r="L204" s="21"/>
    </row>
    <row r="205" spans="1:12" hidden="1" x14ac:dyDescent="0.25">
      <c r="A205" s="1171"/>
      <c r="B205" s="1232"/>
      <c r="C205" s="1117" t="s">
        <v>392</v>
      </c>
      <c r="D205" s="144" t="s">
        <v>251</v>
      </c>
      <c r="E205" s="94"/>
      <c r="F205" s="80">
        <v>445</v>
      </c>
      <c r="G205" s="80"/>
      <c r="H205" s="80"/>
      <c r="I205" s="80">
        <v>210</v>
      </c>
      <c r="J205" s="28"/>
      <c r="K205" s="28"/>
      <c r="L205" s="21"/>
    </row>
    <row r="206" spans="1:12" hidden="1" x14ac:dyDescent="0.25">
      <c r="A206" s="1171"/>
      <c r="B206" s="1232"/>
      <c r="C206" s="1117"/>
      <c r="D206" s="28" t="s">
        <v>257</v>
      </c>
      <c r="E206" s="94"/>
      <c r="F206" s="80">
        <v>15</v>
      </c>
      <c r="G206" s="80"/>
      <c r="H206" s="80"/>
      <c r="I206" s="80">
        <v>33</v>
      </c>
      <c r="J206" s="28"/>
      <c r="K206" s="28"/>
      <c r="L206" s="21"/>
    </row>
    <row r="207" spans="1:12" hidden="1" x14ac:dyDescent="0.25">
      <c r="A207" s="1171"/>
      <c r="B207" s="1232"/>
      <c r="C207" s="1117"/>
      <c r="D207" s="28" t="s">
        <v>263</v>
      </c>
      <c r="E207" s="94"/>
      <c r="F207" s="80">
        <v>435</v>
      </c>
      <c r="G207" s="80"/>
      <c r="H207" s="80"/>
      <c r="I207" s="80">
        <v>177</v>
      </c>
      <c r="J207" s="28"/>
      <c r="K207" s="28"/>
      <c r="L207" s="21"/>
    </row>
    <row r="208" spans="1:12" hidden="1" x14ac:dyDescent="0.25">
      <c r="A208" s="1171"/>
      <c r="B208" s="1232"/>
      <c r="C208" s="1117"/>
      <c r="D208" s="28" t="s">
        <v>357</v>
      </c>
      <c r="E208" s="94"/>
      <c r="F208" s="99">
        <f>(F207/F205)*100</f>
        <v>97.752808988764045</v>
      </c>
      <c r="G208" s="94"/>
      <c r="H208" s="94"/>
      <c r="I208" s="99">
        <f>I207/I205*100</f>
        <v>84.285714285714292</v>
      </c>
      <c r="J208" s="28"/>
      <c r="K208" s="28"/>
      <c r="L208" s="21"/>
    </row>
    <row r="209" spans="1:12" hidden="1" x14ac:dyDescent="0.25">
      <c r="A209" s="1171"/>
      <c r="B209" s="1232"/>
      <c r="C209" s="1117" t="s">
        <v>393</v>
      </c>
      <c r="D209" s="144" t="s">
        <v>251</v>
      </c>
      <c r="E209" s="94"/>
      <c r="F209" s="80">
        <v>2190</v>
      </c>
      <c r="G209" s="80"/>
      <c r="H209" s="80"/>
      <c r="I209" s="80">
        <v>1854</v>
      </c>
      <c r="J209" s="28"/>
      <c r="K209" s="28"/>
      <c r="L209" s="21"/>
    </row>
    <row r="210" spans="1:12" hidden="1" x14ac:dyDescent="0.25">
      <c r="A210" s="1171"/>
      <c r="B210" s="1232"/>
      <c r="C210" s="1117"/>
      <c r="D210" s="28" t="s">
        <v>257</v>
      </c>
      <c r="E210" s="94"/>
      <c r="F210" s="80">
        <v>1290</v>
      </c>
      <c r="G210" s="80"/>
      <c r="H210" s="80"/>
      <c r="I210" s="80">
        <v>1134</v>
      </c>
      <c r="J210" s="28"/>
      <c r="K210" s="28"/>
      <c r="L210" s="21"/>
    </row>
    <row r="211" spans="1:12" hidden="1" x14ac:dyDescent="0.25">
      <c r="A211" s="1171"/>
      <c r="B211" s="1232"/>
      <c r="C211" s="1117"/>
      <c r="D211" s="28" t="s">
        <v>263</v>
      </c>
      <c r="E211" s="94"/>
      <c r="F211" s="80">
        <v>900</v>
      </c>
      <c r="G211" s="80"/>
      <c r="H211" s="80"/>
      <c r="I211" s="80">
        <v>720</v>
      </c>
      <c r="J211" s="28"/>
      <c r="K211" s="28"/>
      <c r="L211" s="21"/>
    </row>
    <row r="212" spans="1:12" hidden="1" x14ac:dyDescent="0.25">
      <c r="A212" s="1171"/>
      <c r="B212" s="1232"/>
      <c r="C212" s="1117"/>
      <c r="D212" s="28" t="s">
        <v>357</v>
      </c>
      <c r="E212" s="94"/>
      <c r="F212" s="98">
        <f>(F211/F209)*100</f>
        <v>41.095890410958901</v>
      </c>
      <c r="G212" s="94"/>
      <c r="H212" s="94"/>
      <c r="I212" s="97">
        <f>I211/I209*100</f>
        <v>38.834951456310677</v>
      </c>
      <c r="J212" s="28"/>
      <c r="K212" s="28"/>
      <c r="L212" s="21"/>
    </row>
    <row r="213" spans="1:12" hidden="1" x14ac:dyDescent="0.25">
      <c r="A213" s="1171"/>
      <c r="B213" s="1232"/>
      <c r="C213" s="1117" t="s">
        <v>394</v>
      </c>
      <c r="D213" s="144" t="s">
        <v>251</v>
      </c>
      <c r="E213" s="94"/>
      <c r="F213" s="80">
        <v>865</v>
      </c>
      <c r="G213" s="80"/>
      <c r="H213" s="80"/>
      <c r="I213" s="80">
        <v>855</v>
      </c>
      <c r="J213" s="28"/>
      <c r="K213" s="28"/>
      <c r="L213" s="21"/>
    </row>
    <row r="214" spans="1:12" hidden="1" x14ac:dyDescent="0.25">
      <c r="A214" s="1171"/>
      <c r="B214" s="1232"/>
      <c r="C214" s="1117"/>
      <c r="D214" s="28" t="s">
        <v>257</v>
      </c>
      <c r="E214" s="94"/>
      <c r="F214" s="80">
        <v>710</v>
      </c>
      <c r="G214" s="80"/>
      <c r="H214" s="80"/>
      <c r="I214" s="80">
        <v>663</v>
      </c>
      <c r="J214" s="28"/>
      <c r="K214" s="28"/>
      <c r="L214" s="21"/>
    </row>
    <row r="215" spans="1:12" hidden="1" x14ac:dyDescent="0.25">
      <c r="A215" s="1171"/>
      <c r="B215" s="1232"/>
      <c r="C215" s="1117"/>
      <c r="D215" s="28" t="s">
        <v>263</v>
      </c>
      <c r="E215" s="94"/>
      <c r="F215" s="80">
        <v>155</v>
      </c>
      <c r="G215" s="80"/>
      <c r="H215" s="80"/>
      <c r="I215" s="80">
        <v>195</v>
      </c>
      <c r="J215" s="28"/>
      <c r="K215" s="28"/>
      <c r="L215" s="21"/>
    </row>
    <row r="216" spans="1:12" hidden="1" x14ac:dyDescent="0.25">
      <c r="A216" s="1171"/>
      <c r="B216" s="1232"/>
      <c r="C216" s="1117"/>
      <c r="D216" s="28" t="s">
        <v>357</v>
      </c>
      <c r="E216" s="94"/>
      <c r="F216" s="97">
        <f>(F215/F213)*100</f>
        <v>17.919075144508671</v>
      </c>
      <c r="G216" s="94"/>
      <c r="H216" s="94"/>
      <c r="I216" s="97">
        <f>I215/I213*100</f>
        <v>22.807017543859647</v>
      </c>
      <c r="J216" s="28"/>
      <c r="K216" s="28"/>
      <c r="L216" s="21"/>
    </row>
    <row r="217" spans="1:12" hidden="1" x14ac:dyDescent="0.25">
      <c r="A217" s="1171"/>
      <c r="B217" s="1232"/>
      <c r="C217" s="1117" t="s">
        <v>395</v>
      </c>
      <c r="D217" s="144" t="s">
        <v>251</v>
      </c>
      <c r="E217" s="94"/>
      <c r="F217" s="80">
        <v>255</v>
      </c>
      <c r="G217" s="80"/>
      <c r="H217" s="80"/>
      <c r="I217" s="80">
        <v>123</v>
      </c>
      <c r="J217" s="94"/>
      <c r="K217" s="28"/>
      <c r="L217" s="21"/>
    </row>
    <row r="218" spans="1:12" ht="14.85" hidden="1" customHeight="1" x14ac:dyDescent="0.25">
      <c r="A218" s="1171"/>
      <c r="B218" s="1232"/>
      <c r="C218" s="1117"/>
      <c r="D218" s="28" t="s">
        <v>257</v>
      </c>
      <c r="E218" s="94"/>
      <c r="F218" s="80">
        <v>180</v>
      </c>
      <c r="G218" s="80"/>
      <c r="H218" s="80"/>
      <c r="I218" s="80">
        <v>81</v>
      </c>
      <c r="J218" s="94"/>
      <c r="K218" s="28"/>
      <c r="L218" s="21"/>
    </row>
    <row r="219" spans="1:12" hidden="1" x14ac:dyDescent="0.25">
      <c r="A219" s="1171"/>
      <c r="B219" s="1232"/>
      <c r="C219" s="1117"/>
      <c r="D219" s="28" t="s">
        <v>263</v>
      </c>
      <c r="E219" s="94"/>
      <c r="F219" s="80">
        <v>75</v>
      </c>
      <c r="G219" s="80"/>
      <c r="H219" s="80"/>
      <c r="I219" s="80">
        <v>45</v>
      </c>
      <c r="J219" s="94"/>
      <c r="K219" s="28"/>
      <c r="L219" s="21"/>
    </row>
    <row r="220" spans="1:12" hidden="1" x14ac:dyDescent="0.25">
      <c r="A220" s="1171"/>
      <c r="B220" s="1232"/>
      <c r="C220" s="1117"/>
      <c r="D220" s="28" t="s">
        <v>357</v>
      </c>
      <c r="E220" s="94"/>
      <c r="F220" s="97">
        <f>(F219/F217)*100</f>
        <v>29.411764705882355</v>
      </c>
      <c r="G220" s="94"/>
      <c r="H220" s="94"/>
      <c r="I220" s="97">
        <f>I219/I217*100</f>
        <v>36.585365853658537</v>
      </c>
      <c r="J220" s="94"/>
      <c r="K220" s="28"/>
      <c r="L220" s="21"/>
    </row>
    <row r="221" spans="1:12" hidden="1" x14ac:dyDescent="0.25">
      <c r="A221" s="1171"/>
      <c r="B221" s="1232"/>
      <c r="C221" s="1117" t="s">
        <v>396</v>
      </c>
      <c r="D221" s="144" t="s">
        <v>251</v>
      </c>
      <c r="E221" s="94"/>
      <c r="F221" s="80">
        <v>65</v>
      </c>
      <c r="G221" s="80"/>
      <c r="H221" s="80"/>
      <c r="I221" s="80">
        <v>15</v>
      </c>
      <c r="J221" s="94"/>
      <c r="K221" s="28"/>
      <c r="L221" s="21"/>
    </row>
    <row r="222" spans="1:12" hidden="1" x14ac:dyDescent="0.25">
      <c r="A222" s="1171"/>
      <c r="B222" s="1232"/>
      <c r="C222" s="1117"/>
      <c r="D222" s="28" t="s">
        <v>257</v>
      </c>
      <c r="E222" s="94"/>
      <c r="F222" s="80">
        <v>20</v>
      </c>
      <c r="G222" s="80"/>
      <c r="H222" s="80"/>
      <c r="I222" s="80">
        <v>9</v>
      </c>
      <c r="J222" s="94"/>
      <c r="K222" s="28"/>
      <c r="L222" s="21"/>
    </row>
    <row r="223" spans="1:12" hidden="1" x14ac:dyDescent="0.25">
      <c r="A223" s="1171"/>
      <c r="B223" s="1232"/>
      <c r="C223" s="1117"/>
      <c r="D223" s="28" t="s">
        <v>263</v>
      </c>
      <c r="E223" s="94"/>
      <c r="F223" s="80">
        <v>40</v>
      </c>
      <c r="G223" s="80"/>
      <c r="H223" s="80"/>
      <c r="I223" s="80">
        <v>9</v>
      </c>
      <c r="J223" s="94"/>
      <c r="K223" s="28"/>
      <c r="L223" s="21"/>
    </row>
    <row r="224" spans="1:12" hidden="1" x14ac:dyDescent="0.25">
      <c r="A224" s="1171"/>
      <c r="B224" s="1232"/>
      <c r="C224" s="1117"/>
      <c r="D224" s="28" t="s">
        <v>357</v>
      </c>
      <c r="E224" s="94"/>
      <c r="F224" s="99">
        <f>(F223/F221)*100</f>
        <v>61.53846153846154</v>
      </c>
      <c r="G224" s="94"/>
      <c r="H224" s="94"/>
      <c r="I224" s="99">
        <f>I223/I221*100</f>
        <v>60</v>
      </c>
      <c r="J224" s="94"/>
      <c r="K224" s="28"/>
      <c r="L224" s="21"/>
    </row>
    <row r="225" spans="1:12" hidden="1" x14ac:dyDescent="0.25">
      <c r="A225" s="1171"/>
      <c r="B225" s="1232"/>
      <c r="C225" s="1117" t="s">
        <v>397</v>
      </c>
      <c r="D225" s="144" t="s">
        <v>251</v>
      </c>
      <c r="E225" s="94"/>
      <c r="F225" s="80"/>
      <c r="G225" s="80"/>
      <c r="H225" s="80"/>
      <c r="I225" s="80">
        <v>21</v>
      </c>
      <c r="J225" s="94"/>
      <c r="K225" s="28"/>
      <c r="L225" s="21"/>
    </row>
    <row r="226" spans="1:12" hidden="1" x14ac:dyDescent="0.25">
      <c r="A226" s="1171"/>
      <c r="B226" s="1232"/>
      <c r="C226" s="1117"/>
      <c r="D226" s="28" t="s">
        <v>257</v>
      </c>
      <c r="E226" s="94"/>
      <c r="F226" s="80"/>
      <c r="G226" s="80"/>
      <c r="H226" s="80"/>
      <c r="I226" s="80">
        <v>9</v>
      </c>
      <c r="J226" s="94"/>
      <c r="K226" s="28"/>
      <c r="L226" s="21"/>
    </row>
    <row r="227" spans="1:12" hidden="1" x14ac:dyDescent="0.25">
      <c r="A227" s="1171"/>
      <c r="B227" s="1232"/>
      <c r="C227" s="1117"/>
      <c r="D227" s="28" t="s">
        <v>263</v>
      </c>
      <c r="E227" s="94"/>
      <c r="F227" s="80"/>
      <c r="G227" s="80"/>
      <c r="H227" s="80"/>
      <c r="I227" s="80">
        <v>9</v>
      </c>
      <c r="J227" s="94"/>
      <c r="K227" s="28"/>
      <c r="L227" s="21"/>
    </row>
    <row r="228" spans="1:12" hidden="1" x14ac:dyDescent="0.25">
      <c r="A228" s="1171"/>
      <c r="B228" s="1232"/>
      <c r="C228" s="1117"/>
      <c r="D228" s="28" t="s">
        <v>357</v>
      </c>
      <c r="E228" s="94"/>
      <c r="F228" s="94"/>
      <c r="G228" s="94"/>
      <c r="H228" s="94"/>
      <c r="I228" s="98">
        <f>I227/I225*100</f>
        <v>42.857142857142854</v>
      </c>
      <c r="J228" s="94"/>
      <c r="K228" s="28"/>
      <c r="L228" s="21"/>
    </row>
    <row r="229" spans="1:12" hidden="1" x14ac:dyDescent="0.25">
      <c r="A229" s="1171"/>
      <c r="B229" s="1232"/>
      <c r="C229" s="1117" t="s">
        <v>398</v>
      </c>
      <c r="D229" s="144" t="s">
        <v>251</v>
      </c>
      <c r="E229" s="94"/>
      <c r="F229" s="80">
        <v>35</v>
      </c>
      <c r="G229" s="80"/>
      <c r="H229" s="80"/>
      <c r="I229" s="80">
        <v>6</v>
      </c>
      <c r="J229" s="94"/>
      <c r="K229" s="28"/>
      <c r="L229" s="21"/>
    </row>
    <row r="230" spans="1:12" ht="14.85" hidden="1" customHeight="1" x14ac:dyDescent="0.25">
      <c r="A230" s="1171"/>
      <c r="B230" s="1232"/>
      <c r="C230" s="1117"/>
      <c r="D230" s="28" t="s">
        <v>257</v>
      </c>
      <c r="E230" s="94"/>
      <c r="F230" s="80">
        <v>15</v>
      </c>
      <c r="G230" s="80"/>
      <c r="H230" s="80"/>
      <c r="I230" s="80">
        <v>3</v>
      </c>
      <c r="J230" s="94"/>
      <c r="K230" s="28"/>
      <c r="L230" s="21"/>
    </row>
    <row r="231" spans="1:12" hidden="1" x14ac:dyDescent="0.25">
      <c r="A231" s="1171"/>
      <c r="B231" s="1232"/>
      <c r="C231" s="1117"/>
      <c r="D231" s="28" t="s">
        <v>263</v>
      </c>
      <c r="E231" s="94"/>
      <c r="F231" s="80">
        <v>15</v>
      </c>
      <c r="G231" s="80"/>
      <c r="H231" s="80"/>
      <c r="I231" s="80">
        <v>0</v>
      </c>
      <c r="J231" s="94"/>
      <c r="K231" s="28"/>
      <c r="L231" s="21"/>
    </row>
    <row r="232" spans="1:12" hidden="1" x14ac:dyDescent="0.25">
      <c r="A232" s="1171"/>
      <c r="B232" s="1232"/>
      <c r="C232" s="1117"/>
      <c r="D232" s="28" t="s">
        <v>357</v>
      </c>
      <c r="E232" s="94"/>
      <c r="F232" s="98">
        <f>(F231/F229)*100</f>
        <v>42.857142857142854</v>
      </c>
      <c r="G232" s="94"/>
      <c r="H232" s="94"/>
      <c r="I232" s="97">
        <f>I231/I229*100</f>
        <v>0</v>
      </c>
      <c r="J232" s="94"/>
      <c r="K232" s="28"/>
      <c r="L232" s="21"/>
    </row>
    <row r="233" spans="1:12" hidden="1" x14ac:dyDescent="0.25">
      <c r="A233" s="1171"/>
      <c r="B233" s="1232"/>
      <c r="C233" s="1117" t="s">
        <v>399</v>
      </c>
      <c r="D233" s="144" t="s">
        <v>251</v>
      </c>
      <c r="E233" s="94"/>
      <c r="F233" s="80">
        <v>570</v>
      </c>
      <c r="G233" s="80"/>
      <c r="H233" s="80"/>
      <c r="I233" s="80">
        <v>525</v>
      </c>
      <c r="J233" s="94"/>
      <c r="K233" s="28"/>
      <c r="L233" s="21"/>
    </row>
    <row r="234" spans="1:12" ht="14.85" hidden="1" customHeight="1" x14ac:dyDescent="0.25">
      <c r="A234" s="1171"/>
      <c r="B234" s="1232"/>
      <c r="C234" s="1117"/>
      <c r="D234" s="28" t="s">
        <v>257</v>
      </c>
      <c r="E234" s="94"/>
      <c r="F234" s="80">
        <v>450</v>
      </c>
      <c r="G234" s="80"/>
      <c r="H234" s="80"/>
      <c r="I234" s="80">
        <v>474</v>
      </c>
      <c r="J234" s="94"/>
      <c r="K234" s="28"/>
      <c r="L234" s="21"/>
    </row>
    <row r="235" spans="1:12" hidden="1" x14ac:dyDescent="0.25">
      <c r="A235" s="1171"/>
      <c r="B235" s="1232"/>
      <c r="C235" s="1117"/>
      <c r="D235" s="28" t="s">
        <v>263</v>
      </c>
      <c r="E235" s="94"/>
      <c r="F235" s="80">
        <v>120</v>
      </c>
      <c r="G235" s="80"/>
      <c r="H235" s="80"/>
      <c r="I235" s="80">
        <v>51</v>
      </c>
      <c r="J235" s="94"/>
      <c r="K235" s="28"/>
      <c r="L235" s="21"/>
    </row>
    <row r="236" spans="1:12" hidden="1" x14ac:dyDescent="0.25">
      <c r="A236" s="1171"/>
      <c r="B236" s="1232"/>
      <c r="C236" s="1117"/>
      <c r="D236" s="28" t="s">
        <v>357</v>
      </c>
      <c r="E236" s="94"/>
      <c r="F236" s="97">
        <f>(F235/F233)*100</f>
        <v>21.052631578947366</v>
      </c>
      <c r="G236" s="94"/>
      <c r="H236" s="94"/>
      <c r="I236" s="97">
        <f>I235/I233*100</f>
        <v>9.7142857142857135</v>
      </c>
      <c r="J236" s="94"/>
      <c r="K236" s="28"/>
      <c r="L236" s="21"/>
    </row>
    <row r="237" spans="1:12" hidden="1" x14ac:dyDescent="0.25">
      <c r="A237" s="1171"/>
      <c r="B237" s="1232"/>
      <c r="C237" s="1117" t="s">
        <v>400</v>
      </c>
      <c r="D237" s="144" t="s">
        <v>251</v>
      </c>
      <c r="E237" s="94"/>
      <c r="F237" s="80">
        <v>540</v>
      </c>
      <c r="G237" s="80"/>
      <c r="H237" s="80"/>
      <c r="I237" s="80">
        <v>195</v>
      </c>
      <c r="J237" s="94"/>
      <c r="K237" s="28"/>
      <c r="L237" s="21"/>
    </row>
    <row r="238" spans="1:12" hidden="1" x14ac:dyDescent="0.25">
      <c r="A238" s="1171"/>
      <c r="B238" s="1232"/>
      <c r="C238" s="1117"/>
      <c r="D238" s="28" t="s">
        <v>257</v>
      </c>
      <c r="E238" s="94"/>
      <c r="F238" s="80">
        <v>370</v>
      </c>
      <c r="G238" s="80"/>
      <c r="H238" s="80"/>
      <c r="I238" s="80">
        <v>183</v>
      </c>
      <c r="J238" s="94"/>
      <c r="K238" s="28"/>
      <c r="L238" s="21"/>
    </row>
    <row r="239" spans="1:12" hidden="1" x14ac:dyDescent="0.25">
      <c r="A239" s="1171"/>
      <c r="B239" s="1232"/>
      <c r="C239" s="1117"/>
      <c r="D239" s="28" t="s">
        <v>263</v>
      </c>
      <c r="E239" s="94"/>
      <c r="F239" s="80">
        <v>170</v>
      </c>
      <c r="G239" s="80"/>
      <c r="H239" s="80"/>
      <c r="I239" s="80">
        <v>15</v>
      </c>
      <c r="J239" s="94"/>
      <c r="K239" s="28"/>
      <c r="L239" s="21"/>
    </row>
    <row r="240" spans="1:12" hidden="1" x14ac:dyDescent="0.25">
      <c r="A240" s="1171"/>
      <c r="B240" s="1232"/>
      <c r="C240" s="1117"/>
      <c r="D240" s="28" t="s">
        <v>357</v>
      </c>
      <c r="E240" s="94"/>
      <c r="F240" s="97">
        <f>(F239/F237)*100</f>
        <v>31.481481481481481</v>
      </c>
      <c r="G240" s="94"/>
      <c r="H240" s="94"/>
      <c r="I240" s="97">
        <f>I239/I237*100</f>
        <v>7.6923076923076925</v>
      </c>
      <c r="J240" s="94"/>
      <c r="K240" s="28"/>
      <c r="L240" s="21"/>
    </row>
    <row r="241" spans="1:12" ht="14.85" hidden="1" customHeight="1" x14ac:dyDescent="0.25">
      <c r="A241" s="1171"/>
      <c r="B241" s="1232"/>
      <c r="C241" s="1117" t="s">
        <v>401</v>
      </c>
      <c r="D241" s="144" t="s">
        <v>251</v>
      </c>
      <c r="E241" s="94"/>
      <c r="F241" s="80">
        <v>110</v>
      </c>
      <c r="G241" s="80"/>
      <c r="H241" s="80"/>
      <c r="I241" s="80">
        <v>87</v>
      </c>
      <c r="J241" s="94"/>
      <c r="K241" s="28"/>
      <c r="L241" s="21"/>
    </row>
    <row r="242" spans="1:12" hidden="1" x14ac:dyDescent="0.25">
      <c r="A242" s="1171"/>
      <c r="B242" s="1232"/>
      <c r="C242" s="1117"/>
      <c r="D242" s="28" t="s">
        <v>257</v>
      </c>
      <c r="E242" s="94"/>
      <c r="F242" s="80">
        <v>95</v>
      </c>
      <c r="G242" s="80"/>
      <c r="H242" s="80"/>
      <c r="I242" s="80">
        <v>81</v>
      </c>
      <c r="J242" s="94"/>
      <c r="K242" s="28"/>
      <c r="L242" s="21"/>
    </row>
    <row r="243" spans="1:12" hidden="1" x14ac:dyDescent="0.25">
      <c r="A243" s="1171"/>
      <c r="B243" s="1232"/>
      <c r="C243" s="1117"/>
      <c r="D243" s="28" t="s">
        <v>263</v>
      </c>
      <c r="E243" s="94"/>
      <c r="F243" s="80">
        <v>15</v>
      </c>
      <c r="G243" s="80"/>
      <c r="H243" s="80"/>
      <c r="I243" s="80">
        <v>6</v>
      </c>
      <c r="J243" s="94"/>
      <c r="K243" s="28"/>
      <c r="L243" s="21"/>
    </row>
    <row r="244" spans="1:12" hidden="1" x14ac:dyDescent="0.25">
      <c r="A244" s="1171"/>
      <c r="B244" s="1232"/>
      <c r="C244" s="1117"/>
      <c r="D244" s="28" t="s">
        <v>357</v>
      </c>
      <c r="E244" s="94"/>
      <c r="F244" s="97">
        <f>(F243/F241)*100</f>
        <v>13.636363636363635</v>
      </c>
      <c r="G244" s="94"/>
      <c r="H244" s="94"/>
      <c r="I244" s="97">
        <f>I243/I241*100</f>
        <v>6.8965517241379306</v>
      </c>
      <c r="J244" s="94"/>
      <c r="K244" s="28"/>
      <c r="L244" s="21"/>
    </row>
    <row r="245" spans="1:12" hidden="1" x14ac:dyDescent="0.25">
      <c r="A245" s="1171"/>
      <c r="B245" s="1232"/>
      <c r="C245" s="1117" t="s">
        <v>402</v>
      </c>
      <c r="D245" s="144" t="s">
        <v>251</v>
      </c>
      <c r="E245" s="94"/>
      <c r="F245" s="80">
        <v>210</v>
      </c>
      <c r="G245" s="80"/>
      <c r="H245" s="80"/>
      <c r="I245" s="80">
        <v>138</v>
      </c>
      <c r="J245" s="94"/>
      <c r="K245" s="28"/>
      <c r="L245" s="21"/>
    </row>
    <row r="246" spans="1:12" hidden="1" x14ac:dyDescent="0.25">
      <c r="A246" s="1171"/>
      <c r="B246" s="1232"/>
      <c r="C246" s="1117"/>
      <c r="D246" s="28" t="s">
        <v>257</v>
      </c>
      <c r="E246" s="94"/>
      <c r="F246" s="80">
        <v>210</v>
      </c>
      <c r="G246" s="80"/>
      <c r="H246" s="80"/>
      <c r="I246" s="80">
        <v>126</v>
      </c>
      <c r="J246" s="94"/>
      <c r="K246" s="28"/>
      <c r="L246" s="21"/>
    </row>
    <row r="247" spans="1:12" hidden="1" x14ac:dyDescent="0.25">
      <c r="A247" s="1171"/>
      <c r="B247" s="1232"/>
      <c r="C247" s="1117"/>
      <c r="D247" s="28" t="s">
        <v>263</v>
      </c>
      <c r="E247" s="94"/>
      <c r="F247" s="80">
        <v>0</v>
      </c>
      <c r="G247" s="80"/>
      <c r="H247" s="80"/>
      <c r="I247" s="80">
        <v>9</v>
      </c>
      <c r="J247" s="94"/>
      <c r="K247" s="28"/>
      <c r="L247" s="21"/>
    </row>
    <row r="248" spans="1:12" hidden="1" x14ac:dyDescent="0.25">
      <c r="A248" s="1171"/>
      <c r="B248" s="1232"/>
      <c r="C248" s="1117"/>
      <c r="D248" s="28" t="s">
        <v>357</v>
      </c>
      <c r="E248" s="94"/>
      <c r="F248" s="97">
        <f>(F247/F245)*100</f>
        <v>0</v>
      </c>
      <c r="G248" s="94"/>
      <c r="H248" s="94"/>
      <c r="I248" s="97">
        <f>I247/I245*100</f>
        <v>6.5217391304347823</v>
      </c>
      <c r="J248" s="94"/>
      <c r="K248" s="28"/>
      <c r="L248" s="21"/>
    </row>
    <row r="249" spans="1:12" hidden="1" x14ac:dyDescent="0.25">
      <c r="A249" s="1171"/>
      <c r="B249" s="1232"/>
      <c r="C249" s="1117" t="s">
        <v>403</v>
      </c>
      <c r="D249" s="144" t="s">
        <v>251</v>
      </c>
      <c r="E249" s="94"/>
      <c r="F249" s="80">
        <v>505</v>
      </c>
      <c r="G249" s="80"/>
      <c r="H249" s="80"/>
      <c r="I249" s="80">
        <v>315</v>
      </c>
      <c r="J249" s="94"/>
      <c r="K249" s="28"/>
      <c r="L249" s="21"/>
    </row>
    <row r="250" spans="1:12" hidden="1" x14ac:dyDescent="0.25">
      <c r="A250" s="1171"/>
      <c r="B250" s="1232"/>
      <c r="C250" s="1117"/>
      <c r="D250" s="28" t="s">
        <v>257</v>
      </c>
      <c r="E250" s="94"/>
      <c r="F250" s="80">
        <v>395</v>
      </c>
      <c r="G250" s="80"/>
      <c r="H250" s="80"/>
      <c r="I250" s="80">
        <v>273</v>
      </c>
      <c r="J250" s="94"/>
      <c r="K250" s="28"/>
      <c r="L250" s="21"/>
    </row>
    <row r="251" spans="1:12" hidden="1" x14ac:dyDescent="0.25">
      <c r="A251" s="1171"/>
      <c r="B251" s="1232"/>
      <c r="C251" s="1117"/>
      <c r="D251" s="28" t="s">
        <v>263</v>
      </c>
      <c r="E251" s="94"/>
      <c r="F251" s="80">
        <v>110</v>
      </c>
      <c r="G251" s="80"/>
      <c r="H251" s="80"/>
      <c r="I251" s="80">
        <v>42</v>
      </c>
      <c r="J251" s="94"/>
      <c r="K251" s="28"/>
      <c r="L251" s="21"/>
    </row>
    <row r="252" spans="1:12" hidden="1" x14ac:dyDescent="0.25">
      <c r="A252" s="1171"/>
      <c r="B252" s="1232"/>
      <c r="C252" s="1117"/>
      <c r="D252" s="28" t="s">
        <v>357</v>
      </c>
      <c r="E252" s="94"/>
      <c r="F252" s="97">
        <f>(F251/F249)*100</f>
        <v>21.782178217821784</v>
      </c>
      <c r="G252" s="94"/>
      <c r="H252" s="94"/>
      <c r="I252" s="97">
        <f>I251/I249*100</f>
        <v>13.333333333333334</v>
      </c>
      <c r="J252" s="94"/>
      <c r="K252" s="28"/>
      <c r="L252" s="21"/>
    </row>
    <row r="253" spans="1:12" hidden="1" x14ac:dyDescent="0.25">
      <c r="A253" s="1171"/>
      <c r="B253" s="1232"/>
      <c r="C253" s="1117" t="s">
        <v>404</v>
      </c>
      <c r="D253" s="144" t="s">
        <v>251</v>
      </c>
      <c r="E253" s="94"/>
      <c r="F253" s="80">
        <v>380</v>
      </c>
      <c r="G253" s="80"/>
      <c r="H253" s="80"/>
      <c r="I253" s="80">
        <v>105</v>
      </c>
      <c r="J253" s="94"/>
      <c r="K253" s="28"/>
      <c r="L253" s="21"/>
    </row>
    <row r="254" spans="1:12" ht="14.85" hidden="1" customHeight="1" x14ac:dyDescent="0.25">
      <c r="A254" s="1171"/>
      <c r="B254" s="1232"/>
      <c r="C254" s="1117"/>
      <c r="D254" s="28" t="s">
        <v>257</v>
      </c>
      <c r="E254" s="94"/>
      <c r="F254" s="80">
        <v>260</v>
      </c>
      <c r="G254" s="80"/>
      <c r="H254" s="80"/>
      <c r="I254" s="80">
        <v>69</v>
      </c>
      <c r="J254" s="94"/>
      <c r="K254" s="28"/>
      <c r="L254" s="21"/>
    </row>
    <row r="255" spans="1:12" hidden="1" x14ac:dyDescent="0.25">
      <c r="A255" s="1171"/>
      <c r="B255" s="1232"/>
      <c r="C255" s="1117"/>
      <c r="D255" s="28" t="s">
        <v>263</v>
      </c>
      <c r="E255" s="94"/>
      <c r="F255" s="80">
        <v>120</v>
      </c>
      <c r="G255" s="80"/>
      <c r="H255" s="80"/>
      <c r="I255" s="80">
        <v>39</v>
      </c>
      <c r="J255" s="94"/>
      <c r="K255" s="28"/>
      <c r="L255" s="21"/>
    </row>
    <row r="256" spans="1:12" hidden="1" x14ac:dyDescent="0.25">
      <c r="A256" s="1171"/>
      <c r="B256" s="1232"/>
      <c r="C256" s="1117"/>
      <c r="D256" s="28" t="s">
        <v>357</v>
      </c>
      <c r="E256" s="94"/>
      <c r="F256" s="97">
        <f>(F255/F253)*100</f>
        <v>31.578947368421051</v>
      </c>
      <c r="G256" s="94"/>
      <c r="H256" s="94"/>
      <c r="I256" s="97">
        <f>I255/I253*100</f>
        <v>37.142857142857146</v>
      </c>
      <c r="J256" s="94"/>
      <c r="K256" s="28"/>
      <c r="L256" s="21"/>
    </row>
    <row r="257" spans="1:12" hidden="1" x14ac:dyDescent="0.25">
      <c r="A257" s="1171"/>
      <c r="B257" s="1232"/>
      <c r="C257" s="1117" t="s">
        <v>405</v>
      </c>
      <c r="D257" s="144" t="s">
        <v>251</v>
      </c>
      <c r="E257" s="94"/>
      <c r="F257" s="80">
        <v>125</v>
      </c>
      <c r="G257" s="80"/>
      <c r="H257" s="80"/>
      <c r="I257" s="80">
        <v>102</v>
      </c>
      <c r="J257" s="94"/>
      <c r="K257" s="28"/>
      <c r="L257" s="21"/>
    </row>
    <row r="258" spans="1:12" hidden="1" x14ac:dyDescent="0.25">
      <c r="A258" s="1171"/>
      <c r="B258" s="1232"/>
      <c r="C258" s="1117"/>
      <c r="D258" s="28" t="s">
        <v>257</v>
      </c>
      <c r="E258" s="94"/>
      <c r="F258" s="80">
        <v>90</v>
      </c>
      <c r="G258" s="80"/>
      <c r="H258" s="80"/>
      <c r="I258" s="80">
        <v>75</v>
      </c>
      <c r="J258" s="94"/>
      <c r="K258" s="28"/>
      <c r="L258" s="21"/>
    </row>
    <row r="259" spans="1:12" hidden="1" x14ac:dyDescent="0.25">
      <c r="A259" s="1171"/>
      <c r="B259" s="1232"/>
      <c r="C259" s="1117"/>
      <c r="D259" s="28" t="s">
        <v>263</v>
      </c>
      <c r="E259" s="94"/>
      <c r="F259" s="80">
        <v>40</v>
      </c>
      <c r="G259" s="80"/>
      <c r="H259" s="80"/>
      <c r="I259" s="80">
        <v>27</v>
      </c>
      <c r="J259" s="94"/>
      <c r="K259" s="28"/>
      <c r="L259" s="21"/>
    </row>
    <row r="260" spans="1:12" hidden="1" x14ac:dyDescent="0.25">
      <c r="A260" s="1171"/>
      <c r="B260" s="1232"/>
      <c r="C260" s="1117"/>
      <c r="D260" s="28" t="s">
        <v>357</v>
      </c>
      <c r="E260" s="94"/>
      <c r="F260" s="97">
        <f>(F259/F257)*100</f>
        <v>32</v>
      </c>
      <c r="G260" s="94"/>
      <c r="H260" s="94"/>
      <c r="I260" s="97">
        <f>I259/I257*100</f>
        <v>26.47058823529412</v>
      </c>
      <c r="J260" s="94"/>
      <c r="K260" s="28"/>
      <c r="L260" s="21"/>
    </row>
    <row r="261" spans="1:12" hidden="1" x14ac:dyDescent="0.25">
      <c r="A261" s="1171"/>
      <c r="B261" s="1232"/>
      <c r="C261" s="1117" t="s">
        <v>406</v>
      </c>
      <c r="D261" s="144" t="s">
        <v>251</v>
      </c>
      <c r="E261" s="94"/>
      <c r="F261" s="80">
        <v>210</v>
      </c>
      <c r="G261" s="80"/>
      <c r="H261" s="80"/>
      <c r="I261" s="80">
        <v>195</v>
      </c>
      <c r="J261" s="94"/>
      <c r="K261" s="28"/>
      <c r="L261" s="21"/>
    </row>
    <row r="262" spans="1:12" hidden="1" x14ac:dyDescent="0.25">
      <c r="A262" s="1171"/>
      <c r="B262" s="1232"/>
      <c r="C262" s="1117"/>
      <c r="D262" s="28" t="s">
        <v>257</v>
      </c>
      <c r="E262" s="94"/>
      <c r="F262" s="80">
        <v>100</v>
      </c>
      <c r="G262" s="80"/>
      <c r="H262" s="80"/>
      <c r="I262" s="80">
        <v>129</v>
      </c>
      <c r="J262" s="94"/>
      <c r="K262" s="28"/>
      <c r="L262" s="21"/>
    </row>
    <row r="263" spans="1:12" hidden="1" x14ac:dyDescent="0.25">
      <c r="A263" s="1171"/>
      <c r="B263" s="1232"/>
      <c r="C263" s="1117"/>
      <c r="D263" s="28" t="s">
        <v>263</v>
      </c>
      <c r="E263" s="94"/>
      <c r="F263" s="80">
        <v>115</v>
      </c>
      <c r="G263" s="80"/>
      <c r="H263" s="80"/>
      <c r="I263" s="80">
        <v>66</v>
      </c>
      <c r="J263" s="94"/>
      <c r="K263" s="28"/>
      <c r="L263" s="21"/>
    </row>
    <row r="264" spans="1:12" hidden="1" x14ac:dyDescent="0.25">
      <c r="A264" s="1171"/>
      <c r="B264" s="1232"/>
      <c r="C264" s="1117"/>
      <c r="D264" s="28" t="s">
        <v>357</v>
      </c>
      <c r="E264" s="94"/>
      <c r="F264" s="98">
        <f>(F263/F261)*100</f>
        <v>54.761904761904766</v>
      </c>
      <c r="G264" s="94"/>
      <c r="H264" s="94"/>
      <c r="I264" s="97">
        <f>I263/I261*100</f>
        <v>33.846153846153847</v>
      </c>
      <c r="J264" s="94"/>
      <c r="K264" s="28"/>
      <c r="L264" s="21"/>
    </row>
    <row r="265" spans="1:12" hidden="1" x14ac:dyDescent="0.25">
      <c r="A265" s="1171"/>
      <c r="B265" s="1232"/>
      <c r="C265" s="1117" t="s">
        <v>407</v>
      </c>
      <c r="D265" s="144" t="s">
        <v>251</v>
      </c>
      <c r="E265" s="94"/>
      <c r="F265" s="80">
        <v>490</v>
      </c>
      <c r="G265" s="80"/>
      <c r="H265" s="80"/>
      <c r="I265" s="80">
        <v>93</v>
      </c>
      <c r="J265" s="94"/>
      <c r="K265" s="28"/>
      <c r="L265" s="21"/>
    </row>
    <row r="266" spans="1:12" hidden="1" x14ac:dyDescent="0.25">
      <c r="A266" s="1171"/>
      <c r="B266" s="1232"/>
      <c r="C266" s="1117"/>
      <c r="D266" s="28" t="s">
        <v>257</v>
      </c>
      <c r="E266" s="94"/>
      <c r="F266" s="80">
        <v>345</v>
      </c>
      <c r="G266" s="80"/>
      <c r="H266" s="80"/>
      <c r="I266" s="80">
        <v>69</v>
      </c>
      <c r="J266" s="94"/>
      <c r="K266" s="28"/>
      <c r="L266" s="21"/>
    </row>
    <row r="267" spans="1:12" hidden="1" x14ac:dyDescent="0.25">
      <c r="A267" s="1171"/>
      <c r="B267" s="1232"/>
      <c r="C267" s="1117"/>
      <c r="D267" s="28" t="s">
        <v>263</v>
      </c>
      <c r="E267" s="94"/>
      <c r="F267" s="80">
        <v>145</v>
      </c>
      <c r="G267" s="80"/>
      <c r="H267" s="80"/>
      <c r="I267" s="80">
        <v>24</v>
      </c>
      <c r="J267" s="94"/>
      <c r="K267" s="28"/>
      <c r="L267" s="21"/>
    </row>
    <row r="268" spans="1:12" hidden="1" x14ac:dyDescent="0.25">
      <c r="A268" s="1171"/>
      <c r="B268" s="1232"/>
      <c r="C268" s="1117"/>
      <c r="D268" s="28" t="s">
        <v>357</v>
      </c>
      <c r="E268" s="94"/>
      <c r="F268" s="97">
        <f>(F267/F265)*100</f>
        <v>29.591836734693878</v>
      </c>
      <c r="G268" s="94"/>
      <c r="H268" s="94"/>
      <c r="I268" s="97">
        <f>I267/I265*100</f>
        <v>25.806451612903224</v>
      </c>
      <c r="J268" s="94"/>
      <c r="K268" s="28"/>
      <c r="L268" s="21"/>
    </row>
    <row r="269" spans="1:12" hidden="1" x14ac:dyDescent="0.25">
      <c r="A269" s="1171"/>
      <c r="B269" s="1232"/>
      <c r="C269" s="1117" t="s">
        <v>408</v>
      </c>
      <c r="D269" s="144" t="s">
        <v>251</v>
      </c>
      <c r="E269" s="94"/>
      <c r="F269" s="80">
        <v>35</v>
      </c>
      <c r="G269" s="80"/>
      <c r="H269" s="80"/>
      <c r="I269" s="80">
        <v>54</v>
      </c>
      <c r="J269" s="94"/>
      <c r="K269" s="28"/>
      <c r="L269" s="21"/>
    </row>
    <row r="270" spans="1:12" hidden="1" x14ac:dyDescent="0.25">
      <c r="A270" s="1171"/>
      <c r="B270" s="1232"/>
      <c r="C270" s="1117"/>
      <c r="D270" s="28" t="s">
        <v>257</v>
      </c>
      <c r="E270" s="94"/>
      <c r="F270" s="80">
        <v>35</v>
      </c>
      <c r="G270" s="80"/>
      <c r="H270" s="80"/>
      <c r="I270" s="80">
        <v>42</v>
      </c>
      <c r="J270" s="94"/>
      <c r="K270" s="28"/>
      <c r="L270" s="21"/>
    </row>
    <row r="271" spans="1:12" hidden="1" x14ac:dyDescent="0.25">
      <c r="A271" s="1171"/>
      <c r="B271" s="1232"/>
      <c r="C271" s="1117"/>
      <c r="D271" s="28" t="s">
        <v>263</v>
      </c>
      <c r="E271" s="94"/>
      <c r="F271" s="80">
        <v>0</v>
      </c>
      <c r="G271" s="80"/>
      <c r="H271" s="80"/>
      <c r="I271" s="80">
        <v>9</v>
      </c>
      <c r="J271" s="94"/>
      <c r="K271" s="28"/>
      <c r="L271" s="21"/>
    </row>
    <row r="272" spans="1:12" hidden="1" x14ac:dyDescent="0.25">
      <c r="A272" s="1171"/>
      <c r="B272" s="1232"/>
      <c r="C272" s="1117"/>
      <c r="D272" s="28" t="s">
        <v>357</v>
      </c>
      <c r="E272" s="94"/>
      <c r="F272" s="97">
        <f>(F271/F269)*100</f>
        <v>0</v>
      </c>
      <c r="G272" s="94"/>
      <c r="H272" s="94"/>
      <c r="I272" s="97">
        <f>I271/I269*100</f>
        <v>16.666666666666664</v>
      </c>
      <c r="J272" s="94"/>
      <c r="K272" s="28"/>
      <c r="L272" s="21"/>
    </row>
    <row r="273" spans="1:12" ht="14.85" hidden="1" customHeight="1" x14ac:dyDescent="0.25">
      <c r="A273" s="1171"/>
      <c r="B273" s="1232"/>
      <c r="C273" s="1117" t="s">
        <v>409</v>
      </c>
      <c r="D273" s="144" t="s">
        <v>251</v>
      </c>
      <c r="E273" s="94"/>
      <c r="F273" s="80">
        <v>150</v>
      </c>
      <c r="G273" s="80"/>
      <c r="H273" s="80"/>
      <c r="I273" s="80">
        <v>63</v>
      </c>
      <c r="J273" s="94"/>
      <c r="K273" s="28"/>
      <c r="L273" s="21"/>
    </row>
    <row r="274" spans="1:12" ht="14.85" hidden="1" customHeight="1" x14ac:dyDescent="0.25">
      <c r="A274" s="1171"/>
      <c r="B274" s="1232"/>
      <c r="C274" s="1117"/>
      <c r="D274" s="28" t="s">
        <v>257</v>
      </c>
      <c r="E274" s="94"/>
      <c r="F274" s="80">
        <v>95</v>
      </c>
      <c r="G274" s="80"/>
      <c r="H274" s="80"/>
      <c r="I274" s="80">
        <v>54</v>
      </c>
      <c r="J274" s="94"/>
      <c r="K274" s="28"/>
      <c r="L274" s="21"/>
    </row>
    <row r="275" spans="1:12" hidden="1" x14ac:dyDescent="0.25">
      <c r="A275" s="1171"/>
      <c r="B275" s="1232"/>
      <c r="C275" s="1117"/>
      <c r="D275" s="28" t="s">
        <v>263</v>
      </c>
      <c r="E275" s="94"/>
      <c r="F275" s="80">
        <v>55</v>
      </c>
      <c r="G275" s="80"/>
      <c r="H275" s="80"/>
      <c r="I275" s="80">
        <v>9</v>
      </c>
      <c r="J275" s="94"/>
      <c r="K275" s="28"/>
      <c r="L275" s="21"/>
    </row>
    <row r="276" spans="1:12" hidden="1" x14ac:dyDescent="0.25">
      <c r="A276" s="1171"/>
      <c r="B276" s="1232"/>
      <c r="C276" s="1117"/>
      <c r="D276" s="28" t="s">
        <v>357</v>
      </c>
      <c r="E276" s="94"/>
      <c r="F276" s="97">
        <f>(F275/F273)*100</f>
        <v>36.666666666666664</v>
      </c>
      <c r="G276" s="94"/>
      <c r="H276" s="94"/>
      <c r="I276" s="97">
        <f>I275/I273*100</f>
        <v>14.285714285714285</v>
      </c>
      <c r="J276" s="94"/>
      <c r="K276" s="28"/>
      <c r="L276" s="21"/>
    </row>
    <row r="277" spans="1:12" hidden="1" x14ac:dyDescent="0.25">
      <c r="A277" s="1171"/>
      <c r="B277" s="1232"/>
      <c r="C277" s="1117" t="s">
        <v>410</v>
      </c>
      <c r="D277" s="144" t="s">
        <v>251</v>
      </c>
      <c r="E277" s="94"/>
      <c r="F277" s="80">
        <v>1485</v>
      </c>
      <c r="G277" s="80"/>
      <c r="H277" s="80"/>
      <c r="I277" s="80">
        <v>789</v>
      </c>
      <c r="J277" s="94"/>
      <c r="K277" s="28"/>
      <c r="L277" s="21"/>
    </row>
    <row r="278" spans="1:12" hidden="1" x14ac:dyDescent="0.25">
      <c r="A278" s="1171"/>
      <c r="B278" s="1232"/>
      <c r="C278" s="1117"/>
      <c r="D278" s="28" t="s">
        <v>257</v>
      </c>
      <c r="E278" s="94"/>
      <c r="F278" s="80">
        <v>1020</v>
      </c>
      <c r="G278" s="80"/>
      <c r="H278" s="80"/>
      <c r="I278" s="80">
        <v>717</v>
      </c>
      <c r="J278" s="94"/>
      <c r="K278" s="28"/>
      <c r="L278" s="21"/>
    </row>
    <row r="279" spans="1:12" hidden="1" x14ac:dyDescent="0.25">
      <c r="A279" s="1171"/>
      <c r="B279" s="1232"/>
      <c r="C279" s="1117"/>
      <c r="D279" s="28" t="s">
        <v>263</v>
      </c>
      <c r="E279" s="94"/>
      <c r="F279" s="80">
        <v>465</v>
      </c>
      <c r="G279" s="80"/>
      <c r="H279" s="80"/>
      <c r="I279" s="80">
        <v>75</v>
      </c>
      <c r="J279" s="94"/>
      <c r="K279" s="28"/>
      <c r="L279" s="21"/>
    </row>
    <row r="280" spans="1:12" hidden="1" x14ac:dyDescent="0.25">
      <c r="A280" s="1171"/>
      <c r="B280" s="1232"/>
      <c r="C280" s="1117"/>
      <c r="D280" s="28" t="s">
        <v>357</v>
      </c>
      <c r="E280" s="94"/>
      <c r="F280" s="97">
        <f>(F279/F277)*100</f>
        <v>31.313131313131315</v>
      </c>
      <c r="G280" s="94"/>
      <c r="H280" s="94"/>
      <c r="I280" s="97">
        <f>I279/I277*100</f>
        <v>9.5057034220532319</v>
      </c>
      <c r="J280" s="94"/>
      <c r="K280" s="28"/>
      <c r="L280" s="21"/>
    </row>
    <row r="281" spans="1:12" hidden="1" x14ac:dyDescent="0.25">
      <c r="A281" s="1171"/>
      <c r="B281" s="1232"/>
      <c r="C281" s="1117" t="s">
        <v>411</v>
      </c>
      <c r="D281" s="144" t="s">
        <v>251</v>
      </c>
      <c r="E281" s="94"/>
      <c r="F281" s="80">
        <v>2010</v>
      </c>
      <c r="G281" s="80"/>
      <c r="H281" s="80"/>
      <c r="I281" s="80">
        <v>1377</v>
      </c>
      <c r="J281" s="94"/>
      <c r="K281" s="28"/>
      <c r="L281" s="21"/>
    </row>
    <row r="282" spans="1:12" hidden="1" x14ac:dyDescent="0.25">
      <c r="A282" s="1171"/>
      <c r="B282" s="1232"/>
      <c r="C282" s="1117"/>
      <c r="D282" s="28" t="s">
        <v>257</v>
      </c>
      <c r="E282" s="94"/>
      <c r="F282" s="80">
        <v>130</v>
      </c>
      <c r="G282" s="80"/>
      <c r="H282" s="80"/>
      <c r="I282" s="80">
        <v>132</v>
      </c>
      <c r="J282" s="94"/>
      <c r="K282" s="28"/>
      <c r="L282" s="21"/>
    </row>
    <row r="283" spans="1:12" hidden="1" x14ac:dyDescent="0.25">
      <c r="A283" s="1171"/>
      <c r="B283" s="1232"/>
      <c r="C283" s="1117"/>
      <c r="D283" s="28" t="s">
        <v>263</v>
      </c>
      <c r="E283" s="94"/>
      <c r="F283" s="80">
        <v>1875</v>
      </c>
      <c r="G283" s="80"/>
      <c r="H283" s="80"/>
      <c r="I283" s="80">
        <v>1245</v>
      </c>
      <c r="J283" s="94"/>
      <c r="K283" s="28"/>
      <c r="L283" s="21"/>
    </row>
    <row r="284" spans="1:12" hidden="1" x14ac:dyDescent="0.25">
      <c r="A284" s="1171"/>
      <c r="B284" s="1232"/>
      <c r="C284" s="1117"/>
      <c r="D284" s="28" t="s">
        <v>357</v>
      </c>
      <c r="E284" s="94"/>
      <c r="F284" s="99">
        <f>(F283/F281)*100</f>
        <v>93.28358208955224</v>
      </c>
      <c r="G284" s="94"/>
      <c r="H284" s="94"/>
      <c r="I284" s="99">
        <f>I283/I281*100</f>
        <v>90.413943355119827</v>
      </c>
      <c r="J284" s="94"/>
      <c r="K284" s="28"/>
      <c r="L284" s="21"/>
    </row>
    <row r="285" spans="1:12" hidden="1" x14ac:dyDescent="0.25">
      <c r="A285" s="1171"/>
      <c r="B285" s="1232"/>
      <c r="C285" s="1117" t="s">
        <v>412</v>
      </c>
      <c r="D285" s="144" t="s">
        <v>251</v>
      </c>
      <c r="E285" s="94"/>
      <c r="F285" s="80">
        <v>1660</v>
      </c>
      <c r="G285" s="80"/>
      <c r="H285" s="80"/>
      <c r="I285" s="80">
        <v>1374</v>
      </c>
      <c r="J285" s="94"/>
      <c r="K285" s="28"/>
      <c r="L285" s="21"/>
    </row>
    <row r="286" spans="1:12" hidden="1" x14ac:dyDescent="0.25">
      <c r="A286" s="1171"/>
      <c r="B286" s="1232"/>
      <c r="C286" s="1117"/>
      <c r="D286" s="28" t="s">
        <v>257</v>
      </c>
      <c r="E286" s="94"/>
      <c r="F286" s="80">
        <v>330</v>
      </c>
      <c r="G286" s="80"/>
      <c r="H286" s="80"/>
      <c r="I286" s="80">
        <v>459</v>
      </c>
      <c r="J286" s="94"/>
      <c r="K286" s="28"/>
      <c r="L286" s="21"/>
    </row>
    <row r="287" spans="1:12" hidden="1" x14ac:dyDescent="0.25">
      <c r="A287" s="1171"/>
      <c r="B287" s="1232"/>
      <c r="C287" s="1117"/>
      <c r="D287" s="28" t="s">
        <v>263</v>
      </c>
      <c r="E287" s="94"/>
      <c r="F287" s="80">
        <v>1330</v>
      </c>
      <c r="G287" s="80"/>
      <c r="H287" s="80"/>
      <c r="I287" s="80">
        <v>915</v>
      </c>
      <c r="J287" s="94"/>
      <c r="K287" s="28"/>
      <c r="L287" s="21"/>
    </row>
    <row r="288" spans="1:12" hidden="1" x14ac:dyDescent="0.25">
      <c r="A288" s="1171"/>
      <c r="B288" s="1232"/>
      <c r="C288" s="1117"/>
      <c r="D288" s="28" t="s">
        <v>357</v>
      </c>
      <c r="E288" s="94"/>
      <c r="F288" s="99">
        <f>(F287/F285)*100</f>
        <v>80.120481927710841</v>
      </c>
      <c r="G288" s="94"/>
      <c r="H288" s="94"/>
      <c r="I288" s="99">
        <f>I287/I285*100</f>
        <v>66.593886462882097</v>
      </c>
      <c r="J288" s="94"/>
      <c r="K288" s="28"/>
      <c r="L288" s="21"/>
    </row>
    <row r="289" spans="1:12" hidden="1" x14ac:dyDescent="0.25">
      <c r="A289" s="1171"/>
      <c r="B289" s="1232"/>
      <c r="C289" s="1117" t="s">
        <v>413</v>
      </c>
      <c r="D289" s="144" t="s">
        <v>251</v>
      </c>
      <c r="E289" s="94"/>
      <c r="F289" s="80">
        <v>775</v>
      </c>
      <c r="G289" s="80"/>
      <c r="H289" s="80"/>
      <c r="I289" s="80">
        <v>429</v>
      </c>
      <c r="J289" s="94"/>
      <c r="K289" s="28"/>
      <c r="L289" s="21"/>
    </row>
    <row r="290" spans="1:12" ht="14.85" hidden="1" customHeight="1" x14ac:dyDescent="0.25">
      <c r="A290" s="1171"/>
      <c r="B290" s="1232"/>
      <c r="C290" s="1117"/>
      <c r="D290" s="28" t="s">
        <v>257</v>
      </c>
      <c r="E290" s="94"/>
      <c r="F290" s="80">
        <v>490</v>
      </c>
      <c r="G290" s="80"/>
      <c r="H290" s="80"/>
      <c r="I290" s="80">
        <v>303</v>
      </c>
      <c r="J290" s="94"/>
      <c r="K290" s="28"/>
      <c r="L290" s="21"/>
    </row>
    <row r="291" spans="1:12" hidden="1" x14ac:dyDescent="0.25">
      <c r="A291" s="1171"/>
      <c r="B291" s="1232"/>
      <c r="C291" s="1117"/>
      <c r="D291" s="28" t="s">
        <v>263</v>
      </c>
      <c r="E291" s="94"/>
      <c r="F291" s="80">
        <v>285</v>
      </c>
      <c r="G291" s="80"/>
      <c r="H291" s="80"/>
      <c r="I291" s="80">
        <v>126</v>
      </c>
      <c r="J291" s="94"/>
      <c r="K291" s="28"/>
      <c r="L291" s="21"/>
    </row>
    <row r="292" spans="1:12" hidden="1" x14ac:dyDescent="0.25">
      <c r="A292" s="1171"/>
      <c r="B292" s="1232"/>
      <c r="C292" s="1117"/>
      <c r="D292" s="28" t="s">
        <v>357</v>
      </c>
      <c r="E292" s="94"/>
      <c r="F292" s="97">
        <f>(F291/F289)*100</f>
        <v>36.774193548387096</v>
      </c>
      <c r="G292" s="94"/>
      <c r="H292" s="94"/>
      <c r="I292" s="97">
        <f>I291/I289*100</f>
        <v>29.37062937062937</v>
      </c>
      <c r="J292" s="94"/>
      <c r="K292" s="28"/>
      <c r="L292" s="21"/>
    </row>
    <row r="293" spans="1:12" ht="14.85" hidden="1" customHeight="1" x14ac:dyDescent="0.25">
      <c r="A293" s="1171"/>
      <c r="B293" s="1232"/>
      <c r="C293" s="1117" t="s">
        <v>414</v>
      </c>
      <c r="D293" s="144" t="s">
        <v>251</v>
      </c>
      <c r="E293" s="94"/>
      <c r="F293" s="80">
        <v>440</v>
      </c>
      <c r="G293" s="80"/>
      <c r="H293" s="80"/>
      <c r="I293" s="80">
        <v>492</v>
      </c>
      <c r="J293" s="94"/>
      <c r="K293" s="28"/>
      <c r="L293" s="21"/>
    </row>
    <row r="294" spans="1:12" ht="14.85" hidden="1" customHeight="1" x14ac:dyDescent="0.25">
      <c r="A294" s="1171"/>
      <c r="B294" s="1232"/>
      <c r="C294" s="1117"/>
      <c r="D294" s="28" t="s">
        <v>257</v>
      </c>
      <c r="E294" s="94"/>
      <c r="F294" s="80">
        <v>235</v>
      </c>
      <c r="G294" s="80"/>
      <c r="H294" s="80"/>
      <c r="I294" s="80">
        <v>366</v>
      </c>
      <c r="J294" s="94"/>
      <c r="K294" s="28"/>
      <c r="L294" s="21"/>
    </row>
    <row r="295" spans="1:12" hidden="1" x14ac:dyDescent="0.25">
      <c r="A295" s="1171"/>
      <c r="B295" s="1232"/>
      <c r="C295" s="1117"/>
      <c r="D295" s="28" t="s">
        <v>263</v>
      </c>
      <c r="E295" s="94"/>
      <c r="F295" s="80">
        <v>205</v>
      </c>
      <c r="G295" s="80"/>
      <c r="H295" s="80"/>
      <c r="I295" s="80">
        <v>126</v>
      </c>
      <c r="J295" s="94"/>
      <c r="K295" s="28"/>
      <c r="L295" s="21"/>
    </row>
    <row r="296" spans="1:12" hidden="1" x14ac:dyDescent="0.25">
      <c r="A296" s="1171"/>
      <c r="B296" s="1232"/>
      <c r="C296" s="1117"/>
      <c r="D296" s="28" t="s">
        <v>357</v>
      </c>
      <c r="E296" s="94"/>
      <c r="F296" s="98">
        <f>(F295/F293)*100</f>
        <v>46.590909090909086</v>
      </c>
      <c r="G296" s="94"/>
      <c r="H296" s="94"/>
      <c r="I296" s="97">
        <f>I295/I293*100</f>
        <v>25.609756097560975</v>
      </c>
      <c r="J296" s="94"/>
      <c r="K296" s="28"/>
      <c r="L296" s="21"/>
    </row>
    <row r="297" spans="1:12" hidden="1" x14ac:dyDescent="0.25">
      <c r="A297" s="1171"/>
      <c r="B297" s="1232"/>
      <c r="C297" s="1117" t="s">
        <v>415</v>
      </c>
      <c r="D297" s="144" t="s">
        <v>251</v>
      </c>
      <c r="E297" s="94"/>
      <c r="F297" s="80">
        <v>60</v>
      </c>
      <c r="G297" s="80"/>
      <c r="H297" s="80"/>
      <c r="I297" s="80">
        <v>138</v>
      </c>
      <c r="J297" s="94"/>
      <c r="K297" s="28"/>
      <c r="L297" s="21"/>
    </row>
    <row r="298" spans="1:12" hidden="1" x14ac:dyDescent="0.25">
      <c r="A298" s="1171"/>
      <c r="B298" s="1232"/>
      <c r="C298" s="1117"/>
      <c r="D298" s="28" t="s">
        <v>257</v>
      </c>
      <c r="E298" s="94"/>
      <c r="F298" s="80">
        <v>15</v>
      </c>
      <c r="G298" s="80"/>
      <c r="H298" s="80"/>
      <c r="I298" s="80">
        <v>120</v>
      </c>
      <c r="J298" s="94"/>
      <c r="K298" s="28"/>
      <c r="L298" s="21"/>
    </row>
    <row r="299" spans="1:12" hidden="1" x14ac:dyDescent="0.25">
      <c r="A299" s="1171"/>
      <c r="B299" s="1232"/>
      <c r="C299" s="1117"/>
      <c r="D299" s="28" t="s">
        <v>263</v>
      </c>
      <c r="E299" s="94"/>
      <c r="F299" s="80">
        <v>45</v>
      </c>
      <c r="G299" s="80"/>
      <c r="H299" s="80"/>
      <c r="I299" s="80">
        <v>18</v>
      </c>
      <c r="J299" s="94"/>
      <c r="K299" s="28"/>
      <c r="L299" s="21"/>
    </row>
    <row r="300" spans="1:12" hidden="1" x14ac:dyDescent="0.25">
      <c r="A300" s="1171"/>
      <c r="B300" s="1232"/>
      <c r="C300" s="1117"/>
      <c r="D300" s="28" t="s">
        <v>357</v>
      </c>
      <c r="E300" s="94"/>
      <c r="F300" s="99">
        <f>(F299/F297)*100</f>
        <v>75</v>
      </c>
      <c r="G300" s="94"/>
      <c r="H300" s="94"/>
      <c r="I300" s="97">
        <f>I299/I297*100</f>
        <v>13.043478260869565</v>
      </c>
      <c r="J300" s="94"/>
      <c r="K300" s="28"/>
      <c r="L300" s="21"/>
    </row>
    <row r="301" spans="1:12" hidden="1" x14ac:dyDescent="0.25">
      <c r="A301" s="1171"/>
      <c r="B301" s="1232"/>
      <c r="C301" s="1117" t="s">
        <v>416</v>
      </c>
      <c r="D301" s="144" t="s">
        <v>251</v>
      </c>
      <c r="E301" s="94"/>
      <c r="F301" s="80">
        <v>195</v>
      </c>
      <c r="G301" s="80"/>
      <c r="H301" s="80"/>
      <c r="I301" s="80">
        <v>60</v>
      </c>
      <c r="J301" s="94"/>
      <c r="K301" s="28"/>
      <c r="L301" s="21"/>
    </row>
    <row r="302" spans="1:12" hidden="1" x14ac:dyDescent="0.25">
      <c r="A302" s="1171"/>
      <c r="B302" s="1232"/>
      <c r="C302" s="1117"/>
      <c r="D302" s="28" t="s">
        <v>257</v>
      </c>
      <c r="E302" s="94"/>
      <c r="F302" s="80">
        <v>185</v>
      </c>
      <c r="G302" s="80"/>
      <c r="H302" s="80"/>
      <c r="I302" s="80">
        <v>57</v>
      </c>
      <c r="J302" s="94"/>
      <c r="K302" s="28"/>
      <c r="L302" s="21"/>
    </row>
    <row r="303" spans="1:12" hidden="1" x14ac:dyDescent="0.25">
      <c r="A303" s="1171"/>
      <c r="B303" s="1232"/>
      <c r="C303" s="1117"/>
      <c r="D303" s="28" t="s">
        <v>263</v>
      </c>
      <c r="E303" s="94"/>
      <c r="F303" s="80">
        <v>10</v>
      </c>
      <c r="G303" s="80"/>
      <c r="H303" s="80"/>
      <c r="I303" s="80">
        <v>6</v>
      </c>
      <c r="J303" s="94"/>
      <c r="K303" s="28"/>
      <c r="L303" s="21"/>
    </row>
    <row r="304" spans="1:12" hidden="1" x14ac:dyDescent="0.25">
      <c r="A304" s="1171"/>
      <c r="B304" s="1232"/>
      <c r="C304" s="1117"/>
      <c r="D304" s="28" t="s">
        <v>357</v>
      </c>
      <c r="E304" s="94"/>
      <c r="F304" s="97">
        <f>(F303/F301)*100</f>
        <v>5.1282051282051277</v>
      </c>
      <c r="G304" s="94"/>
      <c r="H304" s="94"/>
      <c r="I304" s="97">
        <f>I303/I301*100</f>
        <v>10</v>
      </c>
      <c r="J304" s="94"/>
      <c r="K304" s="28"/>
      <c r="L304" s="21"/>
    </row>
    <row r="305" spans="1:16" hidden="1" x14ac:dyDescent="0.25">
      <c r="A305" s="1171"/>
      <c r="B305" s="1232"/>
      <c r="C305" s="1117" t="s">
        <v>417</v>
      </c>
      <c r="D305" s="144" t="s">
        <v>251</v>
      </c>
      <c r="E305" s="94"/>
      <c r="F305" s="80">
        <v>170</v>
      </c>
      <c r="G305" s="80"/>
      <c r="H305" s="80"/>
      <c r="I305" s="80">
        <v>204</v>
      </c>
      <c r="J305" s="94"/>
      <c r="K305" s="28"/>
      <c r="L305" s="21"/>
    </row>
    <row r="306" spans="1:16" hidden="1" x14ac:dyDescent="0.25">
      <c r="A306" s="1171"/>
      <c r="B306" s="1232"/>
      <c r="C306" s="1117"/>
      <c r="D306" s="28" t="s">
        <v>257</v>
      </c>
      <c r="E306" s="94"/>
      <c r="F306" s="80">
        <v>130</v>
      </c>
      <c r="G306" s="80"/>
      <c r="H306" s="80"/>
      <c r="I306" s="80">
        <v>132</v>
      </c>
      <c r="J306" s="94"/>
      <c r="K306" s="28"/>
      <c r="L306" s="21"/>
    </row>
    <row r="307" spans="1:16" hidden="1" x14ac:dyDescent="0.25">
      <c r="A307" s="1171"/>
      <c r="B307" s="1232"/>
      <c r="C307" s="1117"/>
      <c r="D307" s="28" t="s">
        <v>263</v>
      </c>
      <c r="E307" s="94"/>
      <c r="F307" s="80">
        <v>40</v>
      </c>
      <c r="G307" s="80"/>
      <c r="H307" s="80"/>
      <c r="I307" s="80">
        <v>72</v>
      </c>
      <c r="J307" s="94"/>
      <c r="K307" s="28"/>
      <c r="L307" s="21"/>
    </row>
    <row r="308" spans="1:16" hidden="1" x14ac:dyDescent="0.25">
      <c r="A308" s="1171"/>
      <c r="B308" s="1232"/>
      <c r="C308" s="1117"/>
      <c r="D308" s="28" t="s">
        <v>357</v>
      </c>
      <c r="E308" s="94"/>
      <c r="F308" s="97">
        <f>(F307/F305)*100</f>
        <v>23.52941176470588</v>
      </c>
      <c r="G308" s="94"/>
      <c r="H308" s="94"/>
      <c r="I308" s="97">
        <f>I307/I305*100</f>
        <v>35.294117647058826</v>
      </c>
      <c r="J308" s="94"/>
      <c r="K308" s="28"/>
      <c r="L308" s="21"/>
    </row>
    <row r="309" spans="1:16" hidden="1" x14ac:dyDescent="0.25">
      <c r="A309" s="1171"/>
      <c r="B309" s="1232"/>
      <c r="C309" s="1117" t="s">
        <v>418</v>
      </c>
      <c r="D309" s="144" t="s">
        <v>251</v>
      </c>
      <c r="E309" s="94"/>
      <c r="F309" s="80">
        <v>340</v>
      </c>
      <c r="G309" s="80"/>
      <c r="H309" s="80"/>
      <c r="I309" s="80">
        <v>459</v>
      </c>
      <c r="J309" s="94"/>
      <c r="K309" s="28"/>
      <c r="L309" s="21"/>
    </row>
    <row r="310" spans="1:16" hidden="1" x14ac:dyDescent="0.25">
      <c r="A310" s="1171"/>
      <c r="B310" s="1232"/>
      <c r="C310" s="1117"/>
      <c r="D310" s="28" t="s">
        <v>263</v>
      </c>
      <c r="E310" s="94"/>
      <c r="F310" s="80">
        <v>280</v>
      </c>
      <c r="G310" s="80"/>
      <c r="H310" s="80"/>
      <c r="I310" s="80">
        <v>378</v>
      </c>
      <c r="J310" s="94"/>
      <c r="K310" s="28"/>
      <c r="L310" s="21"/>
    </row>
    <row r="311" spans="1:16" ht="14.85" hidden="1" customHeight="1" x14ac:dyDescent="0.25">
      <c r="A311" s="1171"/>
      <c r="B311" s="1232"/>
      <c r="C311" s="1117"/>
      <c r="D311" s="28" t="s">
        <v>257</v>
      </c>
      <c r="E311" s="94"/>
      <c r="F311" s="80">
        <v>60</v>
      </c>
      <c r="G311" s="80"/>
      <c r="H311" s="80"/>
      <c r="I311" s="80">
        <v>81</v>
      </c>
      <c r="J311" s="94"/>
      <c r="K311" s="28"/>
      <c r="L311" s="21"/>
    </row>
    <row r="312" spans="1:16" hidden="1" x14ac:dyDescent="0.25">
      <c r="A312" s="1171"/>
      <c r="B312" s="1232"/>
      <c r="C312" s="1117"/>
      <c r="D312" s="28" t="s">
        <v>357</v>
      </c>
      <c r="E312" s="94"/>
      <c r="F312" s="97">
        <f>(F311/F309)*100</f>
        <v>17.647058823529413</v>
      </c>
      <c r="G312" s="94"/>
      <c r="H312" s="94"/>
      <c r="I312" s="97">
        <f>I311/I309*100</f>
        <v>17.647058823529413</v>
      </c>
      <c r="J312" s="94"/>
      <c r="K312" s="28"/>
      <c r="L312" s="21"/>
    </row>
    <row r="313" spans="1:16" x14ac:dyDescent="0.25">
      <c r="A313" s="1171"/>
      <c r="B313" s="1232"/>
      <c r="C313" s="1174" t="s">
        <v>419</v>
      </c>
      <c r="D313" s="1110"/>
      <c r="E313" s="94"/>
      <c r="F313" s="100">
        <f>34/61*100</f>
        <v>55.737704918032783</v>
      </c>
      <c r="G313" s="92"/>
      <c r="H313" s="92"/>
      <c r="I313" s="101">
        <f>34/61*100</f>
        <v>55.737704918032783</v>
      </c>
      <c r="J313" s="94"/>
      <c r="K313" s="28"/>
      <c r="L313" s="21"/>
    </row>
    <row r="314" spans="1:16" x14ac:dyDescent="0.25">
      <c r="A314" s="1171"/>
      <c r="B314" s="1232"/>
      <c r="C314" s="1174" t="s">
        <v>420</v>
      </c>
      <c r="D314" s="1110"/>
      <c r="E314" s="94"/>
      <c r="F314" s="102">
        <f>11/61*100</f>
        <v>18.032786885245901</v>
      </c>
      <c r="G314" s="92"/>
      <c r="H314" s="92"/>
      <c r="I314" s="102">
        <f>9/61*100</f>
        <v>14.754098360655737</v>
      </c>
      <c r="J314" s="94"/>
      <c r="K314" s="28"/>
      <c r="L314" s="21"/>
    </row>
    <row r="315" spans="1:16" ht="16.5" thickBot="1" x14ac:dyDescent="0.3">
      <c r="A315" s="1171"/>
      <c r="B315" s="1233"/>
      <c r="C315" s="1175" t="s">
        <v>421</v>
      </c>
      <c r="D315" s="1157"/>
      <c r="E315" s="126"/>
      <c r="F315" s="127">
        <f>16/61*100</f>
        <v>26.229508196721312</v>
      </c>
      <c r="G315" s="128"/>
      <c r="H315" s="128"/>
      <c r="I315" s="127">
        <f>18/61*100</f>
        <v>29.508196721311474</v>
      </c>
      <c r="J315" s="126"/>
      <c r="K315" s="110"/>
      <c r="L315" s="53"/>
    </row>
    <row r="316" spans="1:16" ht="16.5" thickBot="1" x14ac:dyDescent="0.3">
      <c r="A316" s="151" t="s">
        <v>248</v>
      </c>
      <c r="B316" s="694" t="s">
        <v>249</v>
      </c>
      <c r="C316" s="1176"/>
      <c r="D316" s="1176"/>
      <c r="E316" s="695">
        <v>2005</v>
      </c>
      <c r="F316" s="695">
        <v>2010</v>
      </c>
      <c r="G316" s="695">
        <v>2015</v>
      </c>
      <c r="H316" s="695">
        <v>2020</v>
      </c>
      <c r="I316" s="695">
        <v>2021</v>
      </c>
      <c r="J316" s="695">
        <v>2022</v>
      </c>
      <c r="K316" s="695">
        <v>2023</v>
      </c>
      <c r="L316" s="696">
        <v>2024</v>
      </c>
    </row>
    <row r="317" spans="1:16" ht="15" customHeight="1" x14ac:dyDescent="0.25">
      <c r="A317" s="1270" t="s">
        <v>422</v>
      </c>
      <c r="B317" s="1130" t="s">
        <v>423</v>
      </c>
      <c r="C317" s="1133" t="s">
        <v>424</v>
      </c>
      <c r="D317" s="1134"/>
      <c r="E317" s="691"/>
      <c r="F317" s="692">
        <v>862.31</v>
      </c>
      <c r="G317" s="692">
        <v>977.65</v>
      </c>
      <c r="H317" s="692">
        <v>1130</v>
      </c>
      <c r="I317" s="692">
        <v>1168</v>
      </c>
      <c r="J317" s="692">
        <v>1198</v>
      </c>
      <c r="K317" s="693">
        <v>1317</v>
      </c>
      <c r="L317" s="422">
        <v>1335</v>
      </c>
    </row>
    <row r="318" spans="1:16" x14ac:dyDescent="0.25">
      <c r="A318" s="1270"/>
      <c r="B318" s="1131"/>
      <c r="C318" s="1135" t="s">
        <v>425</v>
      </c>
      <c r="D318" s="1136"/>
      <c r="E318" s="135"/>
      <c r="F318" s="136">
        <v>1110.8599999999999</v>
      </c>
      <c r="G318" s="136">
        <v>1230.22</v>
      </c>
      <c r="H318" s="136">
        <v>1344</v>
      </c>
      <c r="I318" s="136">
        <v>1384</v>
      </c>
      <c r="J318" s="136">
        <v>1416</v>
      </c>
      <c r="K318" s="138">
        <v>1523</v>
      </c>
      <c r="L318" s="30">
        <v>1533</v>
      </c>
      <c r="M318" s="485"/>
      <c r="N318" s="485"/>
      <c r="O318" s="485"/>
      <c r="P318" s="1"/>
    </row>
    <row r="319" spans="1:16" x14ac:dyDescent="0.25">
      <c r="A319" s="1270"/>
      <c r="B319" s="1131"/>
      <c r="C319" s="1135" t="s">
        <v>426</v>
      </c>
      <c r="D319" s="1136"/>
      <c r="E319" s="17"/>
      <c r="F319" s="136">
        <v>711.87</v>
      </c>
      <c r="G319" s="136">
        <v>835.26</v>
      </c>
      <c r="H319" s="136">
        <v>994</v>
      </c>
      <c r="I319" s="136">
        <v>1032</v>
      </c>
      <c r="J319" s="136">
        <v>1062</v>
      </c>
      <c r="K319" s="138">
        <v>1182</v>
      </c>
      <c r="L319" s="30">
        <v>1203</v>
      </c>
    </row>
    <row r="320" spans="1:16" x14ac:dyDescent="0.25">
      <c r="A320" s="1270"/>
      <c r="B320" s="1131"/>
      <c r="C320" s="1137" t="s">
        <v>427</v>
      </c>
      <c r="D320" s="1138"/>
      <c r="E320" s="17"/>
      <c r="F320" s="137">
        <f t="shared" ref="F320:L320" si="19">+F319-F318</f>
        <v>-398.9899999999999</v>
      </c>
      <c r="G320" s="137">
        <f t="shared" si="19"/>
        <v>-394.96000000000004</v>
      </c>
      <c r="H320" s="137">
        <f t="shared" si="19"/>
        <v>-350</v>
      </c>
      <c r="I320" s="137">
        <f t="shared" si="19"/>
        <v>-352</v>
      </c>
      <c r="J320" s="137">
        <f t="shared" si="19"/>
        <v>-354</v>
      </c>
      <c r="K320" s="208">
        <f t="shared" si="19"/>
        <v>-341</v>
      </c>
      <c r="L320" s="32">
        <f t="shared" si="19"/>
        <v>-330</v>
      </c>
    </row>
    <row r="321" spans="1:12" ht="15" customHeight="1" thickBot="1" x14ac:dyDescent="0.3">
      <c r="A321" s="1270"/>
      <c r="B321" s="1132"/>
      <c r="C321" s="1139" t="s">
        <v>428</v>
      </c>
      <c r="D321" s="1140"/>
      <c r="E321" s="113"/>
      <c r="F321" s="210">
        <f t="shared" ref="F321:L321" si="20">(F319-F318)/F318*100</f>
        <v>-35.917217291107782</v>
      </c>
      <c r="G321" s="210">
        <f t="shared" si="20"/>
        <v>-32.104826778950105</v>
      </c>
      <c r="H321" s="210">
        <f t="shared" si="20"/>
        <v>-26.041666666666668</v>
      </c>
      <c r="I321" s="210">
        <f t="shared" si="20"/>
        <v>-25.433526011560691</v>
      </c>
      <c r="J321" s="210">
        <f t="shared" si="20"/>
        <v>-25</v>
      </c>
      <c r="K321" s="211">
        <f t="shared" si="20"/>
        <v>-22.390019697964544</v>
      </c>
      <c r="L321" s="35">
        <f t="shared" si="20"/>
        <v>-21.526418786692759</v>
      </c>
    </row>
    <row r="322" spans="1:12" x14ac:dyDescent="0.25">
      <c r="A322" s="1270"/>
      <c r="B322" s="1143" t="s">
        <v>429</v>
      </c>
      <c r="C322" s="1146" t="s">
        <v>430</v>
      </c>
      <c r="D322" s="1147"/>
      <c r="E322" s="36"/>
      <c r="F322" s="36"/>
      <c r="G322" s="37">
        <v>39.800889642024998</v>
      </c>
      <c r="H322" s="37">
        <v>35.983181773736192</v>
      </c>
      <c r="I322" s="37">
        <v>38.584418776112066</v>
      </c>
      <c r="J322" s="37">
        <v>43.905173794650011</v>
      </c>
      <c r="K322" s="37">
        <v>45.628895636886682</v>
      </c>
      <c r="L322" s="215">
        <v>46.7</v>
      </c>
    </row>
    <row r="323" spans="1:12" x14ac:dyDescent="0.25">
      <c r="A323" s="1270"/>
      <c r="B323" s="1144"/>
      <c r="C323" s="1148" t="s">
        <v>431</v>
      </c>
      <c r="D323" s="1124"/>
      <c r="E323" s="28"/>
      <c r="F323" s="28"/>
      <c r="G323" s="29">
        <v>40.24148851939826</v>
      </c>
      <c r="H323" s="29">
        <v>37.23225926615757</v>
      </c>
      <c r="I323" s="29">
        <v>39.227690134212381</v>
      </c>
      <c r="J323" s="29">
        <v>44.917109790428526</v>
      </c>
      <c r="K323" s="29">
        <v>46.964560862865945</v>
      </c>
      <c r="L323" s="216">
        <v>46.9</v>
      </c>
    </row>
    <row r="324" spans="1:12" x14ac:dyDescent="0.25">
      <c r="A324" s="1270"/>
      <c r="B324" s="1144"/>
      <c r="C324" s="1148" t="s">
        <v>432</v>
      </c>
      <c r="D324" s="1124"/>
      <c r="E324" s="28"/>
      <c r="F324" s="28"/>
      <c r="G324" s="29">
        <v>39.29384965831435</v>
      </c>
      <c r="H324" s="29">
        <v>34.602717167558666</v>
      </c>
      <c r="I324" s="29">
        <v>37.88229246980211</v>
      </c>
      <c r="J324" s="29">
        <v>42.84307288246881</v>
      </c>
      <c r="K324" s="29">
        <v>44.189907038512615</v>
      </c>
      <c r="L324" s="216">
        <v>46.5</v>
      </c>
    </row>
    <row r="325" spans="1:12" ht="16.5" thickBot="1" x14ac:dyDescent="0.3">
      <c r="A325" s="1270"/>
      <c r="B325" s="1145"/>
      <c r="C325" s="1141" t="s">
        <v>354</v>
      </c>
      <c r="D325" s="1142"/>
      <c r="E325" s="110"/>
      <c r="F325" s="110"/>
      <c r="G325" s="514">
        <f>+G324-G323</f>
        <v>-0.94763886108390949</v>
      </c>
      <c r="H325" s="514">
        <f>+H324-H323</f>
        <v>-2.629542098598904</v>
      </c>
      <c r="I325" s="514">
        <f>+I324-I323</f>
        <v>-1.345397664410271</v>
      </c>
      <c r="J325" s="514">
        <f>+J324-J323</f>
        <v>-2.0740369079597158</v>
      </c>
      <c r="K325" s="514">
        <f>+K324-K323</f>
        <v>-2.7746538243533294</v>
      </c>
      <c r="L325" s="714">
        <f>SUM(L324-L323)</f>
        <v>-0.39999999999999858</v>
      </c>
    </row>
    <row r="326" spans="1:12" x14ac:dyDescent="0.25">
      <c r="A326" s="1270"/>
      <c r="B326" s="1143" t="s">
        <v>433</v>
      </c>
      <c r="C326" s="1265" t="s">
        <v>434</v>
      </c>
      <c r="D326" s="146" t="s">
        <v>435</v>
      </c>
      <c r="E326" s="36"/>
      <c r="F326" s="36"/>
      <c r="G326" s="36"/>
      <c r="H326" s="36"/>
      <c r="I326" s="40">
        <v>225</v>
      </c>
      <c r="J326" s="40">
        <v>93</v>
      </c>
      <c r="K326" s="40">
        <v>51</v>
      </c>
      <c r="L326" s="40">
        <v>29</v>
      </c>
    </row>
    <row r="327" spans="1:12" x14ac:dyDescent="0.25">
      <c r="A327" s="1270"/>
      <c r="B327" s="1144"/>
      <c r="C327" s="1266"/>
      <c r="D327" s="147" t="s">
        <v>436</v>
      </c>
      <c r="E327" s="28"/>
      <c r="F327" s="28"/>
      <c r="G327" s="28"/>
      <c r="H327" s="28"/>
      <c r="I327" s="28">
        <v>113</v>
      </c>
      <c r="J327" s="28">
        <v>48</v>
      </c>
      <c r="K327" s="28">
        <v>25</v>
      </c>
      <c r="L327" s="28">
        <v>19</v>
      </c>
    </row>
    <row r="328" spans="1:12" x14ac:dyDescent="0.25">
      <c r="A328" s="1270"/>
      <c r="B328" s="1144"/>
      <c r="C328" s="1266"/>
      <c r="D328" s="28" t="s">
        <v>437</v>
      </c>
      <c r="E328" s="28"/>
      <c r="F328" s="28"/>
      <c r="G328" s="28"/>
      <c r="H328" s="28"/>
      <c r="I328" s="28">
        <v>112</v>
      </c>
      <c r="J328" s="28">
        <v>45</v>
      </c>
      <c r="K328" s="28">
        <v>26</v>
      </c>
      <c r="L328" s="28">
        <v>10</v>
      </c>
    </row>
    <row r="329" spans="1:12" x14ac:dyDescent="0.25">
      <c r="A329" s="1270"/>
      <c r="B329" s="1144"/>
      <c r="C329" s="1266"/>
      <c r="D329" s="148" t="s">
        <v>353</v>
      </c>
      <c r="E329" s="28"/>
      <c r="F329" s="28"/>
      <c r="G329" s="28"/>
      <c r="H329" s="28"/>
      <c r="I329" s="157">
        <f>I328-I327</f>
        <v>-1</v>
      </c>
      <c r="J329" s="157">
        <f>J328-J327</f>
        <v>-3</v>
      </c>
      <c r="K329" s="44">
        <f>K328-K327</f>
        <v>1</v>
      </c>
      <c r="L329" s="44">
        <f>L333-L332</f>
        <v>4</v>
      </c>
    </row>
    <row r="330" spans="1:12" ht="16.5" thickBot="1" x14ac:dyDescent="0.3">
      <c r="A330" s="1270"/>
      <c r="B330" s="1144"/>
      <c r="C330" s="1267"/>
      <c r="D330" s="217" t="s">
        <v>270</v>
      </c>
      <c r="E330" s="33"/>
      <c r="F330" s="33"/>
      <c r="G330" s="33"/>
      <c r="H330" s="33"/>
      <c r="I330" s="161">
        <f>I328/I326*100</f>
        <v>49.777777777777779</v>
      </c>
      <c r="J330" s="161">
        <f>J328/J326*100</f>
        <v>48.387096774193552</v>
      </c>
      <c r="K330" s="161">
        <f>K328/K326*100</f>
        <v>50.980392156862742</v>
      </c>
      <c r="L330" s="161">
        <f>L333/L331*100</f>
        <v>54</v>
      </c>
    </row>
    <row r="331" spans="1:12" x14ac:dyDescent="0.25">
      <c r="A331" s="1270"/>
      <c r="B331" s="1144"/>
      <c r="C331" s="1227" t="s">
        <v>438</v>
      </c>
      <c r="D331" s="214" t="s">
        <v>435</v>
      </c>
      <c r="E331" s="122"/>
      <c r="F331" s="122"/>
      <c r="G331" s="122"/>
      <c r="H331" s="122"/>
      <c r="I331" s="202">
        <v>459</v>
      </c>
      <c r="J331" s="202">
        <v>223</v>
      </c>
      <c r="K331" s="202">
        <v>66</v>
      </c>
      <c r="L331" s="20">
        <v>50</v>
      </c>
    </row>
    <row r="332" spans="1:12" x14ac:dyDescent="0.25">
      <c r="A332" s="1270"/>
      <c r="B332" s="1144"/>
      <c r="C332" s="1268"/>
      <c r="D332" s="147" t="s">
        <v>436</v>
      </c>
      <c r="E332" s="28"/>
      <c r="F332" s="28"/>
      <c r="G332" s="28"/>
      <c r="H332" s="28"/>
      <c r="I332" s="28">
        <v>247</v>
      </c>
      <c r="J332" s="28">
        <v>129</v>
      </c>
      <c r="K332" s="28">
        <v>39</v>
      </c>
      <c r="L332" s="21">
        <v>23</v>
      </c>
    </row>
    <row r="333" spans="1:12" x14ac:dyDescent="0.25">
      <c r="A333" s="1270"/>
      <c r="B333" s="1144"/>
      <c r="C333" s="1268"/>
      <c r="D333" s="28" t="s">
        <v>437</v>
      </c>
      <c r="E333" s="28"/>
      <c r="F333" s="28"/>
      <c r="G333" s="28"/>
      <c r="H333" s="28"/>
      <c r="I333" s="28">
        <v>212</v>
      </c>
      <c r="J333" s="28">
        <v>94</v>
      </c>
      <c r="K333" s="28">
        <v>27</v>
      </c>
      <c r="L333" s="21">
        <v>27</v>
      </c>
    </row>
    <row r="334" spans="1:12" x14ac:dyDescent="0.25">
      <c r="A334" s="1270"/>
      <c r="B334" s="1144"/>
      <c r="C334" s="1268"/>
      <c r="D334" s="148" t="s">
        <v>353</v>
      </c>
      <c r="E334" s="28"/>
      <c r="F334" s="28"/>
      <c r="G334" s="28"/>
      <c r="H334" s="28"/>
      <c r="I334" s="157">
        <f>I333-I332</f>
        <v>-35</v>
      </c>
      <c r="J334" s="157">
        <f>J333-J332</f>
        <v>-35</v>
      </c>
      <c r="K334" s="157">
        <f>K333-K332</f>
        <v>-12</v>
      </c>
      <c r="L334" s="157">
        <f>L333-L332</f>
        <v>4</v>
      </c>
    </row>
    <row r="335" spans="1:12" ht="16.5" thickBot="1" x14ac:dyDescent="0.3">
      <c r="A335" s="1270"/>
      <c r="B335" s="1264"/>
      <c r="C335" s="1269"/>
      <c r="D335" s="217" t="s">
        <v>270</v>
      </c>
      <c r="E335" s="33"/>
      <c r="F335" s="33"/>
      <c r="G335" s="33"/>
      <c r="H335" s="33"/>
      <c r="I335" s="161">
        <f>I333/I331*100</f>
        <v>46.187363834422655</v>
      </c>
      <c r="J335" s="161">
        <f>J333/J331*100</f>
        <v>42.152466367713004</v>
      </c>
      <c r="K335" s="161">
        <f>K333/K331*100</f>
        <v>40.909090909090914</v>
      </c>
      <c r="L335" s="161">
        <f>L333/L331*100</f>
        <v>54</v>
      </c>
    </row>
    <row r="336" spans="1:12" ht="15" customHeight="1" x14ac:dyDescent="0.25">
      <c r="A336" s="1270"/>
      <c r="B336" s="1271" t="s">
        <v>180</v>
      </c>
      <c r="C336" s="1189" t="s">
        <v>435</v>
      </c>
      <c r="D336" s="1189"/>
      <c r="E336" s="122"/>
      <c r="F336" s="122"/>
      <c r="G336" s="122"/>
      <c r="H336" s="192">
        <v>15188</v>
      </c>
      <c r="I336" s="192">
        <v>13861</v>
      </c>
      <c r="J336" s="192">
        <v>13371</v>
      </c>
      <c r="K336" s="192">
        <v>13544</v>
      </c>
      <c r="L336" s="87"/>
    </row>
    <row r="337" spans="1:12" x14ac:dyDescent="0.25">
      <c r="A337" s="1270"/>
      <c r="B337" s="1272"/>
      <c r="C337" s="1124" t="s">
        <v>436</v>
      </c>
      <c r="D337" s="1124"/>
      <c r="E337" s="28"/>
      <c r="F337" s="28"/>
      <c r="G337" s="28"/>
      <c r="H337" s="96">
        <v>6351</v>
      </c>
      <c r="I337" s="96">
        <v>5643</v>
      </c>
      <c r="J337" s="96">
        <v>5277</v>
      </c>
      <c r="K337" s="96">
        <v>5386</v>
      </c>
      <c r="L337" s="21"/>
    </row>
    <row r="338" spans="1:12" x14ac:dyDescent="0.25">
      <c r="A338" s="1270"/>
      <c r="B338" s="1272"/>
      <c r="C338" s="1124" t="s">
        <v>437</v>
      </c>
      <c r="D338" s="1124"/>
      <c r="E338" s="28"/>
      <c r="F338" s="28"/>
      <c r="G338" s="28"/>
      <c r="H338" s="96">
        <v>8837</v>
      </c>
      <c r="I338" s="96">
        <v>8218</v>
      </c>
      <c r="J338" s="96">
        <v>8094</v>
      </c>
      <c r="K338" s="96">
        <v>8158</v>
      </c>
      <c r="L338" s="21"/>
    </row>
    <row r="339" spans="1:12" x14ac:dyDescent="0.25">
      <c r="A339" s="1270"/>
      <c r="B339" s="1272"/>
      <c r="C339" s="1112" t="s">
        <v>353</v>
      </c>
      <c r="D339" s="1112"/>
      <c r="E339" s="28"/>
      <c r="F339" s="28"/>
      <c r="G339" s="28"/>
      <c r="H339" s="157">
        <f>H338-H337</f>
        <v>2486</v>
      </c>
      <c r="I339" s="157">
        <f>I338-I337</f>
        <v>2575</v>
      </c>
      <c r="J339" s="157">
        <f>J338-J337</f>
        <v>2817</v>
      </c>
      <c r="K339" s="157">
        <f>K338-K337</f>
        <v>2772</v>
      </c>
      <c r="L339" s="21"/>
    </row>
    <row r="340" spans="1:12" ht="16.5" thickBot="1" x14ac:dyDescent="0.3">
      <c r="A340" s="1270"/>
      <c r="B340" s="1273"/>
      <c r="C340" s="1178" t="s">
        <v>270</v>
      </c>
      <c r="D340" s="1178"/>
      <c r="E340" s="110"/>
      <c r="F340" s="110"/>
      <c r="G340" s="110"/>
      <c r="H340" s="165">
        <f>H338/H336*100</f>
        <v>58.184092704766918</v>
      </c>
      <c r="I340" s="165">
        <f>I338/I336*100</f>
        <v>59.288651612437768</v>
      </c>
      <c r="J340" s="165">
        <f>J338/J336*100</f>
        <v>60.53399147408571</v>
      </c>
      <c r="K340" s="165">
        <f>K338/K336*100</f>
        <v>60.233313644418196</v>
      </c>
      <c r="L340" s="53"/>
    </row>
    <row r="341" spans="1:12" ht="16.5" thickBot="1" x14ac:dyDescent="0.3">
      <c r="A341" s="151" t="s">
        <v>248</v>
      </c>
      <c r="B341" s="694" t="s">
        <v>249</v>
      </c>
      <c r="C341" s="1176"/>
      <c r="D341" s="1176"/>
      <c r="E341" s="695">
        <v>2005</v>
      </c>
      <c r="F341" s="695">
        <v>2010</v>
      </c>
      <c r="G341" s="695">
        <v>2015</v>
      </c>
      <c r="H341" s="695">
        <v>2020</v>
      </c>
      <c r="I341" s="695">
        <v>2021</v>
      </c>
      <c r="J341" s="695">
        <v>2022</v>
      </c>
      <c r="K341" s="695">
        <v>2023</v>
      </c>
      <c r="L341" s="696">
        <v>2024</v>
      </c>
    </row>
    <row r="342" spans="1:12" x14ac:dyDescent="0.25">
      <c r="A342" s="1279" t="s">
        <v>439</v>
      </c>
      <c r="B342" s="1237" t="s">
        <v>440</v>
      </c>
      <c r="C342" s="1240" t="s">
        <v>251</v>
      </c>
      <c r="D342" s="1241"/>
      <c r="E342" s="123">
        <v>80.5</v>
      </c>
      <c r="F342" s="124">
        <v>83</v>
      </c>
      <c r="G342" s="124">
        <v>83.4</v>
      </c>
      <c r="H342" s="124">
        <v>82.7</v>
      </c>
      <c r="I342" s="124">
        <v>83.6</v>
      </c>
      <c r="J342" s="701">
        <v>84.695684516121545</v>
      </c>
      <c r="K342" s="202">
        <v>85.2</v>
      </c>
      <c r="L342" s="87"/>
    </row>
    <row r="343" spans="1:12" x14ac:dyDescent="0.25">
      <c r="A343" s="1279"/>
      <c r="B343" s="1238"/>
      <c r="C343" s="1235" t="s">
        <v>257</v>
      </c>
      <c r="D343" s="1236"/>
      <c r="E343" s="57">
        <v>76.099999999999994</v>
      </c>
      <c r="F343" s="58">
        <v>79.5</v>
      </c>
      <c r="G343" s="58">
        <v>79.900000000000006</v>
      </c>
      <c r="H343" s="58">
        <v>79.599999999999994</v>
      </c>
      <c r="I343" s="58">
        <v>80.599999999999994</v>
      </c>
      <c r="J343" s="59">
        <v>81.84170304934068</v>
      </c>
      <c r="K343" s="28">
        <v>82.5</v>
      </c>
      <c r="L343" s="21"/>
    </row>
    <row r="344" spans="1:12" x14ac:dyDescent="0.25">
      <c r="A344" s="1279"/>
      <c r="B344" s="1238"/>
      <c r="C344" s="1235" t="s">
        <v>263</v>
      </c>
      <c r="D344" s="1236"/>
      <c r="E344" s="57">
        <v>84.3</v>
      </c>
      <c r="F344" s="58">
        <v>85.8</v>
      </c>
      <c r="G344" s="58">
        <v>86.4</v>
      </c>
      <c r="H344" s="58">
        <v>85.7</v>
      </c>
      <c r="I344" s="58">
        <v>86.4</v>
      </c>
      <c r="J344" s="59">
        <v>87.215888310219583</v>
      </c>
      <c r="K344" s="28">
        <v>87.5</v>
      </c>
      <c r="L344" s="21"/>
    </row>
    <row r="345" spans="1:12" ht="16.5" thickBot="1" x14ac:dyDescent="0.3">
      <c r="A345" s="1279"/>
      <c r="B345" s="1239"/>
      <c r="C345" s="1242" t="s">
        <v>441</v>
      </c>
      <c r="D345" s="1243"/>
      <c r="E345" s="221">
        <f t="shared" ref="E345:K345" si="21">+E344-E343</f>
        <v>8.2000000000000028</v>
      </c>
      <c r="F345" s="221">
        <f t="shared" si="21"/>
        <v>6.2999999999999972</v>
      </c>
      <c r="G345" s="221">
        <f t="shared" si="21"/>
        <v>6.5</v>
      </c>
      <c r="H345" s="221">
        <f t="shared" si="21"/>
        <v>6.1000000000000085</v>
      </c>
      <c r="I345" s="221">
        <f t="shared" si="21"/>
        <v>5.8000000000000114</v>
      </c>
      <c r="J345" s="221">
        <f t="shared" si="21"/>
        <v>5.3741852608789031</v>
      </c>
      <c r="K345" s="221">
        <f t="shared" si="21"/>
        <v>5</v>
      </c>
      <c r="L345" s="22"/>
    </row>
    <row r="346" spans="1:12" x14ac:dyDescent="0.25">
      <c r="A346" s="1279"/>
      <c r="B346" s="1237" t="s">
        <v>192</v>
      </c>
      <c r="C346" s="1249" t="s">
        <v>251</v>
      </c>
      <c r="D346" s="1250"/>
      <c r="E346" s="222"/>
      <c r="F346" s="223"/>
      <c r="G346" s="224">
        <v>13002</v>
      </c>
      <c r="H346" s="224">
        <v>13366</v>
      </c>
      <c r="I346" s="224">
        <v>13713</v>
      </c>
      <c r="J346" s="195">
        <v>14151</v>
      </c>
      <c r="K346" s="195">
        <v>14901</v>
      </c>
      <c r="L346" s="20"/>
    </row>
    <row r="347" spans="1:12" x14ac:dyDescent="0.25">
      <c r="A347" s="1279"/>
      <c r="B347" s="1238"/>
      <c r="C347" s="1235" t="s">
        <v>257</v>
      </c>
      <c r="D347" s="1236"/>
      <c r="E347" s="57"/>
      <c r="F347" s="218"/>
      <c r="G347" s="219">
        <v>6626</v>
      </c>
      <c r="H347" s="219">
        <v>6704</v>
      </c>
      <c r="I347" s="219">
        <v>6863</v>
      </c>
      <c r="J347" s="96">
        <v>7080</v>
      </c>
      <c r="K347" s="96">
        <v>7445</v>
      </c>
      <c r="L347" s="21"/>
    </row>
    <row r="348" spans="1:12" x14ac:dyDescent="0.25">
      <c r="A348" s="1279"/>
      <c r="B348" s="1238"/>
      <c r="C348" s="1235" t="s">
        <v>263</v>
      </c>
      <c r="D348" s="1236"/>
      <c r="E348" s="57"/>
      <c r="F348" s="218"/>
      <c r="G348" s="219">
        <v>6376</v>
      </c>
      <c r="H348" s="219">
        <v>6662</v>
      </c>
      <c r="I348" s="219">
        <v>6850</v>
      </c>
      <c r="J348" s="96">
        <v>7071</v>
      </c>
      <c r="K348" s="96">
        <v>7456</v>
      </c>
      <c r="L348" s="21"/>
    </row>
    <row r="349" spans="1:12" ht="16.5" thickBot="1" x14ac:dyDescent="0.3">
      <c r="A349" s="1279"/>
      <c r="B349" s="1239"/>
      <c r="C349" s="1177" t="s">
        <v>270</v>
      </c>
      <c r="D349" s="1178"/>
      <c r="E349" s="478"/>
      <c r="F349" s="478"/>
      <c r="G349" s="165">
        <f>G348/G346*100</f>
        <v>49.038609444700818</v>
      </c>
      <c r="H349" s="165">
        <f>H348/H346*100</f>
        <v>49.842884931916807</v>
      </c>
      <c r="I349" s="165">
        <f>I348/I346*100</f>
        <v>49.952599722890689</v>
      </c>
      <c r="J349" s="165">
        <f>J348/J346*100</f>
        <v>49.968200127199495</v>
      </c>
      <c r="K349" s="165">
        <f>K348/K346*100</f>
        <v>50.036910274478217</v>
      </c>
      <c r="L349" s="53"/>
    </row>
    <row r="350" spans="1:12" ht="16.5" thickBot="1" x14ac:dyDescent="0.3">
      <c r="A350" s="151" t="s">
        <v>248</v>
      </c>
      <c r="B350" s="694" t="s">
        <v>249</v>
      </c>
      <c r="C350" s="1176"/>
      <c r="D350" s="1176"/>
      <c r="E350" s="695" t="s">
        <v>442</v>
      </c>
      <c r="F350" s="695" t="s">
        <v>443</v>
      </c>
      <c r="G350" s="695" t="s">
        <v>444</v>
      </c>
      <c r="H350" s="695" t="s">
        <v>445</v>
      </c>
      <c r="I350" s="695" t="s">
        <v>446</v>
      </c>
      <c r="J350" s="695" t="s">
        <v>447</v>
      </c>
      <c r="K350" s="695" t="s">
        <v>448</v>
      </c>
      <c r="L350" s="696" t="s">
        <v>449</v>
      </c>
    </row>
    <row r="351" spans="1:12" x14ac:dyDescent="0.25">
      <c r="A351" s="1234" t="s">
        <v>450</v>
      </c>
      <c r="B351" s="1244" t="s">
        <v>199</v>
      </c>
      <c r="C351" s="1172" t="s">
        <v>451</v>
      </c>
      <c r="D351" s="238" t="s">
        <v>435</v>
      </c>
      <c r="E351" s="702"/>
      <c r="F351" s="192">
        <f t="shared" ref="F351:K351" si="22">SUM(F352:F353)</f>
        <v>6825</v>
      </c>
      <c r="G351" s="192">
        <f t="shared" si="22"/>
        <v>5815</v>
      </c>
      <c r="H351" s="192">
        <f t="shared" si="22"/>
        <v>4863</v>
      </c>
      <c r="I351" s="192">
        <f t="shared" si="22"/>
        <v>4618</v>
      </c>
      <c r="J351" s="192">
        <f t="shared" si="22"/>
        <v>4343</v>
      </c>
      <c r="K351" s="192">
        <f t="shared" si="22"/>
        <v>4433</v>
      </c>
      <c r="L351" s="87"/>
    </row>
    <row r="352" spans="1:12" x14ac:dyDescent="0.25">
      <c r="A352" s="1234"/>
      <c r="B352" s="1245"/>
      <c r="C352" s="1173"/>
      <c r="D352" s="227" t="s">
        <v>436</v>
      </c>
      <c r="E352" s="157"/>
      <c r="F352" s="96">
        <v>3471</v>
      </c>
      <c r="G352" s="96">
        <v>2968</v>
      </c>
      <c r="H352" s="96">
        <v>2516</v>
      </c>
      <c r="I352" s="96">
        <v>2389</v>
      </c>
      <c r="J352" s="96">
        <v>2255</v>
      </c>
      <c r="K352" s="157">
        <v>2286</v>
      </c>
      <c r="L352" s="21"/>
    </row>
    <row r="353" spans="1:12" ht="16.5" thickBot="1" x14ac:dyDescent="0.3">
      <c r="A353" s="1234"/>
      <c r="B353" s="1245"/>
      <c r="C353" s="1188"/>
      <c r="D353" s="239" t="s">
        <v>437</v>
      </c>
      <c r="E353" s="197"/>
      <c r="F353" s="190">
        <v>3354</v>
      </c>
      <c r="G353" s="190">
        <v>2847</v>
      </c>
      <c r="H353" s="190">
        <v>2347</v>
      </c>
      <c r="I353" s="190">
        <v>2229</v>
      </c>
      <c r="J353" s="190">
        <v>2088</v>
      </c>
      <c r="K353" s="197">
        <v>2147</v>
      </c>
      <c r="L353" s="22"/>
    </row>
    <row r="354" spans="1:12" ht="15" customHeight="1" x14ac:dyDescent="0.25">
      <c r="A354" s="1234"/>
      <c r="B354" s="1245"/>
      <c r="C354" s="1187" t="s">
        <v>452</v>
      </c>
      <c r="D354" s="229" t="s">
        <v>435</v>
      </c>
      <c r="E354" s="195"/>
      <c r="F354" s="195">
        <f>F355+F356</f>
        <v>2760</v>
      </c>
      <c r="G354" s="195">
        <f t="shared" ref="G354:J354" si="23">G355+G356</f>
        <v>2775</v>
      </c>
      <c r="H354" s="195">
        <f t="shared" si="23"/>
        <v>2372</v>
      </c>
      <c r="I354" s="195">
        <f t="shared" si="23"/>
        <v>2424</v>
      </c>
      <c r="J354" s="195">
        <f t="shared" si="23"/>
        <v>2399</v>
      </c>
      <c r="K354" s="195">
        <f>SUM(K356+K355)</f>
        <v>2314</v>
      </c>
      <c r="L354" s="20"/>
    </row>
    <row r="355" spans="1:12" x14ac:dyDescent="0.25">
      <c r="A355" s="1234"/>
      <c r="B355" s="1245"/>
      <c r="C355" s="1173"/>
      <c r="D355" s="227" t="s">
        <v>436</v>
      </c>
      <c r="E355" s="157"/>
      <c r="F355" s="96">
        <v>1365</v>
      </c>
      <c r="G355" s="96">
        <v>1409</v>
      </c>
      <c r="H355" s="96">
        <v>1194</v>
      </c>
      <c r="I355" s="96">
        <v>1215</v>
      </c>
      <c r="J355" s="96">
        <v>1239</v>
      </c>
      <c r="K355" s="157">
        <v>1204</v>
      </c>
      <c r="L355" s="21"/>
    </row>
    <row r="356" spans="1:12" ht="16.5" thickBot="1" x14ac:dyDescent="0.3">
      <c r="A356" s="1234"/>
      <c r="B356" s="1245"/>
      <c r="C356" s="1188"/>
      <c r="D356" s="239" t="s">
        <v>437</v>
      </c>
      <c r="E356" s="197"/>
      <c r="F356" s="190">
        <v>1395</v>
      </c>
      <c r="G356" s="190">
        <v>1366</v>
      </c>
      <c r="H356" s="190">
        <v>1178</v>
      </c>
      <c r="I356" s="190">
        <v>1209</v>
      </c>
      <c r="J356" s="190">
        <v>1160</v>
      </c>
      <c r="K356" s="197">
        <v>1110</v>
      </c>
      <c r="L356" s="22"/>
    </row>
    <row r="357" spans="1:12" x14ac:dyDescent="0.25">
      <c r="A357" s="1234"/>
      <c r="B357" s="1245"/>
      <c r="C357" s="1240" t="s">
        <v>453</v>
      </c>
      <c r="D357" s="1241"/>
      <c r="E357" s="122"/>
      <c r="F357" s="194">
        <f t="shared" ref="F357:K357" si="24">+(F354/F351)*100</f>
        <v>40.439560439560438</v>
      </c>
      <c r="G357" s="194">
        <f t="shared" si="24"/>
        <v>47.721410146173689</v>
      </c>
      <c r="H357" s="194">
        <f t="shared" si="24"/>
        <v>48.776475426691341</v>
      </c>
      <c r="I357" s="194">
        <f t="shared" si="24"/>
        <v>52.490255521870942</v>
      </c>
      <c r="J357" s="194">
        <f t="shared" si="24"/>
        <v>55.238314529127329</v>
      </c>
      <c r="K357" s="194">
        <f t="shared" si="24"/>
        <v>52.199413489736067</v>
      </c>
      <c r="L357" s="87"/>
    </row>
    <row r="358" spans="1:12" x14ac:dyDescent="0.25">
      <c r="A358" s="1234"/>
      <c r="B358" s="1245"/>
      <c r="C358" s="1235" t="s">
        <v>454</v>
      </c>
      <c r="D358" s="1236"/>
      <c r="E358" s="28"/>
      <c r="F358" s="187">
        <f>F355/F352*100</f>
        <v>39.325842696629216</v>
      </c>
      <c r="G358" s="187">
        <f t="shared" ref="G358:J358" si="25">G355/G352*100</f>
        <v>47.473045822102428</v>
      </c>
      <c r="H358" s="187">
        <f t="shared" si="25"/>
        <v>47.456279809220987</v>
      </c>
      <c r="I358" s="187">
        <f t="shared" si="25"/>
        <v>50.858099623273333</v>
      </c>
      <c r="J358" s="187">
        <f t="shared" si="25"/>
        <v>54.944567627494457</v>
      </c>
      <c r="K358" s="187">
        <f>K355/K352*100</f>
        <v>52.668416447944011</v>
      </c>
      <c r="L358" s="21"/>
    </row>
    <row r="359" spans="1:12" x14ac:dyDescent="0.25">
      <c r="A359" s="1234"/>
      <c r="B359" s="1245"/>
      <c r="C359" s="1235" t="s">
        <v>455</v>
      </c>
      <c r="D359" s="1236"/>
      <c r="E359" s="28"/>
      <c r="F359" s="187">
        <f>F356/F353*100</f>
        <v>41.59212880143113</v>
      </c>
      <c r="G359" s="187">
        <f t="shared" ref="G359:J359" si="26">G356/G353*100</f>
        <v>47.980330172110996</v>
      </c>
      <c r="H359" s="187">
        <f t="shared" si="26"/>
        <v>50.191734128674902</v>
      </c>
      <c r="I359" s="187">
        <f t="shared" si="26"/>
        <v>54.239569313593542</v>
      </c>
      <c r="J359" s="187">
        <f t="shared" si="26"/>
        <v>55.555555555555557</v>
      </c>
      <c r="K359" s="187">
        <f>K356/K353*100</f>
        <v>51.70004657661854</v>
      </c>
      <c r="L359" s="21"/>
    </row>
    <row r="360" spans="1:12" ht="16.5" thickBot="1" x14ac:dyDescent="0.3">
      <c r="A360" s="1234"/>
      <c r="B360" s="1246"/>
      <c r="C360" s="1247" t="s">
        <v>354</v>
      </c>
      <c r="D360" s="1248"/>
      <c r="E360" s="33"/>
      <c r="F360" s="230">
        <f t="shared" ref="F360:J360" si="27">+F359-F358</f>
        <v>2.2662861048019138</v>
      </c>
      <c r="G360" s="231">
        <f t="shared" si="27"/>
        <v>0.5072843500085682</v>
      </c>
      <c r="H360" s="231">
        <f t="shared" si="27"/>
        <v>2.7354543194539147</v>
      </c>
      <c r="I360" s="231">
        <f t="shared" si="27"/>
        <v>3.3814696903202091</v>
      </c>
      <c r="J360" s="231">
        <f t="shared" si="27"/>
        <v>0.61098792806109969</v>
      </c>
      <c r="K360" s="231">
        <f>+K359-K358</f>
        <v>-0.96836987132547137</v>
      </c>
      <c r="L360" s="22"/>
    </row>
    <row r="361" spans="1:12" ht="16.5" thickBot="1" x14ac:dyDescent="0.3">
      <c r="A361" s="151" t="s">
        <v>248</v>
      </c>
      <c r="B361" s="694" t="s">
        <v>249</v>
      </c>
      <c r="C361" s="1176"/>
      <c r="D361" s="1176"/>
      <c r="E361" s="695" t="s">
        <v>442</v>
      </c>
      <c r="F361" s="695" t="s">
        <v>443</v>
      </c>
      <c r="G361" s="695" t="s">
        <v>444</v>
      </c>
      <c r="H361" s="695" t="s">
        <v>445</v>
      </c>
      <c r="I361" s="695" t="s">
        <v>446</v>
      </c>
      <c r="J361" s="695" t="s">
        <v>447</v>
      </c>
      <c r="K361" s="695" t="s">
        <v>448</v>
      </c>
      <c r="L361" s="696" t="s">
        <v>449</v>
      </c>
    </row>
    <row r="362" spans="1:12" ht="15" customHeight="1" x14ac:dyDescent="0.25">
      <c r="A362" s="1149" t="s">
        <v>456</v>
      </c>
      <c r="B362" s="1150" t="s">
        <v>457</v>
      </c>
      <c r="C362" s="1187" t="s">
        <v>458</v>
      </c>
      <c r="D362" s="229" t="s">
        <v>459</v>
      </c>
      <c r="E362" s="195" t="s">
        <v>460</v>
      </c>
      <c r="F362" s="195">
        <v>4313</v>
      </c>
      <c r="G362" s="195">
        <v>4190</v>
      </c>
      <c r="H362" s="195">
        <v>3136</v>
      </c>
      <c r="I362" s="195">
        <v>3069</v>
      </c>
      <c r="J362" s="195">
        <v>2888</v>
      </c>
      <c r="K362" s="195">
        <v>2941</v>
      </c>
      <c r="L362" s="20"/>
    </row>
    <row r="363" spans="1:12" ht="14.1" customHeight="1" x14ac:dyDescent="0.25">
      <c r="A363" s="1149"/>
      <c r="B363" s="1151"/>
      <c r="C363" s="1173"/>
      <c r="D363" s="227" t="s">
        <v>436</v>
      </c>
      <c r="E363" s="157"/>
      <c r="F363" s="96">
        <v>2059</v>
      </c>
      <c r="G363" s="96">
        <v>1909</v>
      </c>
      <c r="H363" s="96">
        <v>1277</v>
      </c>
      <c r="I363" s="96">
        <v>1223</v>
      </c>
      <c r="J363" s="96">
        <v>1124</v>
      </c>
      <c r="K363" s="157">
        <v>1144</v>
      </c>
      <c r="L363" s="21"/>
    </row>
    <row r="364" spans="1:12" ht="16.5" thickBot="1" x14ac:dyDescent="0.3">
      <c r="A364" s="1149"/>
      <c r="B364" s="1151"/>
      <c r="C364" s="1188"/>
      <c r="D364" s="239" t="s">
        <v>437</v>
      </c>
      <c r="E364" s="197"/>
      <c r="F364" s="190">
        <v>2254</v>
      </c>
      <c r="G364" s="190">
        <v>2281</v>
      </c>
      <c r="H364" s="190">
        <v>1859</v>
      </c>
      <c r="I364" s="190">
        <v>1846</v>
      </c>
      <c r="J364" s="190">
        <v>1764</v>
      </c>
      <c r="K364" s="197">
        <v>1797</v>
      </c>
      <c r="L364" s="22"/>
    </row>
    <row r="365" spans="1:12" x14ac:dyDescent="0.25">
      <c r="A365" s="1149"/>
      <c r="B365" s="1151"/>
      <c r="C365" s="1187" t="s">
        <v>461</v>
      </c>
      <c r="D365" s="229" t="s">
        <v>459</v>
      </c>
      <c r="E365" s="195"/>
      <c r="F365" s="195">
        <v>1323</v>
      </c>
      <c r="G365" s="195">
        <v>971</v>
      </c>
      <c r="H365" s="195">
        <v>1180</v>
      </c>
      <c r="I365" s="195">
        <v>1208</v>
      </c>
      <c r="J365" s="195">
        <v>530</v>
      </c>
      <c r="K365" s="195">
        <v>1225</v>
      </c>
      <c r="L365" s="20"/>
    </row>
    <row r="366" spans="1:12" x14ac:dyDescent="0.25">
      <c r="A366" s="1149"/>
      <c r="B366" s="1151"/>
      <c r="C366" s="1173"/>
      <c r="D366" s="227" t="s">
        <v>436</v>
      </c>
      <c r="E366" s="157"/>
      <c r="F366" s="96">
        <v>727</v>
      </c>
      <c r="G366" s="96">
        <v>518</v>
      </c>
      <c r="H366" s="96">
        <v>544</v>
      </c>
      <c r="I366" s="96">
        <v>560</v>
      </c>
      <c r="J366" s="96">
        <v>232</v>
      </c>
      <c r="K366" s="157">
        <v>575</v>
      </c>
      <c r="L366" s="21"/>
    </row>
    <row r="367" spans="1:12" ht="16.5" thickBot="1" x14ac:dyDescent="0.3">
      <c r="A367" s="1149"/>
      <c r="B367" s="1151"/>
      <c r="C367" s="1188"/>
      <c r="D367" s="239" t="s">
        <v>437</v>
      </c>
      <c r="E367" s="197"/>
      <c r="F367" s="190">
        <v>596</v>
      </c>
      <c r="G367" s="190">
        <v>453</v>
      </c>
      <c r="H367" s="190">
        <v>636</v>
      </c>
      <c r="I367" s="190">
        <v>648</v>
      </c>
      <c r="J367" s="190">
        <v>298</v>
      </c>
      <c r="K367" s="197">
        <v>650</v>
      </c>
      <c r="L367" s="22"/>
    </row>
    <row r="368" spans="1:12" x14ac:dyDescent="0.25">
      <c r="A368" s="1149"/>
      <c r="B368" s="1151"/>
      <c r="C368" s="1185" t="s">
        <v>462</v>
      </c>
      <c r="D368" s="1186"/>
      <c r="E368" s="192"/>
      <c r="F368" s="240">
        <f>F366/F363*100</f>
        <v>35.308402136959685</v>
      </c>
      <c r="G368" s="240">
        <f t="shared" ref="G368:I368" si="28">G366/G363*100</f>
        <v>27.13462545835516</v>
      </c>
      <c r="H368" s="240">
        <f t="shared" si="28"/>
        <v>42.599843382928739</v>
      </c>
      <c r="I368" s="240">
        <f t="shared" si="28"/>
        <v>45.789043336058874</v>
      </c>
      <c r="J368" s="240">
        <f>J366/J363*100</f>
        <v>20.640569395017792</v>
      </c>
      <c r="K368" s="240">
        <f>K366/K363*100</f>
        <v>50.26223776223776</v>
      </c>
      <c r="L368" s="87"/>
    </row>
    <row r="369" spans="1:12" x14ac:dyDescent="0.25">
      <c r="A369" s="1149"/>
      <c r="B369" s="1151"/>
      <c r="C369" s="1148" t="s">
        <v>463</v>
      </c>
      <c r="D369" s="1124"/>
      <c r="E369" s="157"/>
      <c r="F369" s="29">
        <f>F367/F364*100</f>
        <v>26.441881100266194</v>
      </c>
      <c r="G369" s="29">
        <f t="shared" ref="G369:I369" si="29">G367/G364*100</f>
        <v>19.859710653222269</v>
      </c>
      <c r="H369" s="29">
        <f t="shared" si="29"/>
        <v>34.211941904249599</v>
      </c>
      <c r="I369" s="29">
        <f t="shared" si="29"/>
        <v>35.102925243770315</v>
      </c>
      <c r="J369" s="29">
        <f>J367/J364*100</f>
        <v>16.893424036281179</v>
      </c>
      <c r="K369" s="29">
        <f>K367/K364*100</f>
        <v>36.171396772398438</v>
      </c>
      <c r="L369" s="21"/>
    </row>
    <row r="370" spans="1:12" ht="16.5" thickBot="1" x14ac:dyDescent="0.3">
      <c r="A370" s="1149"/>
      <c r="B370" s="1152"/>
      <c r="C370" s="1169" t="s">
        <v>354</v>
      </c>
      <c r="D370" s="1126"/>
      <c r="E370" s="33"/>
      <c r="F370" s="161">
        <f>+F369-F368</f>
        <v>-8.8665210366934915</v>
      </c>
      <c r="G370" s="161">
        <f t="shared" ref="G370:I370" si="30">+G369-G368</f>
        <v>-7.2749148051328909</v>
      </c>
      <c r="H370" s="161">
        <f t="shared" si="30"/>
        <v>-8.3879014786791402</v>
      </c>
      <c r="I370" s="161">
        <f t="shared" si="30"/>
        <v>-10.686118092288559</v>
      </c>
      <c r="J370" s="161">
        <f>+J369-J368</f>
        <v>-3.7471453587366135</v>
      </c>
      <c r="K370" s="161">
        <f>+K369-K368</f>
        <v>-14.090840989839322</v>
      </c>
      <c r="L370" s="22"/>
    </row>
    <row r="371" spans="1:12" ht="16.5" thickBot="1" x14ac:dyDescent="0.3">
      <c r="A371" s="1149"/>
      <c r="B371" s="697" t="s">
        <v>249</v>
      </c>
      <c r="C371" s="1162"/>
      <c r="D371" s="1163"/>
      <c r="E371" s="703" t="s">
        <v>442</v>
      </c>
      <c r="F371" s="703" t="s">
        <v>443</v>
      </c>
      <c r="G371" s="703" t="s">
        <v>444</v>
      </c>
      <c r="H371" s="703" t="s">
        <v>445</v>
      </c>
      <c r="I371" s="703" t="s">
        <v>446</v>
      </c>
      <c r="J371" s="703" t="s">
        <v>447</v>
      </c>
      <c r="K371" s="704" t="s">
        <v>448</v>
      </c>
      <c r="L371" s="705" t="s">
        <v>449</v>
      </c>
    </row>
    <row r="372" spans="1:12" ht="15" customHeight="1" x14ac:dyDescent="0.25">
      <c r="A372" s="1149"/>
      <c r="B372" s="1252" t="s">
        <v>464</v>
      </c>
      <c r="C372" s="1121" t="s">
        <v>459</v>
      </c>
      <c r="D372" s="1122"/>
      <c r="E372" s="122"/>
      <c r="F372" s="192">
        <v>707</v>
      </c>
      <c r="G372" s="192">
        <v>759</v>
      </c>
      <c r="H372" s="192">
        <v>1087</v>
      </c>
      <c r="I372" s="192">
        <v>1055</v>
      </c>
      <c r="J372" s="192">
        <v>967</v>
      </c>
      <c r="K372" s="192">
        <v>880</v>
      </c>
      <c r="L372" s="87"/>
    </row>
    <row r="373" spans="1:12" ht="15" customHeight="1" x14ac:dyDescent="0.25">
      <c r="A373" s="1149"/>
      <c r="B373" s="1253"/>
      <c r="C373" s="1123" t="s">
        <v>436</v>
      </c>
      <c r="D373" s="1124"/>
      <c r="E373" s="157"/>
      <c r="F373" s="96">
        <v>252</v>
      </c>
      <c r="G373" s="96">
        <v>318</v>
      </c>
      <c r="H373" s="96">
        <v>468</v>
      </c>
      <c r="I373" s="96">
        <v>447</v>
      </c>
      <c r="J373" s="96">
        <v>415</v>
      </c>
      <c r="K373" s="96">
        <v>380</v>
      </c>
      <c r="L373" s="21"/>
    </row>
    <row r="374" spans="1:12" ht="15" customHeight="1" x14ac:dyDescent="0.25">
      <c r="A374" s="1149"/>
      <c r="B374" s="1253"/>
      <c r="C374" s="1123" t="s">
        <v>437</v>
      </c>
      <c r="D374" s="1124"/>
      <c r="E374" s="157"/>
      <c r="F374" s="96">
        <v>455</v>
      </c>
      <c r="G374" s="96">
        <v>441</v>
      </c>
      <c r="H374" s="96">
        <v>619</v>
      </c>
      <c r="I374" s="96">
        <v>608</v>
      </c>
      <c r="J374" s="96">
        <v>552</v>
      </c>
      <c r="K374" s="96">
        <v>500</v>
      </c>
      <c r="L374" s="21"/>
    </row>
    <row r="375" spans="1:12" ht="15" customHeight="1" thickBot="1" x14ac:dyDescent="0.3">
      <c r="A375" s="1149"/>
      <c r="B375" s="1253"/>
      <c r="C375" s="1170" t="s">
        <v>270</v>
      </c>
      <c r="D375" s="1155"/>
      <c r="E375" s="246"/>
      <c r="F375" s="247">
        <f t="shared" ref="F375" si="31">F374/F372*100</f>
        <v>64.356435643564353</v>
      </c>
      <c r="G375" s="247">
        <f t="shared" ref="G375:J375" si="32">G374/G372*100</f>
        <v>58.102766798418969</v>
      </c>
      <c r="H375" s="247">
        <f>H374/H372*100</f>
        <v>56.945722171113154</v>
      </c>
      <c r="I375" s="247">
        <f t="shared" si="32"/>
        <v>57.630331753554501</v>
      </c>
      <c r="J375" s="247">
        <f t="shared" si="32"/>
        <v>57.083764219234745</v>
      </c>
      <c r="K375" s="247">
        <f>K374/K372*100</f>
        <v>56.81818181818182</v>
      </c>
      <c r="L375" s="22"/>
    </row>
    <row r="376" spans="1:12" ht="15" customHeight="1" x14ac:dyDescent="0.25">
      <c r="A376" s="1149"/>
      <c r="B376" s="1253"/>
      <c r="C376" s="1159" t="s">
        <v>465</v>
      </c>
      <c r="D376" s="248" t="s">
        <v>251</v>
      </c>
      <c r="E376" s="249"/>
      <c r="F376" s="250">
        <v>298</v>
      </c>
      <c r="G376" s="250">
        <v>317</v>
      </c>
      <c r="H376" s="250">
        <v>448</v>
      </c>
      <c r="I376" s="250">
        <v>434</v>
      </c>
      <c r="J376" s="250">
        <v>393</v>
      </c>
      <c r="K376" s="195">
        <v>310</v>
      </c>
      <c r="L376" s="20"/>
    </row>
    <row r="377" spans="1:12" ht="15" customHeight="1" x14ac:dyDescent="0.25">
      <c r="A377" s="1149"/>
      <c r="B377" s="1253"/>
      <c r="C377" s="1160"/>
      <c r="D377" s="28" t="s">
        <v>257</v>
      </c>
      <c r="E377" s="94"/>
      <c r="F377" s="80">
        <v>53</v>
      </c>
      <c r="G377" s="80">
        <v>68</v>
      </c>
      <c r="H377" s="80">
        <v>83</v>
      </c>
      <c r="I377" s="80">
        <v>82</v>
      </c>
      <c r="J377" s="80">
        <v>61</v>
      </c>
      <c r="K377" s="80">
        <v>41</v>
      </c>
      <c r="L377" s="21"/>
    </row>
    <row r="378" spans="1:12" ht="15" customHeight="1" x14ac:dyDescent="0.25">
      <c r="A378" s="1149"/>
      <c r="B378" s="1253"/>
      <c r="C378" s="1160"/>
      <c r="D378" s="28" t="s">
        <v>263</v>
      </c>
      <c r="E378" s="94"/>
      <c r="F378" s="80">
        <v>245</v>
      </c>
      <c r="G378" s="80">
        <v>249</v>
      </c>
      <c r="H378" s="80">
        <v>365</v>
      </c>
      <c r="I378" s="80">
        <v>352</v>
      </c>
      <c r="J378" s="80">
        <v>332</v>
      </c>
      <c r="K378" s="80">
        <v>269</v>
      </c>
      <c r="L378" s="21"/>
    </row>
    <row r="379" spans="1:12" ht="15" customHeight="1" thickBot="1" x14ac:dyDescent="0.3">
      <c r="A379" s="1149"/>
      <c r="B379" s="1253"/>
      <c r="C379" s="1161"/>
      <c r="D379" s="203" t="s">
        <v>270</v>
      </c>
      <c r="E379" s="106"/>
      <c r="F379" s="251">
        <f>(F378/F376)*100</f>
        <v>82.214765100671144</v>
      </c>
      <c r="G379" s="251">
        <f>(G378/G376)*100</f>
        <v>78.548895899053633</v>
      </c>
      <c r="H379" s="251">
        <f>(H378/H376)*100</f>
        <v>81.473214285714292</v>
      </c>
      <c r="I379" s="251">
        <f>I378/I376*100</f>
        <v>81.105990783410135</v>
      </c>
      <c r="J379" s="251">
        <f>J378/J376*100</f>
        <v>84.478371501272264</v>
      </c>
      <c r="K379" s="251">
        <f>K378/K376*100</f>
        <v>86.774193548387103</v>
      </c>
      <c r="L379" s="22"/>
    </row>
    <row r="380" spans="1:12" ht="15" customHeight="1" x14ac:dyDescent="0.25">
      <c r="A380" s="1149"/>
      <c r="B380" s="1253"/>
      <c r="C380" s="1159" t="s">
        <v>466</v>
      </c>
      <c r="D380" s="248" t="s">
        <v>251</v>
      </c>
      <c r="E380" s="249"/>
      <c r="F380" s="250">
        <v>174</v>
      </c>
      <c r="G380" s="250">
        <v>153</v>
      </c>
      <c r="H380" s="250">
        <v>143</v>
      </c>
      <c r="I380" s="250">
        <v>149</v>
      </c>
      <c r="J380" s="250">
        <v>128</v>
      </c>
      <c r="K380" s="250">
        <v>128</v>
      </c>
      <c r="L380" s="20"/>
    </row>
    <row r="381" spans="1:12" ht="15" customHeight="1" x14ac:dyDescent="0.25">
      <c r="A381" s="1149"/>
      <c r="B381" s="1253"/>
      <c r="C381" s="1160"/>
      <c r="D381" s="28" t="s">
        <v>257</v>
      </c>
      <c r="E381" s="94"/>
      <c r="F381" s="80">
        <v>52</v>
      </c>
      <c r="G381" s="80">
        <v>65</v>
      </c>
      <c r="H381" s="80">
        <v>59</v>
      </c>
      <c r="I381" s="80">
        <v>63</v>
      </c>
      <c r="J381" s="80">
        <v>56</v>
      </c>
      <c r="K381" s="80">
        <v>52</v>
      </c>
      <c r="L381" s="21"/>
    </row>
    <row r="382" spans="1:12" ht="15" customHeight="1" x14ac:dyDescent="0.25">
      <c r="A382" s="1149"/>
      <c r="B382" s="1253"/>
      <c r="C382" s="1160"/>
      <c r="D382" s="28" t="s">
        <v>263</v>
      </c>
      <c r="E382" s="94"/>
      <c r="F382" s="80">
        <v>122</v>
      </c>
      <c r="G382" s="80">
        <v>88</v>
      </c>
      <c r="H382" s="80">
        <v>84</v>
      </c>
      <c r="I382" s="80">
        <v>86</v>
      </c>
      <c r="J382" s="80">
        <v>72</v>
      </c>
      <c r="K382" s="80">
        <v>76</v>
      </c>
      <c r="L382" s="21"/>
    </row>
    <row r="383" spans="1:12" ht="15" customHeight="1" thickBot="1" x14ac:dyDescent="0.3">
      <c r="A383" s="1149"/>
      <c r="B383" s="1253"/>
      <c r="C383" s="1161"/>
      <c r="D383" s="203" t="s">
        <v>270</v>
      </c>
      <c r="E383" s="106"/>
      <c r="F383" s="251">
        <f>(F382/F380)*100</f>
        <v>70.114942528735639</v>
      </c>
      <c r="G383" s="252">
        <f t="shared" ref="G383:K383" si="33">(G382/G380)*100</f>
        <v>57.51633986928104</v>
      </c>
      <c r="H383" s="252">
        <f t="shared" si="33"/>
        <v>58.74125874125874</v>
      </c>
      <c r="I383" s="252">
        <f t="shared" si="33"/>
        <v>57.718120805369132</v>
      </c>
      <c r="J383" s="252">
        <f t="shared" si="33"/>
        <v>56.25</v>
      </c>
      <c r="K383" s="252">
        <f t="shared" si="33"/>
        <v>59.375</v>
      </c>
      <c r="L383" s="22"/>
    </row>
    <row r="384" spans="1:12" ht="15" customHeight="1" x14ac:dyDescent="0.25">
      <c r="A384" s="1149"/>
      <c r="B384" s="1253"/>
      <c r="C384" s="1159" t="s">
        <v>467</v>
      </c>
      <c r="D384" s="248" t="s">
        <v>251</v>
      </c>
      <c r="E384" s="249"/>
      <c r="F384" s="250">
        <v>122</v>
      </c>
      <c r="G384" s="250">
        <v>138</v>
      </c>
      <c r="H384" s="250">
        <v>181</v>
      </c>
      <c r="I384" s="250">
        <v>165</v>
      </c>
      <c r="J384" s="250">
        <v>154</v>
      </c>
      <c r="K384" s="250">
        <v>159</v>
      </c>
      <c r="L384" s="20"/>
    </row>
    <row r="385" spans="1:12" ht="15" customHeight="1" x14ac:dyDescent="0.25">
      <c r="A385" s="1149"/>
      <c r="B385" s="1253"/>
      <c r="C385" s="1160"/>
      <c r="D385" s="28" t="s">
        <v>257</v>
      </c>
      <c r="E385" s="94"/>
      <c r="F385" s="80">
        <v>110</v>
      </c>
      <c r="G385" s="80">
        <v>119</v>
      </c>
      <c r="H385" s="80">
        <v>162</v>
      </c>
      <c r="I385" s="80">
        <v>149</v>
      </c>
      <c r="J385" s="80">
        <v>143</v>
      </c>
      <c r="K385" s="80">
        <v>140</v>
      </c>
      <c r="L385" s="21"/>
    </row>
    <row r="386" spans="1:12" ht="15" customHeight="1" x14ac:dyDescent="0.25">
      <c r="A386" s="1149"/>
      <c r="B386" s="1253"/>
      <c r="C386" s="1160"/>
      <c r="D386" s="28" t="s">
        <v>263</v>
      </c>
      <c r="E386" s="94"/>
      <c r="F386" s="80">
        <v>12</v>
      </c>
      <c r="G386" s="80">
        <v>19</v>
      </c>
      <c r="H386" s="80">
        <v>19</v>
      </c>
      <c r="I386" s="80">
        <v>16</v>
      </c>
      <c r="J386" s="80">
        <v>11</v>
      </c>
      <c r="K386" s="80">
        <v>19</v>
      </c>
      <c r="L386" s="21"/>
    </row>
    <row r="387" spans="1:12" ht="15" customHeight="1" thickBot="1" x14ac:dyDescent="0.3">
      <c r="A387" s="1149"/>
      <c r="B387" s="1253"/>
      <c r="C387" s="1161"/>
      <c r="D387" s="203" t="s">
        <v>270</v>
      </c>
      <c r="E387" s="106"/>
      <c r="F387" s="253">
        <f>(F386/F384)*100</f>
        <v>9.8360655737704921</v>
      </c>
      <c r="G387" s="253">
        <f t="shared" ref="G387:I387" si="34">(G386/G384)*100</f>
        <v>13.768115942028986</v>
      </c>
      <c r="H387" s="253">
        <f t="shared" si="34"/>
        <v>10.497237569060774</v>
      </c>
      <c r="I387" s="253">
        <f t="shared" si="34"/>
        <v>9.6969696969696972</v>
      </c>
      <c r="J387" s="253">
        <f>(J386/J384)*100</f>
        <v>7.1428571428571423</v>
      </c>
      <c r="K387" s="253">
        <f>(K386/K384)*100</f>
        <v>11.949685534591195</v>
      </c>
      <c r="L387" s="22"/>
    </row>
    <row r="388" spans="1:12" ht="15" customHeight="1" x14ac:dyDescent="0.25">
      <c r="A388" s="1149"/>
      <c r="B388" s="1253"/>
      <c r="C388" s="1159" t="s">
        <v>468</v>
      </c>
      <c r="D388" s="248" t="s">
        <v>251</v>
      </c>
      <c r="E388" s="249"/>
      <c r="F388" s="250">
        <v>73</v>
      </c>
      <c r="G388" s="250">
        <v>70</v>
      </c>
      <c r="H388" s="250">
        <v>97</v>
      </c>
      <c r="I388" s="250">
        <v>92</v>
      </c>
      <c r="J388" s="250">
        <v>96</v>
      </c>
      <c r="K388" s="250">
        <v>101</v>
      </c>
      <c r="L388" s="20"/>
    </row>
    <row r="389" spans="1:12" ht="15" customHeight="1" x14ac:dyDescent="0.25">
      <c r="A389" s="1149"/>
      <c r="B389" s="1253"/>
      <c r="C389" s="1160"/>
      <c r="D389" s="28" t="s">
        <v>257</v>
      </c>
      <c r="E389" s="94"/>
      <c r="F389" s="80">
        <v>32</v>
      </c>
      <c r="G389" s="80">
        <v>29</v>
      </c>
      <c r="H389" s="80">
        <v>38</v>
      </c>
      <c r="I389" s="80">
        <v>33</v>
      </c>
      <c r="J389" s="80">
        <v>37</v>
      </c>
      <c r="K389" s="80">
        <v>29</v>
      </c>
      <c r="L389" s="21"/>
    </row>
    <row r="390" spans="1:12" ht="15" customHeight="1" x14ac:dyDescent="0.25">
      <c r="A390" s="1149"/>
      <c r="B390" s="1253"/>
      <c r="C390" s="1160"/>
      <c r="D390" s="28" t="s">
        <v>263</v>
      </c>
      <c r="E390" s="94"/>
      <c r="F390" s="80">
        <v>41</v>
      </c>
      <c r="G390" s="80">
        <v>41</v>
      </c>
      <c r="H390" s="80">
        <v>59</v>
      </c>
      <c r="I390" s="80">
        <v>59</v>
      </c>
      <c r="J390" s="80">
        <v>59</v>
      </c>
      <c r="K390" s="80">
        <v>72</v>
      </c>
      <c r="L390" s="21"/>
    </row>
    <row r="391" spans="1:12" ht="15" customHeight="1" thickBot="1" x14ac:dyDescent="0.3">
      <c r="A391" s="1149"/>
      <c r="B391" s="1253"/>
      <c r="C391" s="1161"/>
      <c r="D391" s="203" t="s">
        <v>270</v>
      </c>
      <c r="E391" s="106"/>
      <c r="F391" s="252">
        <f>(F390/F388)*100</f>
        <v>56.164383561643838</v>
      </c>
      <c r="G391" s="252">
        <f t="shared" ref="G391:K391" si="35">(G390/G388)*100</f>
        <v>58.571428571428577</v>
      </c>
      <c r="H391" s="251">
        <f t="shared" si="35"/>
        <v>60.824742268041234</v>
      </c>
      <c r="I391" s="251">
        <f t="shared" si="35"/>
        <v>64.130434782608688</v>
      </c>
      <c r="J391" s="251">
        <f t="shared" si="35"/>
        <v>61.458333333333336</v>
      </c>
      <c r="K391" s="251">
        <f t="shared" si="35"/>
        <v>71.287128712871279</v>
      </c>
      <c r="L391" s="22"/>
    </row>
    <row r="392" spans="1:12" ht="15" customHeight="1" x14ac:dyDescent="0.25">
      <c r="A392" s="1149"/>
      <c r="B392" s="1253"/>
      <c r="C392" s="1159" t="s">
        <v>469</v>
      </c>
      <c r="D392" s="248" t="s">
        <v>251</v>
      </c>
      <c r="E392" s="249"/>
      <c r="F392" s="249"/>
      <c r="G392" s="250">
        <v>42</v>
      </c>
      <c r="H392" s="250">
        <v>114</v>
      </c>
      <c r="I392" s="250">
        <v>115</v>
      </c>
      <c r="J392" s="250">
        <v>113</v>
      </c>
      <c r="K392" s="250">
        <v>113</v>
      </c>
      <c r="L392" s="20"/>
    </row>
    <row r="393" spans="1:12" ht="15" customHeight="1" x14ac:dyDescent="0.25">
      <c r="A393" s="1149"/>
      <c r="B393" s="1253"/>
      <c r="C393" s="1160"/>
      <c r="D393" s="28" t="s">
        <v>257</v>
      </c>
      <c r="E393" s="94"/>
      <c r="F393" s="94"/>
      <c r="G393" s="80">
        <v>32</v>
      </c>
      <c r="H393" s="80">
        <v>88</v>
      </c>
      <c r="I393" s="80">
        <v>88</v>
      </c>
      <c r="J393" s="80">
        <v>87</v>
      </c>
      <c r="K393" s="80">
        <v>87</v>
      </c>
      <c r="L393" s="21"/>
    </row>
    <row r="394" spans="1:12" ht="15" customHeight="1" x14ac:dyDescent="0.25">
      <c r="A394" s="1149"/>
      <c r="B394" s="1253"/>
      <c r="C394" s="1160"/>
      <c r="D394" s="28" t="s">
        <v>263</v>
      </c>
      <c r="E394" s="94"/>
      <c r="F394" s="94"/>
      <c r="G394" s="80">
        <v>10</v>
      </c>
      <c r="H394" s="80">
        <v>26</v>
      </c>
      <c r="I394" s="80">
        <v>27</v>
      </c>
      <c r="J394" s="80">
        <v>26</v>
      </c>
      <c r="K394" s="80">
        <v>26</v>
      </c>
      <c r="L394" s="21"/>
    </row>
    <row r="395" spans="1:12" ht="15" customHeight="1" thickBot="1" x14ac:dyDescent="0.3">
      <c r="A395" s="1149"/>
      <c r="B395" s="1253"/>
      <c r="C395" s="1161"/>
      <c r="D395" s="203" t="s">
        <v>270</v>
      </c>
      <c r="E395" s="106"/>
      <c r="F395" s="106"/>
      <c r="G395" s="253">
        <f>(G394/G392)*100</f>
        <v>23.809523809523807</v>
      </c>
      <c r="H395" s="253">
        <f t="shared" ref="H395:K395" si="36">(H394/H392)*100</f>
        <v>22.807017543859647</v>
      </c>
      <c r="I395" s="253">
        <f t="shared" si="36"/>
        <v>23.478260869565219</v>
      </c>
      <c r="J395" s="253">
        <f t="shared" si="36"/>
        <v>23.008849557522122</v>
      </c>
      <c r="K395" s="253">
        <f t="shared" si="36"/>
        <v>23.008849557522122</v>
      </c>
      <c r="L395" s="22"/>
    </row>
    <row r="396" spans="1:12" ht="15" customHeight="1" x14ac:dyDescent="0.25">
      <c r="A396" s="1149"/>
      <c r="B396" s="1253"/>
      <c r="C396" s="1159" t="s">
        <v>470</v>
      </c>
      <c r="D396" s="248" t="s">
        <v>251</v>
      </c>
      <c r="E396" s="249"/>
      <c r="F396" s="250">
        <v>40</v>
      </c>
      <c r="G396" s="250">
        <v>39</v>
      </c>
      <c r="H396" s="250">
        <v>65</v>
      </c>
      <c r="I396" s="250">
        <v>65</v>
      </c>
      <c r="J396" s="250">
        <v>52</v>
      </c>
      <c r="K396" s="250">
        <v>39</v>
      </c>
      <c r="L396" s="20"/>
    </row>
    <row r="397" spans="1:12" ht="15" customHeight="1" x14ac:dyDescent="0.25">
      <c r="A397" s="1149"/>
      <c r="B397" s="1253"/>
      <c r="C397" s="1160"/>
      <c r="D397" s="28" t="s">
        <v>257</v>
      </c>
      <c r="E397" s="94"/>
      <c r="F397" s="80">
        <v>5</v>
      </c>
      <c r="G397" s="80">
        <v>5</v>
      </c>
      <c r="H397" s="80">
        <v>14</v>
      </c>
      <c r="I397" s="80">
        <v>11</v>
      </c>
      <c r="J397" s="80">
        <v>11</v>
      </c>
      <c r="K397" s="80">
        <v>7</v>
      </c>
      <c r="L397" s="21"/>
    </row>
    <row r="398" spans="1:12" ht="15" customHeight="1" x14ac:dyDescent="0.25">
      <c r="A398" s="1149"/>
      <c r="B398" s="1253"/>
      <c r="C398" s="1160"/>
      <c r="D398" s="28" t="s">
        <v>263</v>
      </c>
      <c r="E398" s="94"/>
      <c r="F398" s="80">
        <v>35</v>
      </c>
      <c r="G398" s="80">
        <v>34</v>
      </c>
      <c r="H398" s="80">
        <v>51</v>
      </c>
      <c r="I398" s="80">
        <v>54</v>
      </c>
      <c r="J398" s="80">
        <v>41</v>
      </c>
      <c r="K398" s="80">
        <v>32</v>
      </c>
      <c r="L398" s="21"/>
    </row>
    <row r="399" spans="1:12" ht="15" customHeight="1" thickBot="1" x14ac:dyDescent="0.3">
      <c r="A399" s="1149"/>
      <c r="B399" s="1253"/>
      <c r="C399" s="1161"/>
      <c r="D399" s="203" t="s">
        <v>270</v>
      </c>
      <c r="E399" s="106"/>
      <c r="F399" s="251">
        <f>(F398/F396)*100</f>
        <v>87.5</v>
      </c>
      <c r="G399" s="251">
        <f t="shared" ref="G399:K399" si="37">(G398/G396)*100</f>
        <v>87.179487179487182</v>
      </c>
      <c r="H399" s="251">
        <f t="shared" si="37"/>
        <v>78.461538461538467</v>
      </c>
      <c r="I399" s="251">
        <f t="shared" si="37"/>
        <v>83.07692307692308</v>
      </c>
      <c r="J399" s="251">
        <f t="shared" si="37"/>
        <v>78.84615384615384</v>
      </c>
      <c r="K399" s="251">
        <f t="shared" si="37"/>
        <v>82.051282051282044</v>
      </c>
      <c r="L399" s="22"/>
    </row>
    <row r="400" spans="1:12" ht="15" customHeight="1" x14ac:dyDescent="0.25">
      <c r="A400" s="1149"/>
      <c r="B400" s="1253"/>
      <c r="C400" s="1159" t="s">
        <v>471</v>
      </c>
      <c r="D400" s="248" t="s">
        <v>251</v>
      </c>
      <c r="E400" s="249"/>
      <c r="F400" s="249"/>
      <c r="G400" s="249"/>
      <c r="H400" s="250">
        <v>39</v>
      </c>
      <c r="I400" s="250">
        <v>35</v>
      </c>
      <c r="J400" s="250">
        <v>31</v>
      </c>
      <c r="K400" s="36">
        <v>30</v>
      </c>
      <c r="L400" s="20"/>
    </row>
    <row r="401" spans="1:12" ht="15" customHeight="1" x14ac:dyDescent="0.25">
      <c r="A401" s="1149"/>
      <c r="B401" s="1253"/>
      <c r="C401" s="1160"/>
      <c r="D401" s="28" t="s">
        <v>257</v>
      </c>
      <c r="E401" s="94"/>
      <c r="F401" s="94"/>
      <c r="G401" s="94"/>
      <c r="H401" s="80">
        <v>24</v>
      </c>
      <c r="I401" s="80">
        <v>21</v>
      </c>
      <c r="J401" s="80">
        <v>20</v>
      </c>
      <c r="K401" s="28">
        <v>24</v>
      </c>
      <c r="L401" s="21"/>
    </row>
    <row r="402" spans="1:12" ht="15" customHeight="1" x14ac:dyDescent="0.25">
      <c r="A402" s="1149"/>
      <c r="B402" s="1253"/>
      <c r="C402" s="1160"/>
      <c r="D402" s="28" t="s">
        <v>263</v>
      </c>
      <c r="E402" s="94"/>
      <c r="F402" s="94"/>
      <c r="G402" s="94"/>
      <c r="H402" s="80">
        <v>15</v>
      </c>
      <c r="I402" s="80">
        <v>14</v>
      </c>
      <c r="J402" s="80">
        <v>11</v>
      </c>
      <c r="K402" s="28">
        <v>6</v>
      </c>
      <c r="L402" s="83"/>
    </row>
    <row r="403" spans="1:12" ht="15" customHeight="1" thickBot="1" x14ac:dyDescent="0.3">
      <c r="A403" s="1149"/>
      <c r="B403" s="1253"/>
      <c r="C403" s="1161"/>
      <c r="D403" s="203" t="s">
        <v>270</v>
      </c>
      <c r="E403" s="106"/>
      <c r="F403" s="106"/>
      <c r="G403" s="106"/>
      <c r="H403" s="253">
        <f>(H402/H400)*100</f>
        <v>38.461538461538467</v>
      </c>
      <c r="I403" s="252">
        <f t="shared" ref="I403:K403" si="38">(I402/I400)*100</f>
        <v>40</v>
      </c>
      <c r="J403" s="253">
        <f t="shared" si="38"/>
        <v>35.483870967741936</v>
      </c>
      <c r="K403" s="253">
        <f t="shared" si="38"/>
        <v>20</v>
      </c>
      <c r="L403" s="22"/>
    </row>
    <row r="404" spans="1:12" ht="15" customHeight="1" x14ac:dyDescent="0.25">
      <c r="A404" s="1149"/>
      <c r="B404" s="1253"/>
      <c r="C404" s="1166" t="s">
        <v>472</v>
      </c>
      <c r="D404" s="308" t="s">
        <v>473</v>
      </c>
      <c r="E404" s="249"/>
      <c r="F404" s="261">
        <f>1/5*100</f>
        <v>20</v>
      </c>
      <c r="G404" s="261">
        <f>2/6*100</f>
        <v>33.333333333333329</v>
      </c>
      <c r="H404" s="261">
        <f>3/7*100</f>
        <v>42.857142857142854</v>
      </c>
      <c r="I404" s="310">
        <f>2/7*100</f>
        <v>28.571428571428569</v>
      </c>
      <c r="J404" s="261">
        <f>3/7*100</f>
        <v>42.857142857142854</v>
      </c>
      <c r="K404" s="261">
        <f>3/7*100</f>
        <v>42.857142857142854</v>
      </c>
      <c r="L404" s="20"/>
    </row>
    <row r="405" spans="1:12" ht="15" customHeight="1" x14ac:dyDescent="0.25">
      <c r="A405" s="1149"/>
      <c r="B405" s="1253"/>
      <c r="C405" s="1167"/>
      <c r="D405" s="232" t="s">
        <v>474</v>
      </c>
      <c r="E405" s="94"/>
      <c r="F405" s="234">
        <f>3/5*100</f>
        <v>60</v>
      </c>
      <c r="G405" s="235">
        <f>2/6*100</f>
        <v>33.333333333333329</v>
      </c>
      <c r="H405" s="235">
        <f>3/7*100</f>
        <v>42.857142857142854</v>
      </c>
      <c r="I405" s="234">
        <f>3/7*100</f>
        <v>42.857142857142854</v>
      </c>
      <c r="J405" s="235">
        <f>3/7*100</f>
        <v>42.857142857142854</v>
      </c>
      <c r="K405" s="235">
        <f>3/7*100</f>
        <v>42.857142857142854</v>
      </c>
      <c r="L405" s="21"/>
    </row>
    <row r="406" spans="1:12" ht="15" customHeight="1" thickBot="1" x14ac:dyDescent="0.3">
      <c r="A406" s="1149"/>
      <c r="B406" s="1254"/>
      <c r="C406" s="1168"/>
      <c r="D406" s="357" t="s">
        <v>475</v>
      </c>
      <c r="E406" s="126"/>
      <c r="F406" s="355">
        <f>1/5*100</f>
        <v>20</v>
      </c>
      <c r="G406" s="356">
        <f>2/6*100</f>
        <v>33.333333333333329</v>
      </c>
      <c r="H406" s="356">
        <f>1/7*100</f>
        <v>14.285714285714285</v>
      </c>
      <c r="I406" s="355">
        <f>2/7*100</f>
        <v>28.571428571428569</v>
      </c>
      <c r="J406" s="356">
        <f>1/7*100</f>
        <v>14.285714285714285</v>
      </c>
      <c r="K406" s="356">
        <f>1/7*100</f>
        <v>14.285714285714285</v>
      </c>
      <c r="L406" s="53"/>
    </row>
    <row r="407" spans="1:12" ht="16.5" thickBot="1" x14ac:dyDescent="0.3">
      <c r="A407" s="1149"/>
      <c r="B407" s="706" t="s">
        <v>249</v>
      </c>
      <c r="C407" s="1164"/>
      <c r="D407" s="1165"/>
      <c r="E407" s="707" t="s">
        <v>442</v>
      </c>
      <c r="F407" s="703" t="s">
        <v>443</v>
      </c>
      <c r="G407" s="703" t="s">
        <v>444</v>
      </c>
      <c r="H407" s="703" t="s">
        <v>445</v>
      </c>
      <c r="I407" s="703" t="s">
        <v>446</v>
      </c>
      <c r="J407" s="703" t="s">
        <v>447</v>
      </c>
      <c r="K407" s="704" t="s">
        <v>448</v>
      </c>
      <c r="L407" s="705" t="s">
        <v>449</v>
      </c>
    </row>
    <row r="408" spans="1:12" ht="15" customHeight="1" x14ac:dyDescent="0.25">
      <c r="A408" s="1149"/>
      <c r="B408" s="1113" t="s">
        <v>476</v>
      </c>
      <c r="C408" s="1153" t="s">
        <v>459</v>
      </c>
      <c r="D408" s="1122"/>
      <c r="E408" s="122"/>
      <c r="F408" s="192">
        <v>524</v>
      </c>
      <c r="G408" s="192">
        <v>460</v>
      </c>
      <c r="H408" s="192">
        <v>993</v>
      </c>
      <c r="I408" s="192">
        <v>934</v>
      </c>
      <c r="J408" s="192">
        <v>763</v>
      </c>
      <c r="K408" s="202">
        <v>831</v>
      </c>
      <c r="L408" s="87"/>
    </row>
    <row r="409" spans="1:12" x14ac:dyDescent="0.25">
      <c r="A409" s="1149"/>
      <c r="B409" s="1114"/>
      <c r="C409" s="1148" t="s">
        <v>436</v>
      </c>
      <c r="D409" s="1124"/>
      <c r="E409" s="157"/>
      <c r="F409" s="96">
        <v>234</v>
      </c>
      <c r="G409" s="96">
        <v>249</v>
      </c>
      <c r="H409" s="96">
        <v>499</v>
      </c>
      <c r="I409" s="96">
        <v>505</v>
      </c>
      <c r="J409" s="96">
        <v>372</v>
      </c>
      <c r="K409" s="96">
        <v>415</v>
      </c>
      <c r="L409" s="21"/>
    </row>
    <row r="410" spans="1:12" x14ac:dyDescent="0.25">
      <c r="A410" s="1149"/>
      <c r="B410" s="1114"/>
      <c r="C410" s="1148" t="s">
        <v>437</v>
      </c>
      <c r="D410" s="1124"/>
      <c r="E410" s="157"/>
      <c r="F410" s="96">
        <v>290</v>
      </c>
      <c r="G410" s="96">
        <v>211</v>
      </c>
      <c r="H410" s="96">
        <v>494</v>
      </c>
      <c r="I410" s="96">
        <v>429</v>
      </c>
      <c r="J410" s="96">
        <v>391</v>
      </c>
      <c r="K410" s="96">
        <v>416</v>
      </c>
      <c r="L410" s="21"/>
    </row>
    <row r="411" spans="1:12" x14ac:dyDescent="0.25">
      <c r="A411" s="1149"/>
      <c r="B411" s="1114"/>
      <c r="C411" s="1154" t="s">
        <v>270</v>
      </c>
      <c r="D411" s="1155"/>
      <c r="E411" s="197"/>
      <c r="F411" s="256">
        <f t="shared" ref="F411" si="39">F410/F408*100</f>
        <v>55.343511450381676</v>
      </c>
      <c r="G411" s="256">
        <f t="shared" ref="G411" si="40">G410/G408*100</f>
        <v>45.869565217391305</v>
      </c>
      <c r="H411" s="256">
        <f t="shared" ref="H411" si="41">H410/H408*100</f>
        <v>49.748237663645519</v>
      </c>
      <c r="I411" s="256">
        <f t="shared" ref="I411" si="42">I410/I408*100</f>
        <v>45.931477516059957</v>
      </c>
      <c r="J411" s="256">
        <f t="shared" ref="J411:K411" si="43">J410/J408*100</f>
        <v>51.245085190039319</v>
      </c>
      <c r="K411" s="256">
        <f t="shared" si="43"/>
        <v>50.060168471720822</v>
      </c>
      <c r="L411" s="22"/>
    </row>
    <row r="412" spans="1:12" x14ac:dyDescent="0.25">
      <c r="A412" s="1149"/>
      <c r="B412" s="1114"/>
      <c r="C412" s="1116" t="s">
        <v>466</v>
      </c>
      <c r="D412" s="248" t="s">
        <v>251</v>
      </c>
      <c r="E412" s="249"/>
      <c r="F412" s="250">
        <v>58</v>
      </c>
      <c r="G412" s="250">
        <v>67</v>
      </c>
      <c r="H412" s="250">
        <v>103</v>
      </c>
      <c r="I412" s="250">
        <v>73</v>
      </c>
      <c r="J412" s="250">
        <v>72</v>
      </c>
      <c r="K412" s="36">
        <v>68</v>
      </c>
      <c r="L412" s="20"/>
    </row>
    <row r="413" spans="1:12" x14ac:dyDescent="0.25">
      <c r="A413" s="1149"/>
      <c r="B413" s="1114"/>
      <c r="C413" s="1117"/>
      <c r="D413" s="28" t="s">
        <v>257</v>
      </c>
      <c r="E413" s="94"/>
      <c r="F413" s="236">
        <v>24</v>
      </c>
      <c r="G413" s="236">
        <v>33</v>
      </c>
      <c r="H413" s="236">
        <v>37</v>
      </c>
      <c r="I413" s="236">
        <v>28</v>
      </c>
      <c r="J413" s="236">
        <v>30</v>
      </c>
      <c r="K413" s="28">
        <v>27</v>
      </c>
      <c r="L413" s="21"/>
    </row>
    <row r="414" spans="1:12" x14ac:dyDescent="0.25">
      <c r="A414" s="1149"/>
      <c r="B414" s="1114"/>
      <c r="C414" s="1117"/>
      <c r="D414" s="28" t="s">
        <v>263</v>
      </c>
      <c r="E414" s="94"/>
      <c r="F414" s="236">
        <v>34</v>
      </c>
      <c r="G414" s="236">
        <v>24</v>
      </c>
      <c r="H414" s="236">
        <v>66</v>
      </c>
      <c r="I414" s="236">
        <v>45</v>
      </c>
      <c r="J414" s="236">
        <v>42</v>
      </c>
      <c r="K414" s="28">
        <v>41</v>
      </c>
      <c r="L414" s="21"/>
    </row>
    <row r="415" spans="1:12" ht="16.5" thickBot="1" x14ac:dyDescent="0.3">
      <c r="A415" s="1149"/>
      <c r="B415" s="1114"/>
      <c r="C415" s="1118"/>
      <c r="D415" s="203" t="s">
        <v>270</v>
      </c>
      <c r="E415" s="106"/>
      <c r="F415" s="252">
        <f t="shared" ref="F415:I415" si="44">F414/F412*100</f>
        <v>58.620689655172406</v>
      </c>
      <c r="G415" s="253">
        <f t="shared" si="44"/>
        <v>35.820895522388057</v>
      </c>
      <c r="H415" s="251">
        <f t="shared" si="44"/>
        <v>64.077669902912632</v>
      </c>
      <c r="I415" s="251">
        <f t="shared" si="44"/>
        <v>61.643835616438359</v>
      </c>
      <c r="J415" s="252">
        <f>J414/J412*100</f>
        <v>58.333333333333336</v>
      </c>
      <c r="K415" s="252">
        <f>K414/K412*100</f>
        <v>60.294117647058819</v>
      </c>
      <c r="L415" s="22"/>
    </row>
    <row r="416" spans="1:12" ht="14.85" customHeight="1" x14ac:dyDescent="0.25">
      <c r="A416" s="1149"/>
      <c r="B416" s="1114"/>
      <c r="C416" s="1116" t="s">
        <v>467</v>
      </c>
      <c r="D416" s="248" t="s">
        <v>251</v>
      </c>
      <c r="E416" s="249"/>
      <c r="F416" s="250">
        <v>42</v>
      </c>
      <c r="G416" s="250">
        <v>119</v>
      </c>
      <c r="H416" s="250">
        <v>222</v>
      </c>
      <c r="I416" s="250">
        <v>175</v>
      </c>
      <c r="J416" s="250">
        <v>187</v>
      </c>
      <c r="K416" s="36">
        <v>188</v>
      </c>
      <c r="L416" s="20"/>
    </row>
    <row r="417" spans="1:12 16384:16384" ht="14.85" customHeight="1" x14ac:dyDescent="0.25">
      <c r="A417" s="1149"/>
      <c r="B417" s="1114"/>
      <c r="C417" s="1117"/>
      <c r="D417" s="28" t="s">
        <v>257</v>
      </c>
      <c r="E417" s="94"/>
      <c r="F417" s="80">
        <v>41</v>
      </c>
      <c r="G417" s="80">
        <v>95</v>
      </c>
      <c r="H417" s="80">
        <v>194</v>
      </c>
      <c r="I417" s="80">
        <v>147</v>
      </c>
      <c r="J417" s="80">
        <v>144</v>
      </c>
      <c r="K417" s="28">
        <v>152</v>
      </c>
      <c r="L417" s="21"/>
    </row>
    <row r="418" spans="1:12 16384:16384" x14ac:dyDescent="0.25">
      <c r="A418" s="1149"/>
      <c r="B418" s="1114"/>
      <c r="C418" s="1117"/>
      <c r="D418" s="28" t="s">
        <v>263</v>
      </c>
      <c r="E418" s="94"/>
      <c r="F418" s="80">
        <v>1</v>
      </c>
      <c r="G418" s="80">
        <v>24</v>
      </c>
      <c r="H418" s="80">
        <v>28</v>
      </c>
      <c r="I418" s="80">
        <v>28</v>
      </c>
      <c r="J418" s="80">
        <v>43</v>
      </c>
      <c r="K418" s="28">
        <v>36</v>
      </c>
      <c r="L418" s="21"/>
    </row>
    <row r="419" spans="1:12 16384:16384" ht="16.5" thickBot="1" x14ac:dyDescent="0.3">
      <c r="A419" s="1149"/>
      <c r="B419" s="1114"/>
      <c r="C419" s="1118"/>
      <c r="D419" s="203" t="s">
        <v>270</v>
      </c>
      <c r="E419" s="106"/>
      <c r="F419" s="253">
        <f t="shared" ref="F419:I419" si="45">F418/F416*100</f>
        <v>2.3809523809523809</v>
      </c>
      <c r="G419" s="253">
        <f t="shared" si="45"/>
        <v>20.168067226890756</v>
      </c>
      <c r="H419" s="253">
        <f t="shared" si="45"/>
        <v>12.612612612612612</v>
      </c>
      <c r="I419" s="253">
        <f t="shared" si="45"/>
        <v>16</v>
      </c>
      <c r="J419" s="253">
        <f>J418/J416*100</f>
        <v>22.994652406417114</v>
      </c>
      <c r="K419" s="253">
        <f>K418/K416*100</f>
        <v>19.148936170212767</v>
      </c>
      <c r="L419" s="22"/>
    </row>
    <row r="420" spans="1:12 16384:16384" x14ac:dyDescent="0.25">
      <c r="A420" s="1149"/>
      <c r="B420" s="1114"/>
      <c r="C420" s="1116" t="s">
        <v>471</v>
      </c>
      <c r="D420" s="248" t="s">
        <v>251</v>
      </c>
      <c r="E420" s="249"/>
      <c r="F420" s="250">
        <v>19</v>
      </c>
      <c r="G420" s="250">
        <v>19</v>
      </c>
      <c r="H420" s="250"/>
      <c r="I420" s="250"/>
      <c r="J420" s="250"/>
      <c r="K420" s="36"/>
      <c r="L420" s="20"/>
    </row>
    <row r="421" spans="1:12 16384:16384" x14ac:dyDescent="0.25">
      <c r="A421" s="1149"/>
      <c r="B421" s="1114"/>
      <c r="C421" s="1117"/>
      <c r="D421" s="28" t="s">
        <v>257</v>
      </c>
      <c r="E421" s="94"/>
      <c r="F421" s="80">
        <v>11</v>
      </c>
      <c r="G421" s="80">
        <v>14</v>
      </c>
      <c r="H421" s="80"/>
      <c r="I421" s="80"/>
      <c r="J421" s="80"/>
      <c r="K421" s="28"/>
      <c r="L421" s="21"/>
    </row>
    <row r="422" spans="1:12 16384:16384" x14ac:dyDescent="0.25">
      <c r="A422" s="1149"/>
      <c r="B422" s="1114"/>
      <c r="C422" s="1117"/>
      <c r="D422" s="28" t="s">
        <v>263</v>
      </c>
      <c r="E422" s="94"/>
      <c r="F422" s="80">
        <v>8</v>
      </c>
      <c r="G422" s="80">
        <v>5</v>
      </c>
      <c r="H422" s="80"/>
      <c r="I422" s="80"/>
      <c r="J422" s="80"/>
      <c r="K422" s="28"/>
      <c r="L422" s="21"/>
    </row>
    <row r="423" spans="1:12 16384:16384" ht="16.5" thickBot="1" x14ac:dyDescent="0.3">
      <c r="A423" s="1149"/>
      <c r="B423" s="1114"/>
      <c r="C423" s="1118"/>
      <c r="D423" s="203" t="s">
        <v>270</v>
      </c>
      <c r="E423" s="106"/>
      <c r="F423" s="252">
        <f>F422/F420*100</f>
        <v>42.105263157894733</v>
      </c>
      <c r="G423" s="253">
        <f>G422/G420*100</f>
        <v>26.315789473684209</v>
      </c>
      <c r="H423" s="197"/>
      <c r="I423" s="197"/>
      <c r="J423" s="197"/>
      <c r="K423" s="33"/>
      <c r="L423" s="22"/>
    </row>
    <row r="424" spans="1:12 16384:16384" x14ac:dyDescent="0.25">
      <c r="A424" s="1149"/>
      <c r="B424" s="1114"/>
      <c r="C424" s="1116" t="s">
        <v>477</v>
      </c>
      <c r="D424" s="248" t="s">
        <v>251</v>
      </c>
      <c r="E424" s="249"/>
      <c r="F424" s="250">
        <v>67</v>
      </c>
      <c r="G424" s="250"/>
      <c r="H424" s="250"/>
      <c r="I424" s="250"/>
      <c r="J424" s="250"/>
      <c r="K424" s="36"/>
      <c r="L424" s="20"/>
    </row>
    <row r="425" spans="1:12 16384:16384" x14ac:dyDescent="0.25">
      <c r="A425" s="1149"/>
      <c r="B425" s="1114"/>
      <c r="C425" s="1117"/>
      <c r="D425" s="28" t="s">
        <v>257</v>
      </c>
      <c r="E425" s="94"/>
      <c r="F425" s="80">
        <v>3</v>
      </c>
      <c r="G425" s="80"/>
      <c r="H425" s="80"/>
      <c r="I425" s="80"/>
      <c r="J425" s="80"/>
      <c r="K425" s="28"/>
      <c r="L425" s="21"/>
    </row>
    <row r="426" spans="1:12 16384:16384" x14ac:dyDescent="0.25">
      <c r="A426" s="1149"/>
      <c r="B426" s="1114"/>
      <c r="C426" s="1117"/>
      <c r="D426" s="28" t="s">
        <v>263</v>
      </c>
      <c r="E426" s="94"/>
      <c r="F426" s="80">
        <v>64</v>
      </c>
      <c r="G426" s="80"/>
      <c r="H426" s="80"/>
      <c r="I426" s="80"/>
      <c r="J426" s="80"/>
      <c r="K426" s="28"/>
      <c r="L426" s="21"/>
    </row>
    <row r="427" spans="1:12 16384:16384" ht="16.5" thickBot="1" x14ac:dyDescent="0.3">
      <c r="A427" s="1149"/>
      <c r="B427" s="1114"/>
      <c r="C427" s="1118"/>
      <c r="D427" s="203" t="s">
        <v>270</v>
      </c>
      <c r="E427" s="106"/>
      <c r="F427" s="257">
        <f>F426/F424*100</f>
        <v>95.522388059701484</v>
      </c>
      <c r="G427" s="197"/>
      <c r="H427" s="197"/>
      <c r="I427" s="197"/>
      <c r="J427" s="197"/>
      <c r="K427" s="33"/>
      <c r="L427" s="22"/>
      <c r="XFD427" s="3"/>
    </row>
    <row r="428" spans="1:12 16384:16384" x14ac:dyDescent="0.25">
      <c r="A428" s="1149"/>
      <c r="B428" s="1114"/>
      <c r="C428" s="1116" t="s">
        <v>468</v>
      </c>
      <c r="D428" s="248" t="s">
        <v>251</v>
      </c>
      <c r="E428" s="249"/>
      <c r="F428" s="36">
        <v>132</v>
      </c>
      <c r="G428" s="225">
        <v>133</v>
      </c>
      <c r="H428" s="225">
        <v>240</v>
      </c>
      <c r="I428" s="225">
        <v>241</v>
      </c>
      <c r="J428" s="225">
        <v>246</v>
      </c>
      <c r="K428" s="36">
        <v>251</v>
      </c>
      <c r="L428" s="20"/>
    </row>
    <row r="429" spans="1:12 16384:16384" x14ac:dyDescent="0.25">
      <c r="A429" s="1149"/>
      <c r="B429" s="1114"/>
      <c r="C429" s="1117"/>
      <c r="D429" s="28" t="s">
        <v>257</v>
      </c>
      <c r="E429" s="94"/>
      <c r="F429" s="28">
        <v>66</v>
      </c>
      <c r="G429" s="96">
        <v>64</v>
      </c>
      <c r="H429" s="96">
        <v>90</v>
      </c>
      <c r="I429" s="96">
        <v>74</v>
      </c>
      <c r="J429" s="96">
        <v>84</v>
      </c>
      <c r="K429" s="28">
        <v>86</v>
      </c>
      <c r="L429" s="21"/>
    </row>
    <row r="430" spans="1:12 16384:16384" x14ac:dyDescent="0.25">
      <c r="A430" s="1149"/>
      <c r="B430" s="1114"/>
      <c r="C430" s="1117"/>
      <c r="D430" s="28" t="s">
        <v>263</v>
      </c>
      <c r="E430" s="94"/>
      <c r="F430" s="28">
        <v>66</v>
      </c>
      <c r="G430" s="96">
        <v>69</v>
      </c>
      <c r="H430" s="96">
        <v>150</v>
      </c>
      <c r="I430" s="96">
        <v>167</v>
      </c>
      <c r="J430" s="96">
        <v>162</v>
      </c>
      <c r="K430" s="28">
        <v>165</v>
      </c>
      <c r="L430" s="21"/>
    </row>
    <row r="431" spans="1:12 16384:16384" ht="16.5" thickBot="1" x14ac:dyDescent="0.3">
      <c r="A431" s="1149"/>
      <c r="B431" s="1114"/>
      <c r="C431" s="1118"/>
      <c r="D431" s="203" t="s">
        <v>270</v>
      </c>
      <c r="E431" s="106"/>
      <c r="F431" s="256">
        <f t="shared" ref="F431:I431" si="46">F430/F428*100</f>
        <v>50</v>
      </c>
      <c r="G431" s="256">
        <f t="shared" si="46"/>
        <v>51.879699248120303</v>
      </c>
      <c r="H431" s="257">
        <f t="shared" si="46"/>
        <v>62.5</v>
      </c>
      <c r="I431" s="257">
        <f t="shared" si="46"/>
        <v>69.294605809128626</v>
      </c>
      <c r="J431" s="257">
        <f>J430/J428*100</f>
        <v>65.853658536585371</v>
      </c>
      <c r="K431" s="257">
        <f>K430/K428*100</f>
        <v>65.73705179282868</v>
      </c>
      <c r="L431" s="22"/>
    </row>
    <row r="432" spans="1:12 16384:16384" x14ac:dyDescent="0.25">
      <c r="A432" s="1149"/>
      <c r="B432" s="1114"/>
      <c r="C432" s="1116" t="s">
        <v>465</v>
      </c>
      <c r="D432" s="248" t="s">
        <v>251</v>
      </c>
      <c r="E432" s="249"/>
      <c r="F432" s="225">
        <v>100</v>
      </c>
      <c r="G432" s="225">
        <v>23</v>
      </c>
      <c r="H432" s="225">
        <v>61</v>
      </c>
      <c r="I432" s="225">
        <v>51</v>
      </c>
      <c r="J432" s="225">
        <v>38</v>
      </c>
      <c r="K432" s="36">
        <v>41</v>
      </c>
      <c r="L432" s="20"/>
    </row>
    <row r="433" spans="1:12" x14ac:dyDescent="0.25">
      <c r="A433" s="1149"/>
      <c r="B433" s="1114"/>
      <c r="C433" s="1117"/>
      <c r="D433" s="28" t="s">
        <v>257</v>
      </c>
      <c r="E433" s="94"/>
      <c r="F433" s="96">
        <v>16</v>
      </c>
      <c r="G433" s="96">
        <v>5</v>
      </c>
      <c r="H433" s="96">
        <v>12</v>
      </c>
      <c r="I433" s="96">
        <v>9</v>
      </c>
      <c r="J433" s="96">
        <v>8</v>
      </c>
      <c r="K433" s="28">
        <v>9</v>
      </c>
      <c r="L433" s="21"/>
    </row>
    <row r="434" spans="1:12" x14ac:dyDescent="0.25">
      <c r="A434" s="1149"/>
      <c r="B434" s="1114"/>
      <c r="C434" s="1117"/>
      <c r="D434" s="28" t="s">
        <v>263</v>
      </c>
      <c r="E434" s="94"/>
      <c r="F434" s="96">
        <v>84</v>
      </c>
      <c r="G434" s="96">
        <v>18</v>
      </c>
      <c r="H434" s="96">
        <v>49</v>
      </c>
      <c r="I434" s="96">
        <v>42</v>
      </c>
      <c r="J434" s="96">
        <v>30</v>
      </c>
      <c r="K434" s="28">
        <v>32</v>
      </c>
      <c r="L434" s="21"/>
    </row>
    <row r="435" spans="1:12" x14ac:dyDescent="0.25">
      <c r="A435" s="1149"/>
      <c r="B435" s="1114"/>
      <c r="C435" s="1118"/>
      <c r="D435" s="203" t="s">
        <v>270</v>
      </c>
      <c r="E435" s="106"/>
      <c r="F435" s="257">
        <f t="shared" ref="F435:I435" si="47">F434/F432*100</f>
        <v>84</v>
      </c>
      <c r="G435" s="257">
        <f t="shared" si="47"/>
        <v>78.260869565217391</v>
      </c>
      <c r="H435" s="257">
        <f t="shared" si="47"/>
        <v>80.327868852459019</v>
      </c>
      <c r="I435" s="257">
        <f t="shared" si="47"/>
        <v>82.35294117647058</v>
      </c>
      <c r="J435" s="257">
        <f>J434/J432*100</f>
        <v>78.94736842105263</v>
      </c>
      <c r="K435" s="257">
        <f>K434/K432*100</f>
        <v>78.048780487804876</v>
      </c>
      <c r="L435" s="22"/>
    </row>
    <row r="436" spans="1:12" x14ac:dyDescent="0.25">
      <c r="A436" s="1149"/>
      <c r="B436" s="1114"/>
      <c r="C436" s="1116" t="s">
        <v>478</v>
      </c>
      <c r="D436" s="248" t="s">
        <v>251</v>
      </c>
      <c r="E436" s="249"/>
      <c r="F436" s="36">
        <v>73</v>
      </c>
      <c r="G436" s="36">
        <v>17</v>
      </c>
      <c r="H436" s="225">
        <v>51</v>
      </c>
      <c r="I436" s="225">
        <v>69</v>
      </c>
      <c r="J436" s="225">
        <v>61</v>
      </c>
      <c r="K436" s="36">
        <v>60</v>
      </c>
      <c r="L436" s="20"/>
    </row>
    <row r="437" spans="1:12" x14ac:dyDescent="0.25">
      <c r="A437" s="1149"/>
      <c r="B437" s="1114"/>
      <c r="C437" s="1117"/>
      <c r="D437" s="28" t="s">
        <v>257</v>
      </c>
      <c r="E437" s="94"/>
      <c r="F437" s="28">
        <v>60</v>
      </c>
      <c r="G437" s="28">
        <v>14</v>
      </c>
      <c r="H437" s="96">
        <v>41</v>
      </c>
      <c r="I437" s="96">
        <v>54</v>
      </c>
      <c r="J437" s="96">
        <v>48</v>
      </c>
      <c r="K437" s="28">
        <v>49</v>
      </c>
      <c r="L437" s="21"/>
    </row>
    <row r="438" spans="1:12" x14ac:dyDescent="0.25">
      <c r="A438" s="1149"/>
      <c r="B438" s="1114"/>
      <c r="C438" s="1117"/>
      <c r="D438" s="28" t="s">
        <v>263</v>
      </c>
      <c r="E438" s="94"/>
      <c r="F438" s="96">
        <v>13</v>
      </c>
      <c r="G438" s="96">
        <v>3</v>
      </c>
      <c r="H438" s="96">
        <v>10</v>
      </c>
      <c r="I438" s="96">
        <v>15</v>
      </c>
      <c r="J438" s="96">
        <v>13</v>
      </c>
      <c r="K438" s="28">
        <v>11</v>
      </c>
      <c r="L438" s="21"/>
    </row>
    <row r="439" spans="1:12" ht="16.5" thickBot="1" x14ac:dyDescent="0.3">
      <c r="A439" s="1149"/>
      <c r="B439" s="1114"/>
      <c r="C439" s="1118"/>
      <c r="D439" s="203" t="s">
        <v>270</v>
      </c>
      <c r="E439" s="106"/>
      <c r="F439" s="258">
        <f t="shared" ref="F439:I439" si="48">F438/F436*100</f>
        <v>17.80821917808219</v>
      </c>
      <c r="G439" s="258">
        <f t="shared" si="48"/>
        <v>17.647058823529413</v>
      </c>
      <c r="H439" s="258">
        <f t="shared" si="48"/>
        <v>19.607843137254903</v>
      </c>
      <c r="I439" s="258">
        <f t="shared" si="48"/>
        <v>21.739130434782609</v>
      </c>
      <c r="J439" s="258">
        <f>J438/J436*100</f>
        <v>21.311475409836063</v>
      </c>
      <c r="K439" s="258">
        <f>K438/K436*100</f>
        <v>18.333333333333332</v>
      </c>
      <c r="L439" s="22"/>
    </row>
    <row r="440" spans="1:12" ht="14.85" customHeight="1" x14ac:dyDescent="0.25">
      <c r="A440" s="1149"/>
      <c r="B440" s="1114"/>
      <c r="C440" s="1116" t="s">
        <v>479</v>
      </c>
      <c r="D440" s="248" t="s">
        <v>251</v>
      </c>
      <c r="E440" s="249"/>
      <c r="F440" s="225"/>
      <c r="G440" s="225"/>
      <c r="H440" s="225">
        <v>66</v>
      </c>
      <c r="I440" s="225">
        <v>68</v>
      </c>
      <c r="J440" s="225">
        <v>77</v>
      </c>
      <c r="K440" s="36">
        <v>75</v>
      </c>
      <c r="L440" s="20"/>
    </row>
    <row r="441" spans="1:12" ht="14.85" customHeight="1" x14ac:dyDescent="0.25">
      <c r="A441" s="1149"/>
      <c r="B441" s="1114"/>
      <c r="C441" s="1117"/>
      <c r="D441" s="28" t="s">
        <v>257</v>
      </c>
      <c r="E441" s="94"/>
      <c r="F441" s="96"/>
      <c r="G441" s="96"/>
      <c r="H441" s="96">
        <v>48</v>
      </c>
      <c r="I441" s="96">
        <v>50</v>
      </c>
      <c r="J441" s="96">
        <v>60</v>
      </c>
      <c r="K441" s="28">
        <v>22</v>
      </c>
      <c r="L441" s="21"/>
    </row>
    <row r="442" spans="1:12" x14ac:dyDescent="0.25">
      <c r="A442" s="1149"/>
      <c r="B442" s="1114"/>
      <c r="C442" s="1117"/>
      <c r="D442" s="28" t="s">
        <v>263</v>
      </c>
      <c r="E442" s="94"/>
      <c r="F442" s="96"/>
      <c r="G442" s="96"/>
      <c r="H442" s="96">
        <v>18</v>
      </c>
      <c r="I442" s="96">
        <v>18</v>
      </c>
      <c r="J442" s="96">
        <v>17</v>
      </c>
      <c r="K442" s="28">
        <v>53</v>
      </c>
      <c r="L442" s="21"/>
    </row>
    <row r="443" spans="1:12" x14ac:dyDescent="0.25">
      <c r="A443" s="1149"/>
      <c r="B443" s="1114"/>
      <c r="C443" s="1118"/>
      <c r="D443" s="203" t="s">
        <v>270</v>
      </c>
      <c r="E443" s="106"/>
      <c r="F443" s="197"/>
      <c r="G443" s="197"/>
      <c r="H443" s="258">
        <f t="shared" ref="H443:I443" si="49">H442/H440*100</f>
        <v>27.27272727272727</v>
      </c>
      <c r="I443" s="258">
        <f t="shared" si="49"/>
        <v>26.47058823529412</v>
      </c>
      <c r="J443" s="258">
        <f>J442/J440*100</f>
        <v>22.077922077922079</v>
      </c>
      <c r="K443" s="258">
        <f>K442/K440*100</f>
        <v>70.666666666666671</v>
      </c>
      <c r="L443" s="22"/>
    </row>
    <row r="444" spans="1:12" ht="14.85" customHeight="1" x14ac:dyDescent="0.25">
      <c r="A444" s="1149"/>
      <c r="B444" s="1114"/>
      <c r="C444" s="1116" t="s">
        <v>480</v>
      </c>
      <c r="D444" s="248" t="s">
        <v>251</v>
      </c>
      <c r="E444" s="249"/>
      <c r="F444" s="225">
        <v>33</v>
      </c>
      <c r="G444" s="225">
        <v>92</v>
      </c>
      <c r="H444" s="225">
        <v>213</v>
      </c>
      <c r="I444" s="225">
        <v>126</v>
      </c>
      <c r="J444" s="225">
        <v>57</v>
      </c>
      <c r="K444" s="36">
        <v>125</v>
      </c>
      <c r="L444" s="20"/>
    </row>
    <row r="445" spans="1:12" ht="14.85" customHeight="1" x14ac:dyDescent="0.25">
      <c r="A445" s="1149"/>
      <c r="B445" s="1114"/>
      <c r="C445" s="1117"/>
      <c r="D445" s="28" t="s">
        <v>257</v>
      </c>
      <c r="E445" s="94"/>
      <c r="F445" s="96">
        <v>13</v>
      </c>
      <c r="G445" s="96">
        <v>24</v>
      </c>
      <c r="H445" s="96">
        <v>91</v>
      </c>
      <c r="I445" s="96">
        <v>56</v>
      </c>
      <c r="J445" s="96">
        <v>27</v>
      </c>
      <c r="K445" s="28">
        <v>58</v>
      </c>
      <c r="L445" s="21"/>
    </row>
    <row r="446" spans="1:12" x14ac:dyDescent="0.25">
      <c r="A446" s="1149"/>
      <c r="B446" s="1114"/>
      <c r="C446" s="1117"/>
      <c r="D446" s="28" t="s">
        <v>263</v>
      </c>
      <c r="E446" s="94"/>
      <c r="F446" s="96">
        <v>20</v>
      </c>
      <c r="G446" s="96">
        <v>68</v>
      </c>
      <c r="H446" s="96">
        <v>122</v>
      </c>
      <c r="I446" s="96">
        <v>70</v>
      </c>
      <c r="J446" s="96">
        <v>30</v>
      </c>
      <c r="K446" s="28">
        <v>67</v>
      </c>
      <c r="L446" s="21"/>
    </row>
    <row r="447" spans="1:12" x14ac:dyDescent="0.25">
      <c r="A447" s="1149"/>
      <c r="B447" s="1114"/>
      <c r="C447" s="1118"/>
      <c r="D447" s="203" t="s">
        <v>270</v>
      </c>
      <c r="E447" s="106"/>
      <c r="F447" s="257">
        <f t="shared" ref="F447:I447" si="50">F446/F444*100</f>
        <v>60.606060606060609</v>
      </c>
      <c r="G447" s="257">
        <f t="shared" si="50"/>
        <v>73.91304347826086</v>
      </c>
      <c r="H447" s="256">
        <f t="shared" si="50"/>
        <v>57.276995305164327</v>
      </c>
      <c r="I447" s="256">
        <f t="shared" si="50"/>
        <v>55.555555555555557</v>
      </c>
      <c r="J447" s="256">
        <f>J446/J444*100</f>
        <v>52.631578947368418</v>
      </c>
      <c r="K447" s="256">
        <f>K446/K444*100</f>
        <v>53.6</v>
      </c>
      <c r="L447" s="22"/>
    </row>
    <row r="448" spans="1:12" ht="14.85" customHeight="1" x14ac:dyDescent="0.25">
      <c r="A448" s="1149"/>
      <c r="B448" s="1114"/>
      <c r="C448" s="1116" t="s">
        <v>481</v>
      </c>
      <c r="D448" s="248" t="s">
        <v>251</v>
      </c>
      <c r="E448" s="249"/>
      <c r="F448" s="225"/>
      <c r="G448" s="225"/>
      <c r="H448" s="225">
        <v>28</v>
      </c>
      <c r="I448" s="225">
        <v>32</v>
      </c>
      <c r="J448" s="225">
        <v>25</v>
      </c>
      <c r="K448" s="36">
        <v>23</v>
      </c>
      <c r="L448" s="20"/>
    </row>
    <row r="449" spans="1:12" ht="14.85" customHeight="1" x14ac:dyDescent="0.25">
      <c r="A449" s="1149"/>
      <c r="B449" s="1114"/>
      <c r="C449" s="1117"/>
      <c r="D449" s="28" t="s">
        <v>257</v>
      </c>
      <c r="E449" s="94"/>
      <c r="F449" s="96"/>
      <c r="G449" s="96"/>
      <c r="H449" s="96">
        <v>9</v>
      </c>
      <c r="I449" s="96">
        <v>13</v>
      </c>
      <c r="J449" s="96">
        <v>14</v>
      </c>
      <c r="K449" s="28">
        <v>12</v>
      </c>
      <c r="L449" s="21"/>
    </row>
    <row r="450" spans="1:12" x14ac:dyDescent="0.25">
      <c r="A450" s="1149"/>
      <c r="B450" s="1114"/>
      <c r="C450" s="1117"/>
      <c r="D450" s="28" t="s">
        <v>263</v>
      </c>
      <c r="E450" s="94"/>
      <c r="F450" s="96"/>
      <c r="G450" s="96"/>
      <c r="H450" s="96">
        <v>19</v>
      </c>
      <c r="I450" s="96">
        <v>19</v>
      </c>
      <c r="J450" s="96">
        <v>11</v>
      </c>
      <c r="K450" s="28">
        <v>11</v>
      </c>
      <c r="L450" s="21"/>
    </row>
    <row r="451" spans="1:12" ht="16.5" thickBot="1" x14ac:dyDescent="0.3">
      <c r="A451" s="1149"/>
      <c r="B451" s="1114"/>
      <c r="C451" s="1118"/>
      <c r="D451" s="203" t="s">
        <v>270</v>
      </c>
      <c r="E451" s="106"/>
      <c r="F451" s="197"/>
      <c r="G451" s="197"/>
      <c r="H451" s="257">
        <f t="shared" ref="H451:I451" si="51">H450/H448*100</f>
        <v>67.857142857142861</v>
      </c>
      <c r="I451" s="256">
        <f t="shared" si="51"/>
        <v>59.375</v>
      </c>
      <c r="J451" s="256">
        <f>J450/J448*100</f>
        <v>44</v>
      </c>
      <c r="K451" s="256">
        <f>K450/K448*100</f>
        <v>47.826086956521742</v>
      </c>
      <c r="L451" s="22"/>
    </row>
    <row r="452" spans="1:12" ht="14.85" customHeight="1" x14ac:dyDescent="0.25">
      <c r="A452" s="1149"/>
      <c r="B452" s="1114"/>
      <c r="C452" s="1116" t="s">
        <v>482</v>
      </c>
      <c r="D452" s="248" t="s">
        <v>251</v>
      </c>
      <c r="E452" s="249"/>
      <c r="F452" s="36"/>
      <c r="G452" s="225"/>
      <c r="H452" s="225">
        <v>9</v>
      </c>
      <c r="I452" s="225"/>
      <c r="J452" s="225"/>
      <c r="K452" s="36"/>
      <c r="L452" s="20"/>
    </row>
    <row r="453" spans="1:12" ht="14.85" customHeight="1" x14ac:dyDescent="0.25">
      <c r="A453" s="1149"/>
      <c r="B453" s="1114"/>
      <c r="C453" s="1117"/>
      <c r="D453" s="28" t="s">
        <v>257</v>
      </c>
      <c r="E453" s="94"/>
      <c r="F453" s="28"/>
      <c r="G453" s="96"/>
      <c r="H453" s="96">
        <v>7</v>
      </c>
      <c r="I453" s="96"/>
      <c r="J453" s="96"/>
      <c r="K453" s="28"/>
      <c r="L453" s="21"/>
    </row>
    <row r="454" spans="1:12" x14ac:dyDescent="0.25">
      <c r="A454" s="1149"/>
      <c r="B454" s="1114"/>
      <c r="C454" s="1117"/>
      <c r="D454" s="28" t="s">
        <v>263</v>
      </c>
      <c r="E454" s="94"/>
      <c r="F454" s="28"/>
      <c r="G454" s="96"/>
      <c r="H454" s="96">
        <v>2</v>
      </c>
      <c r="I454" s="96"/>
      <c r="J454" s="96"/>
      <c r="K454" s="28"/>
      <c r="L454" s="21"/>
    </row>
    <row r="455" spans="1:12" ht="16.5" thickBot="1" x14ac:dyDescent="0.3">
      <c r="A455" s="1149"/>
      <c r="B455" s="1114"/>
      <c r="C455" s="1118"/>
      <c r="D455" s="203" t="s">
        <v>270</v>
      </c>
      <c r="E455" s="106"/>
      <c r="F455" s="203"/>
      <c r="G455" s="203"/>
      <c r="H455" s="258">
        <f>H454/H452*100</f>
        <v>22.222222222222221</v>
      </c>
      <c r="I455" s="33"/>
      <c r="J455" s="33"/>
      <c r="K455" s="33"/>
      <c r="L455" s="22"/>
    </row>
    <row r="456" spans="1:12" x14ac:dyDescent="0.25">
      <c r="A456" s="1149"/>
      <c r="B456" s="1114"/>
      <c r="C456" s="1166" t="s">
        <v>483</v>
      </c>
      <c r="D456" s="308" t="s">
        <v>473</v>
      </c>
      <c r="E456" s="249"/>
      <c r="F456" s="261">
        <f>2/8*100</f>
        <v>25</v>
      </c>
      <c r="G456" s="261">
        <f>4/7*100</f>
        <v>57.142857142857139</v>
      </c>
      <c r="H456" s="261">
        <f>4/9*100</f>
        <v>44.444444444444443</v>
      </c>
      <c r="I456" s="310">
        <f>3/8*100</f>
        <v>37.5</v>
      </c>
      <c r="J456" s="261">
        <f>3/8*100</f>
        <v>37.5</v>
      </c>
      <c r="K456" s="261">
        <f>2/8*100</f>
        <v>25</v>
      </c>
      <c r="L456" s="20"/>
    </row>
    <row r="457" spans="1:12" x14ac:dyDescent="0.25">
      <c r="A457" s="1149"/>
      <c r="B457" s="1114"/>
      <c r="C457" s="1167"/>
      <c r="D457" s="232" t="s">
        <v>474</v>
      </c>
      <c r="E457" s="94"/>
      <c r="F457" s="234">
        <f>3/8*100</f>
        <v>37.5</v>
      </c>
      <c r="G457" s="235">
        <f>2/7*100</f>
        <v>28.571428571428569</v>
      </c>
      <c r="H457" s="235">
        <v>44.444444444444443</v>
      </c>
      <c r="I457" s="234">
        <f>3/8*100</f>
        <v>37.5</v>
      </c>
      <c r="J457" s="235">
        <f>2/8*100</f>
        <v>25</v>
      </c>
      <c r="K457" s="235">
        <f>2/8*100</f>
        <v>25</v>
      </c>
      <c r="L457" s="21"/>
    </row>
    <row r="458" spans="1:12" ht="16.5" thickBot="1" x14ac:dyDescent="0.3">
      <c r="A458" s="1149"/>
      <c r="B458" s="1115"/>
      <c r="C458" s="1255"/>
      <c r="D458" s="311" t="s">
        <v>475</v>
      </c>
      <c r="E458" s="104"/>
      <c r="F458" s="312">
        <v>37.5</v>
      </c>
      <c r="G458" s="904">
        <f>1/7*100</f>
        <v>14.285714285714285</v>
      </c>
      <c r="H458" s="904">
        <f>1/9*100</f>
        <v>11.111111111111111</v>
      </c>
      <c r="I458" s="312">
        <f>2/8*100</f>
        <v>25</v>
      </c>
      <c r="J458" s="312">
        <f>3/8*100</f>
        <v>37.5</v>
      </c>
      <c r="K458" s="312">
        <f>3/8*100</f>
        <v>37.5</v>
      </c>
      <c r="L458" s="22"/>
    </row>
    <row r="459" spans="1:12" ht="16.5" thickBot="1" x14ac:dyDescent="0.3">
      <c r="A459" s="1149"/>
      <c r="B459" s="697" t="s">
        <v>249</v>
      </c>
      <c r="C459" s="1129"/>
      <c r="D459" s="1158"/>
      <c r="E459" s="703" t="s">
        <v>442</v>
      </c>
      <c r="F459" s="703" t="s">
        <v>443</v>
      </c>
      <c r="G459" s="703" t="s">
        <v>444</v>
      </c>
      <c r="H459" s="703" t="s">
        <v>445</v>
      </c>
      <c r="I459" s="703" t="s">
        <v>446</v>
      </c>
      <c r="J459" s="703" t="s">
        <v>447</v>
      </c>
      <c r="K459" s="704" t="s">
        <v>448</v>
      </c>
      <c r="L459" s="705" t="s">
        <v>449</v>
      </c>
    </row>
    <row r="460" spans="1:12" x14ac:dyDescent="0.25">
      <c r="A460" s="1149"/>
      <c r="B460" s="1150" t="s">
        <v>219</v>
      </c>
      <c r="C460" s="1121" t="s">
        <v>459</v>
      </c>
      <c r="D460" s="1122"/>
      <c r="E460" s="122"/>
      <c r="F460" s="713"/>
      <c r="G460" s="713"/>
      <c r="H460" s="713"/>
      <c r="I460" s="194">
        <v>212</v>
      </c>
      <c r="J460" s="194">
        <v>289</v>
      </c>
      <c r="K460" s="202">
        <v>258</v>
      </c>
      <c r="L460" s="87"/>
    </row>
    <row r="461" spans="1:12" x14ac:dyDescent="0.25">
      <c r="A461" s="1149"/>
      <c r="B461" s="1151"/>
      <c r="C461" s="1123" t="s">
        <v>436</v>
      </c>
      <c r="D461" s="1124"/>
      <c r="E461" s="28"/>
      <c r="F461" s="187"/>
      <c r="G461" s="187"/>
      <c r="H461" s="187"/>
      <c r="I461" s="187">
        <v>111</v>
      </c>
      <c r="J461" s="187">
        <v>149</v>
      </c>
      <c r="K461" s="28">
        <v>154</v>
      </c>
      <c r="L461" s="21"/>
    </row>
    <row r="462" spans="1:12" x14ac:dyDescent="0.25">
      <c r="A462" s="1149"/>
      <c r="B462" s="1151"/>
      <c r="C462" s="1123" t="s">
        <v>437</v>
      </c>
      <c r="D462" s="1124"/>
      <c r="E462" s="157"/>
      <c r="F462" s="157"/>
      <c r="G462" s="157"/>
      <c r="H462" s="157"/>
      <c r="I462" s="157">
        <v>101</v>
      </c>
      <c r="J462" s="157">
        <v>140</v>
      </c>
      <c r="K462" s="157">
        <v>104</v>
      </c>
      <c r="L462" s="21"/>
    </row>
    <row r="463" spans="1:12" x14ac:dyDescent="0.25">
      <c r="A463" s="1149"/>
      <c r="B463" s="1151"/>
      <c r="C463" s="1111" t="s">
        <v>353</v>
      </c>
      <c r="D463" s="1112"/>
      <c r="E463" s="157"/>
      <c r="F463" s="157"/>
      <c r="G463" s="157"/>
      <c r="H463" s="157"/>
      <c r="I463" s="157">
        <f>I462-I461</f>
        <v>-10</v>
      </c>
      <c r="J463" s="157">
        <f>J462-J461</f>
        <v>-9</v>
      </c>
      <c r="K463" s="157">
        <f>K462-K461</f>
        <v>-50</v>
      </c>
      <c r="L463" s="21"/>
    </row>
    <row r="464" spans="1:12" ht="16.5" thickBot="1" x14ac:dyDescent="0.3">
      <c r="A464" s="1149"/>
      <c r="B464" s="1151"/>
      <c r="C464" s="1125" t="s">
        <v>270</v>
      </c>
      <c r="D464" s="1126"/>
      <c r="E464" s="197"/>
      <c r="F464" s="197"/>
      <c r="G464" s="197"/>
      <c r="H464" s="197"/>
      <c r="I464" s="34">
        <f>I462/I460*100</f>
        <v>47.641509433962263</v>
      </c>
      <c r="J464" s="34">
        <f>J462/J460*100</f>
        <v>48.442906574394463</v>
      </c>
      <c r="K464" s="34">
        <f>K462/K460*100</f>
        <v>40.310077519379846</v>
      </c>
      <c r="L464" s="22"/>
    </row>
    <row r="465" spans="1:12" x14ac:dyDescent="0.25">
      <c r="A465" s="1149"/>
      <c r="B465" s="1151"/>
      <c r="C465" s="1251" t="s">
        <v>484</v>
      </c>
      <c r="D465" s="1206"/>
      <c r="E465" s="195"/>
      <c r="F465" s="195"/>
      <c r="G465" s="195"/>
      <c r="H465" s="195"/>
      <c r="I465" s="261">
        <f>0.375*100</f>
        <v>37.5</v>
      </c>
      <c r="J465" s="261">
        <f>0.4*100</f>
        <v>40</v>
      </c>
      <c r="K465" s="261">
        <f>6/10*100</f>
        <v>60</v>
      </c>
      <c r="L465" s="20"/>
    </row>
    <row r="466" spans="1:12" x14ac:dyDescent="0.25">
      <c r="A466" s="1149"/>
      <c r="B466" s="1151"/>
      <c r="C466" s="1109" t="s">
        <v>485</v>
      </c>
      <c r="D466" s="1110"/>
      <c r="E466" s="157"/>
      <c r="F466" s="157"/>
      <c r="G466" s="157"/>
      <c r="H466" s="157"/>
      <c r="I466" s="235">
        <f>0.125*100</f>
        <v>12.5</v>
      </c>
      <c r="J466" s="235">
        <f>0.3*100</f>
        <v>30</v>
      </c>
      <c r="K466" s="235">
        <f>3/16*100</f>
        <v>18.75</v>
      </c>
      <c r="L466" s="21"/>
    </row>
    <row r="467" spans="1:12" ht="16.5" thickBot="1" x14ac:dyDescent="0.3">
      <c r="A467" s="1149"/>
      <c r="B467" s="1152"/>
      <c r="C467" s="1156" t="s">
        <v>486</v>
      </c>
      <c r="D467" s="1157"/>
      <c r="E467" s="441"/>
      <c r="F467" s="441"/>
      <c r="G467" s="441"/>
      <c r="H467" s="441"/>
      <c r="I467" s="356">
        <f>4/8*100</f>
        <v>50</v>
      </c>
      <c r="J467" s="356">
        <f>3/10*100</f>
        <v>30</v>
      </c>
      <c r="K467" s="356">
        <f>3/16*100</f>
        <v>18.75</v>
      </c>
      <c r="L467" s="53"/>
    </row>
    <row r="468" spans="1:12" ht="16.5" thickBot="1" x14ac:dyDescent="0.3">
      <c r="A468" s="151" t="s">
        <v>248</v>
      </c>
      <c r="B468" s="694" t="s">
        <v>249</v>
      </c>
      <c r="C468" s="1129"/>
      <c r="D468" s="1129"/>
      <c r="E468" s="695">
        <v>2005</v>
      </c>
      <c r="F468" s="695">
        <v>2010</v>
      </c>
      <c r="G468" s="695">
        <v>2015</v>
      </c>
      <c r="H468" s="695">
        <v>2020</v>
      </c>
      <c r="I468" s="695">
        <v>2021</v>
      </c>
      <c r="J468" s="695">
        <v>2022</v>
      </c>
      <c r="K468" s="695">
        <v>2023</v>
      </c>
      <c r="L468" s="696">
        <v>2024</v>
      </c>
    </row>
    <row r="469" spans="1:12" ht="15" customHeight="1" x14ac:dyDescent="0.25">
      <c r="A469" s="1278" t="s">
        <v>487</v>
      </c>
      <c r="B469" s="1119" t="s">
        <v>227</v>
      </c>
      <c r="C469" s="1121" t="s">
        <v>435</v>
      </c>
      <c r="D469" s="1122"/>
      <c r="E469" s="122"/>
      <c r="F469" s="122"/>
      <c r="G469" s="122"/>
      <c r="H469" s="122"/>
      <c r="I469" s="122"/>
      <c r="J469" s="122"/>
      <c r="K469" s="702">
        <v>1449</v>
      </c>
      <c r="L469" s="323">
        <v>1536</v>
      </c>
    </row>
    <row r="470" spans="1:12" x14ac:dyDescent="0.25">
      <c r="A470" s="1278"/>
      <c r="B470" s="1119"/>
      <c r="C470" s="1123" t="s">
        <v>436</v>
      </c>
      <c r="D470" s="1124"/>
      <c r="E470" s="28"/>
      <c r="F470" s="28"/>
      <c r="G470" s="28"/>
      <c r="H470" s="28"/>
      <c r="I470" s="28"/>
      <c r="J470" s="28"/>
      <c r="K470" s="28">
        <v>492</v>
      </c>
      <c r="L470" s="21">
        <v>522</v>
      </c>
    </row>
    <row r="471" spans="1:12" x14ac:dyDescent="0.25">
      <c r="A471" s="1278"/>
      <c r="B471" s="1119"/>
      <c r="C471" s="1123" t="s">
        <v>437</v>
      </c>
      <c r="D471" s="1124"/>
      <c r="E471" s="28"/>
      <c r="F471" s="28"/>
      <c r="G471" s="28"/>
      <c r="H471" s="28"/>
      <c r="I471" s="28"/>
      <c r="J471" s="28"/>
      <c r="K471" s="28">
        <v>955</v>
      </c>
      <c r="L471" s="21">
        <v>1014</v>
      </c>
    </row>
    <row r="472" spans="1:12" x14ac:dyDescent="0.25">
      <c r="A472" s="1278"/>
      <c r="B472" s="1119"/>
      <c r="C472" s="1127" t="s">
        <v>353</v>
      </c>
      <c r="D472" s="1128"/>
      <c r="E472" s="28"/>
      <c r="F472" s="28"/>
      <c r="G472" s="28"/>
      <c r="H472" s="28"/>
      <c r="I472" s="28"/>
      <c r="J472" s="28"/>
      <c r="K472" s="262">
        <f t="shared" ref="K472" si="52">K471-K470</f>
        <v>463</v>
      </c>
      <c r="L472" s="317">
        <v>492</v>
      </c>
    </row>
    <row r="473" spans="1:12" ht="16.5" thickBot="1" x14ac:dyDescent="0.3">
      <c r="A473" s="1278"/>
      <c r="B473" s="1120"/>
      <c r="C473" s="1125" t="s">
        <v>270</v>
      </c>
      <c r="D473" s="1126"/>
      <c r="E473" s="197"/>
      <c r="F473" s="197"/>
      <c r="G473" s="197"/>
      <c r="H473" s="197"/>
      <c r="I473" s="197"/>
      <c r="J473" s="197"/>
      <c r="K473" s="161">
        <f t="shared" ref="K473" si="53">K471/K469*100</f>
        <v>65.907522429261562</v>
      </c>
      <c r="L473" s="162">
        <v>66.015625</v>
      </c>
    </row>
    <row r="474" spans="1:12" x14ac:dyDescent="0.25">
      <c r="A474" s="1278"/>
      <c r="B474" s="1276" t="s">
        <v>488</v>
      </c>
      <c r="C474" s="1251" t="s">
        <v>489</v>
      </c>
      <c r="D474" s="1206"/>
      <c r="E474" s="40"/>
      <c r="F474" s="40">
        <v>167</v>
      </c>
      <c r="G474" s="40">
        <v>200</v>
      </c>
      <c r="H474" s="40">
        <v>286</v>
      </c>
      <c r="I474" s="40"/>
      <c r="J474" s="40"/>
      <c r="K474" s="40">
        <v>319</v>
      </c>
      <c r="L474" s="325">
        <v>319</v>
      </c>
    </row>
    <row r="475" spans="1:12" x14ac:dyDescent="0.25">
      <c r="A475" s="1278"/>
      <c r="B475" s="1119"/>
      <c r="C475" s="1109" t="s">
        <v>490</v>
      </c>
      <c r="D475" s="1110"/>
      <c r="E475" s="44"/>
      <c r="F475" s="44">
        <v>12</v>
      </c>
      <c r="G475" s="44">
        <v>12</v>
      </c>
      <c r="H475" s="44">
        <v>11</v>
      </c>
      <c r="I475" s="44"/>
      <c r="J475" s="44"/>
      <c r="K475" s="44">
        <v>11</v>
      </c>
      <c r="L475" s="317">
        <v>12</v>
      </c>
    </row>
    <row r="476" spans="1:12" ht="16.5" thickBot="1" x14ac:dyDescent="0.3">
      <c r="A476" s="1278"/>
      <c r="B476" s="1119"/>
      <c r="C476" s="1277" t="s">
        <v>491</v>
      </c>
      <c r="D476" s="1142"/>
      <c r="E476" s="336"/>
      <c r="F476" s="165">
        <f>F475/F474*100</f>
        <v>7.1856287425149699</v>
      </c>
      <c r="G476" s="165">
        <f t="shared" ref="G476:H476" si="54">G475/G474*100</f>
        <v>6</v>
      </c>
      <c r="H476" s="165">
        <f t="shared" si="54"/>
        <v>3.8461538461538463</v>
      </c>
      <c r="I476" s="336"/>
      <c r="J476" s="336"/>
      <c r="K476" s="165">
        <f>K475/K474*100</f>
        <v>3.4482758620689653</v>
      </c>
      <c r="L476" s="166">
        <v>3.761755485893417</v>
      </c>
    </row>
    <row r="477" spans="1:12" ht="16.5" thickBot="1" x14ac:dyDescent="0.3">
      <c r="A477" s="151" t="s">
        <v>248</v>
      </c>
      <c r="B477" s="1030" t="s">
        <v>249</v>
      </c>
      <c r="C477" s="1275"/>
      <c r="D477" s="1275"/>
      <c r="E477" s="986">
        <v>2005</v>
      </c>
      <c r="F477" s="986">
        <v>2010</v>
      </c>
      <c r="G477" s="986">
        <v>2015</v>
      </c>
      <c r="H477" s="986">
        <v>2020</v>
      </c>
      <c r="I477" s="986">
        <v>2021</v>
      </c>
      <c r="J477" s="986">
        <v>2022</v>
      </c>
      <c r="K477" s="724">
        <v>2023</v>
      </c>
      <c r="L477" s="729">
        <v>2024</v>
      </c>
    </row>
    <row r="478" spans="1:12" ht="15" customHeight="1" x14ac:dyDescent="0.25">
      <c r="A478" s="1261" t="s">
        <v>492</v>
      </c>
      <c r="B478" s="1258" t="s">
        <v>493</v>
      </c>
      <c r="C478" s="1205" t="s">
        <v>459</v>
      </c>
      <c r="D478" s="1206"/>
      <c r="E478" s="40"/>
      <c r="F478" s="195">
        <v>1962</v>
      </c>
      <c r="G478" s="195">
        <v>2078</v>
      </c>
      <c r="H478" s="195">
        <v>1518</v>
      </c>
      <c r="I478" s="195">
        <v>2165</v>
      </c>
      <c r="J478" s="195">
        <v>2563</v>
      </c>
      <c r="K478" s="195">
        <v>2923</v>
      </c>
      <c r="L478" s="195">
        <v>2792</v>
      </c>
    </row>
    <row r="479" spans="1:12" x14ac:dyDescent="0.25">
      <c r="A479" s="1261"/>
      <c r="B479" s="1259"/>
      <c r="C479" s="1117" t="s">
        <v>436</v>
      </c>
      <c r="D479" s="28" t="s">
        <v>494</v>
      </c>
      <c r="E479" s="28"/>
      <c r="F479" s="96">
        <v>892</v>
      </c>
      <c r="G479" s="96">
        <v>1000</v>
      </c>
      <c r="H479" s="96">
        <v>932</v>
      </c>
      <c r="I479" s="96">
        <v>1289</v>
      </c>
      <c r="J479" s="96">
        <v>1535</v>
      </c>
      <c r="K479" s="96">
        <v>1779</v>
      </c>
      <c r="L479" s="21">
        <v>1677</v>
      </c>
    </row>
    <row r="480" spans="1:12" x14ac:dyDescent="0.25">
      <c r="A480" s="1261"/>
      <c r="B480" s="1259"/>
      <c r="C480" s="1117"/>
      <c r="D480" s="28"/>
      <c r="E480" s="28"/>
      <c r="F480" s="96"/>
      <c r="G480" s="96"/>
      <c r="H480" s="96"/>
      <c r="I480" s="96"/>
      <c r="J480" s="96"/>
      <c r="K480" s="96"/>
      <c r="L480" s="21"/>
    </row>
    <row r="481" spans="1:12" x14ac:dyDescent="0.25">
      <c r="A481" s="1261"/>
      <c r="B481" s="1259"/>
      <c r="C481" s="1117"/>
      <c r="D481" s="28" t="s">
        <v>495</v>
      </c>
      <c r="E481" s="28"/>
      <c r="F481" s="96">
        <v>135</v>
      </c>
      <c r="G481" s="96">
        <v>148</v>
      </c>
      <c r="H481" s="96">
        <v>76</v>
      </c>
      <c r="I481" s="96">
        <v>125</v>
      </c>
      <c r="J481" s="96">
        <v>143</v>
      </c>
      <c r="K481" s="96">
        <v>181</v>
      </c>
      <c r="L481" s="21">
        <v>150</v>
      </c>
    </row>
    <row r="482" spans="1:12" x14ac:dyDescent="0.25">
      <c r="A482" s="1261"/>
      <c r="B482" s="1259"/>
      <c r="C482" s="1117" t="s">
        <v>437</v>
      </c>
      <c r="D482" s="28" t="s">
        <v>496</v>
      </c>
      <c r="E482" s="28"/>
      <c r="F482" s="96">
        <v>198</v>
      </c>
      <c r="G482" s="96">
        <v>210</v>
      </c>
      <c r="H482" s="96">
        <v>228</v>
      </c>
      <c r="I482" s="96">
        <v>323</v>
      </c>
      <c r="J482" s="96">
        <v>368</v>
      </c>
      <c r="K482" s="96">
        <v>381</v>
      </c>
      <c r="L482" s="21">
        <v>377</v>
      </c>
    </row>
    <row r="483" spans="1:12" ht="16.5" thickBot="1" x14ac:dyDescent="0.3">
      <c r="A483" s="1261"/>
      <c r="B483" s="1259"/>
      <c r="C483" s="1274"/>
      <c r="D483" s="110" t="s">
        <v>497</v>
      </c>
      <c r="E483" s="110"/>
      <c r="F483" s="360">
        <v>199</v>
      </c>
      <c r="G483" s="360">
        <v>199</v>
      </c>
      <c r="H483" s="360">
        <v>115</v>
      </c>
      <c r="I483" s="360">
        <v>155</v>
      </c>
      <c r="J483" s="360">
        <v>169</v>
      </c>
      <c r="K483" s="360">
        <v>218</v>
      </c>
      <c r="L483" s="53">
        <v>206</v>
      </c>
    </row>
    <row r="484" spans="1:12" x14ac:dyDescent="0.25">
      <c r="A484" s="1261"/>
      <c r="B484" s="1259"/>
      <c r="C484" s="1263" t="s">
        <v>353</v>
      </c>
      <c r="D484" s="40" t="s">
        <v>498</v>
      </c>
      <c r="E484" s="36"/>
      <c r="F484" s="81">
        <f t="shared" ref="F484:L484" si="55">+F482-F479</f>
        <v>-694</v>
      </c>
      <c r="G484" s="81">
        <f t="shared" si="55"/>
        <v>-790</v>
      </c>
      <c r="H484" s="81">
        <f t="shared" si="55"/>
        <v>-704</v>
      </c>
      <c r="I484" s="81">
        <f t="shared" si="55"/>
        <v>-966</v>
      </c>
      <c r="J484" s="81">
        <f t="shared" si="55"/>
        <v>-1167</v>
      </c>
      <c r="K484" s="81">
        <f t="shared" si="55"/>
        <v>-1398</v>
      </c>
      <c r="L484" s="81">
        <f t="shared" si="55"/>
        <v>-1300</v>
      </c>
    </row>
    <row r="485" spans="1:12" x14ac:dyDescent="0.25">
      <c r="A485" s="1261"/>
      <c r="B485" s="1259"/>
      <c r="C485" s="1256"/>
      <c r="D485" s="44" t="s">
        <v>499</v>
      </c>
      <c r="E485" s="28"/>
      <c r="F485" s="79">
        <f t="shared" ref="F485:L485" si="56">F483-F481</f>
        <v>64</v>
      </c>
      <c r="G485" s="79">
        <f t="shared" si="56"/>
        <v>51</v>
      </c>
      <c r="H485" s="79">
        <f t="shared" si="56"/>
        <v>39</v>
      </c>
      <c r="I485" s="79">
        <f t="shared" si="56"/>
        <v>30</v>
      </c>
      <c r="J485" s="79">
        <f t="shared" si="56"/>
        <v>26</v>
      </c>
      <c r="K485" s="79">
        <f t="shared" si="56"/>
        <v>37</v>
      </c>
      <c r="L485" s="79">
        <f t="shared" si="56"/>
        <v>56</v>
      </c>
    </row>
    <row r="486" spans="1:12" ht="16.5" customHeight="1" x14ac:dyDescent="0.25">
      <c r="A486" s="1261"/>
      <c r="B486" s="1259"/>
      <c r="C486" s="1256" t="s">
        <v>270</v>
      </c>
      <c r="D486" s="44" t="s">
        <v>500</v>
      </c>
      <c r="E486" s="28"/>
      <c r="F486" s="263">
        <f t="shared" ref="F486:L486" si="57">+F482/(F482+F479)*100</f>
        <v>18.165137614678901</v>
      </c>
      <c r="G486" s="263">
        <f t="shared" si="57"/>
        <v>17.355371900826448</v>
      </c>
      <c r="H486" s="263">
        <f t="shared" si="57"/>
        <v>19.655172413793103</v>
      </c>
      <c r="I486" s="263">
        <f t="shared" si="57"/>
        <v>20.037220843672458</v>
      </c>
      <c r="J486" s="263">
        <f t="shared" si="57"/>
        <v>19.337887545980031</v>
      </c>
      <c r="K486" s="263">
        <f t="shared" si="57"/>
        <v>17.638888888888889</v>
      </c>
      <c r="L486" s="263">
        <f t="shared" si="57"/>
        <v>18.354430379746837</v>
      </c>
    </row>
    <row r="487" spans="1:12" ht="16.5" thickBot="1" x14ac:dyDescent="0.3">
      <c r="A487" s="1262"/>
      <c r="B487" s="1260"/>
      <c r="C487" s="1257"/>
      <c r="D487" s="203" t="s">
        <v>501</v>
      </c>
      <c r="E487" s="33"/>
      <c r="F487" s="230">
        <f>+F483/(F483+F481)*100</f>
        <v>59.580838323353291</v>
      </c>
      <c r="G487" s="230">
        <f t="shared" ref="G487:L487" si="58">+G483/(G483+G481)*100</f>
        <v>57.348703170028813</v>
      </c>
      <c r="H487" s="230">
        <f t="shared" si="58"/>
        <v>60.209424083769633</v>
      </c>
      <c r="I487" s="230">
        <f t="shared" si="58"/>
        <v>55.357142857142861</v>
      </c>
      <c r="J487" s="230">
        <f t="shared" si="58"/>
        <v>54.166666666666664</v>
      </c>
      <c r="K487" s="230">
        <f t="shared" si="58"/>
        <v>54.636591478696737</v>
      </c>
      <c r="L487" s="230">
        <f t="shared" si="58"/>
        <v>57.865168539325836</v>
      </c>
    </row>
  </sheetData>
  <mergeCells count="232">
    <mergeCell ref="B372:B406"/>
    <mergeCell ref="C456:C458"/>
    <mergeCell ref="C486:C487"/>
    <mergeCell ref="B478:B487"/>
    <mergeCell ref="A478:A487"/>
    <mergeCell ref="C484:C485"/>
    <mergeCell ref="B326:B335"/>
    <mergeCell ref="C326:C330"/>
    <mergeCell ref="C331:C335"/>
    <mergeCell ref="A317:A340"/>
    <mergeCell ref="B336:B340"/>
    <mergeCell ref="C340:D340"/>
    <mergeCell ref="C479:C481"/>
    <mergeCell ref="C482:C483"/>
    <mergeCell ref="C477:D477"/>
    <mergeCell ref="C478:D478"/>
    <mergeCell ref="B474:B476"/>
    <mergeCell ref="C474:D474"/>
    <mergeCell ref="C476:D476"/>
    <mergeCell ref="A469:A476"/>
    <mergeCell ref="A342:A349"/>
    <mergeCell ref="C350:D350"/>
    <mergeCell ref="C358:D358"/>
    <mergeCell ref="C359:D359"/>
    <mergeCell ref="C373:D373"/>
    <mergeCell ref="C461:D461"/>
    <mergeCell ref="C462:D462"/>
    <mergeCell ref="C465:D465"/>
    <mergeCell ref="C376:C379"/>
    <mergeCell ref="C380:C383"/>
    <mergeCell ref="C412:C415"/>
    <mergeCell ref="C432:C435"/>
    <mergeCell ref="C436:C439"/>
    <mergeCell ref="C464:D464"/>
    <mergeCell ref="A351:A360"/>
    <mergeCell ref="C347:D347"/>
    <mergeCell ref="C348:D348"/>
    <mergeCell ref="C349:D349"/>
    <mergeCell ref="B342:B345"/>
    <mergeCell ref="C341:D341"/>
    <mergeCell ref="C342:D342"/>
    <mergeCell ref="C343:D343"/>
    <mergeCell ref="C344:D344"/>
    <mergeCell ref="C345:D345"/>
    <mergeCell ref="B351:B360"/>
    <mergeCell ref="C351:C353"/>
    <mergeCell ref="C360:D360"/>
    <mergeCell ref="B346:B349"/>
    <mergeCell ref="C346:D346"/>
    <mergeCell ref="C354:C356"/>
    <mergeCell ref="C357:D357"/>
    <mergeCell ref="C181:C184"/>
    <mergeCell ref="C185:C188"/>
    <mergeCell ref="C189:C192"/>
    <mergeCell ref="B56:B60"/>
    <mergeCell ref="C56:D56"/>
    <mergeCell ref="C57:D57"/>
    <mergeCell ref="C58:D58"/>
    <mergeCell ref="C59:D59"/>
    <mergeCell ref="C60:D60"/>
    <mergeCell ref="B62:B315"/>
    <mergeCell ref="C273:C276"/>
    <mergeCell ref="C277:C280"/>
    <mergeCell ref="C281:C284"/>
    <mergeCell ref="C213:C216"/>
    <mergeCell ref="C217:C220"/>
    <mergeCell ref="C149:C152"/>
    <mergeCell ref="C221:C224"/>
    <mergeCell ref="C225:C228"/>
    <mergeCell ref="C229:C232"/>
    <mergeCell ref="C65:C68"/>
    <mergeCell ref="C153:C156"/>
    <mergeCell ref="C157:C160"/>
    <mergeCell ref="C161:C164"/>
    <mergeCell ref="C201:C204"/>
    <mergeCell ref="C173:C176"/>
    <mergeCell ref="C177:C180"/>
    <mergeCell ref="B52:B55"/>
    <mergeCell ref="C52:D52"/>
    <mergeCell ref="C53:D53"/>
    <mergeCell ref="C54:D54"/>
    <mergeCell ref="C55:D55"/>
    <mergeCell ref="B47:B51"/>
    <mergeCell ref="C47:D47"/>
    <mergeCell ref="C165:C168"/>
    <mergeCell ref="C169:C172"/>
    <mergeCell ref="C81:C84"/>
    <mergeCell ref="C85:C88"/>
    <mergeCell ref="C89:C92"/>
    <mergeCell ref="C93:C96"/>
    <mergeCell ref="C97:C100"/>
    <mergeCell ref="C69:C72"/>
    <mergeCell ref="C73:C76"/>
    <mergeCell ref="C77:C80"/>
    <mergeCell ref="C121:C124"/>
    <mergeCell ref="C125:C128"/>
    <mergeCell ref="C129:C132"/>
    <mergeCell ref="C61:D61"/>
    <mergeCell ref="C133:C136"/>
    <mergeCell ref="C137:C140"/>
    <mergeCell ref="C141:C144"/>
    <mergeCell ref="C145:C148"/>
    <mergeCell ref="C48:D48"/>
    <mergeCell ref="C49:D49"/>
    <mergeCell ref="C50:D50"/>
    <mergeCell ref="C51:D51"/>
    <mergeCell ref="B31:B35"/>
    <mergeCell ref="C31:D31"/>
    <mergeCell ref="C42:D42"/>
    <mergeCell ref="C43:D43"/>
    <mergeCell ref="C45:D45"/>
    <mergeCell ref="A3:A45"/>
    <mergeCell ref="B3:B7"/>
    <mergeCell ref="B8:B29"/>
    <mergeCell ref="B36:B40"/>
    <mergeCell ref="B41:B45"/>
    <mergeCell ref="C36:D36"/>
    <mergeCell ref="C37:D37"/>
    <mergeCell ref="C38:D38"/>
    <mergeCell ref="C39:D39"/>
    <mergeCell ref="C30:D30"/>
    <mergeCell ref="C44:D44"/>
    <mergeCell ref="C40:D40"/>
    <mergeCell ref="C41:D41"/>
    <mergeCell ref="C25:C29"/>
    <mergeCell ref="C3:D3"/>
    <mergeCell ref="C4:D4"/>
    <mergeCell ref="C5:D5"/>
    <mergeCell ref="C6:D6"/>
    <mergeCell ref="C32:D32"/>
    <mergeCell ref="C2:D2"/>
    <mergeCell ref="C7:D7"/>
    <mergeCell ref="C8:C13"/>
    <mergeCell ref="C14:C19"/>
    <mergeCell ref="C20:C24"/>
    <mergeCell ref="C466:D466"/>
    <mergeCell ref="C374:D374"/>
    <mergeCell ref="C361:D361"/>
    <mergeCell ref="C368:D368"/>
    <mergeCell ref="C362:C364"/>
    <mergeCell ref="C365:C367"/>
    <mergeCell ref="C336:D336"/>
    <mergeCell ref="C245:C248"/>
    <mergeCell ref="C316:D316"/>
    <mergeCell ref="C33:D33"/>
    <mergeCell ref="C193:C196"/>
    <mergeCell ref="C34:D34"/>
    <mergeCell ref="C35:D35"/>
    <mergeCell ref="C46:D46"/>
    <mergeCell ref="C101:C104"/>
    <mergeCell ref="C105:C108"/>
    <mergeCell ref="C109:C112"/>
    <mergeCell ref="C113:C116"/>
    <mergeCell ref="C117:C120"/>
    <mergeCell ref="A47:A315"/>
    <mergeCell ref="C62:C64"/>
    <mergeCell ref="C313:D313"/>
    <mergeCell ref="C314:D314"/>
    <mergeCell ref="C315:D315"/>
    <mergeCell ref="C285:C288"/>
    <mergeCell ref="C289:C292"/>
    <mergeCell ref="C293:C296"/>
    <mergeCell ref="C297:C300"/>
    <mergeCell ref="C301:C304"/>
    <mergeCell ref="C305:C308"/>
    <mergeCell ref="C309:C312"/>
    <mergeCell ref="C249:C252"/>
    <mergeCell ref="C253:C256"/>
    <mergeCell ref="C257:C260"/>
    <mergeCell ref="C261:C264"/>
    <mergeCell ref="C197:C200"/>
    <mergeCell ref="C205:C208"/>
    <mergeCell ref="C209:C212"/>
    <mergeCell ref="C265:C268"/>
    <mergeCell ref="C269:C272"/>
    <mergeCell ref="C233:C236"/>
    <mergeCell ref="C237:C240"/>
    <mergeCell ref="C241:C244"/>
    <mergeCell ref="A362:A467"/>
    <mergeCell ref="B362:B370"/>
    <mergeCell ref="C408:D408"/>
    <mergeCell ref="C409:D409"/>
    <mergeCell ref="C410:D410"/>
    <mergeCell ref="C411:D411"/>
    <mergeCell ref="C467:D467"/>
    <mergeCell ref="C459:D459"/>
    <mergeCell ref="C384:C387"/>
    <mergeCell ref="C388:C391"/>
    <mergeCell ref="C400:C403"/>
    <mergeCell ref="C392:C395"/>
    <mergeCell ref="C396:C399"/>
    <mergeCell ref="C371:D371"/>
    <mergeCell ref="B460:B467"/>
    <mergeCell ref="C407:D407"/>
    <mergeCell ref="C440:C443"/>
    <mergeCell ref="C444:C447"/>
    <mergeCell ref="C404:C406"/>
    <mergeCell ref="C370:D370"/>
    <mergeCell ref="C369:D369"/>
    <mergeCell ref="C375:D375"/>
    <mergeCell ref="C460:D460"/>
    <mergeCell ref="C372:D372"/>
    <mergeCell ref="B317:B321"/>
    <mergeCell ref="C317:D317"/>
    <mergeCell ref="C318:D318"/>
    <mergeCell ref="C319:D319"/>
    <mergeCell ref="C320:D320"/>
    <mergeCell ref="C321:D321"/>
    <mergeCell ref="C337:D337"/>
    <mergeCell ref="C338:D338"/>
    <mergeCell ref="C339:D339"/>
    <mergeCell ref="C325:D325"/>
    <mergeCell ref="B322:B325"/>
    <mergeCell ref="C322:D322"/>
    <mergeCell ref="C323:D323"/>
    <mergeCell ref="C324:D324"/>
    <mergeCell ref="C475:D475"/>
    <mergeCell ref="C463:D463"/>
    <mergeCell ref="B408:B458"/>
    <mergeCell ref="C448:C451"/>
    <mergeCell ref="C452:C455"/>
    <mergeCell ref="C416:C419"/>
    <mergeCell ref="C420:C423"/>
    <mergeCell ref="C424:C427"/>
    <mergeCell ref="C428:C431"/>
    <mergeCell ref="B469:B473"/>
    <mergeCell ref="C469:D469"/>
    <mergeCell ref="C470:D470"/>
    <mergeCell ref="C471:D471"/>
    <mergeCell ref="C473:D473"/>
    <mergeCell ref="C472:D472"/>
    <mergeCell ref="C468:D468"/>
  </mergeCells>
  <phoneticPr fontId="5" type="noConversion"/>
  <conditionalFormatting sqref="E349:F349">
    <cfRule type="cellIs" dxfId="1294" priority="254" operator="lessThan">
      <formula>0</formula>
    </cfRule>
    <cfRule type="cellIs" dxfId="1293" priority="255" operator="greaterThan">
      <formula>0</formula>
    </cfRule>
  </conditionalFormatting>
  <conditionalFormatting sqref="E6:G6">
    <cfRule type="cellIs" dxfId="1292" priority="246" operator="greaterThan">
      <formula>1</formula>
    </cfRule>
    <cfRule type="cellIs" dxfId="1291" priority="247" operator="lessThan">
      <formula>1</formula>
    </cfRule>
    <cfRule type="cellIs" dxfId="1290" priority="248" operator="greaterThan">
      <formula>1</formula>
    </cfRule>
  </conditionalFormatting>
  <conditionalFormatting sqref="E7:G7">
    <cfRule type="cellIs" dxfId="1289" priority="244" operator="lessThan">
      <formula>50</formula>
    </cfRule>
    <cfRule type="cellIs" dxfId="1288" priority="245" operator="greaterThan">
      <formula>50</formula>
    </cfRule>
  </conditionalFormatting>
  <conditionalFormatting sqref="E20:G20 E23:L24">
    <cfRule type="cellIs" dxfId="1287" priority="94" operator="greaterThan">
      <formula>1</formula>
    </cfRule>
    <cfRule type="cellIs" dxfId="1286" priority="95" operator="lessThan">
      <formula>1</formula>
    </cfRule>
    <cfRule type="cellIs" dxfId="1285" priority="96" operator="greaterThan">
      <formula>1</formula>
    </cfRule>
  </conditionalFormatting>
  <conditionalFormatting sqref="E25:G25 E28:L29">
    <cfRule type="cellIs" dxfId="1284" priority="92" operator="lessThan">
      <formula>50</formula>
    </cfRule>
    <cfRule type="cellIs" dxfId="1283" priority="93" operator="greaterThan">
      <formula>50</formula>
    </cfRule>
  </conditionalFormatting>
  <conditionalFormatting sqref="E345:K345">
    <cfRule type="cellIs" dxfId="1282" priority="257" operator="greaterThan">
      <formula>0</formula>
    </cfRule>
    <cfRule type="cellIs" dxfId="1281" priority="256" operator="lessThan">
      <formula>0</formula>
    </cfRule>
  </conditionalFormatting>
  <conditionalFormatting sqref="E39:L39">
    <cfRule type="cellIs" dxfId="1280" priority="225" operator="greaterThan">
      <formula>1</formula>
    </cfRule>
    <cfRule type="cellIs" dxfId="1279" priority="224" operator="lessThan">
      <formula>1</formula>
    </cfRule>
    <cfRule type="cellIs" dxfId="1278" priority="223" operator="greaterThan">
      <formula>1</formula>
    </cfRule>
    <cfRule type="cellIs" dxfId="1277" priority="217" operator="greaterThan">
      <formula>1</formula>
    </cfRule>
  </conditionalFormatting>
  <conditionalFormatting sqref="E40:L40">
    <cfRule type="cellIs" dxfId="1276" priority="216" operator="greaterThan">
      <formula>50</formula>
    </cfRule>
    <cfRule type="cellIs" dxfId="1275" priority="226" operator="lessThan">
      <formula>50</formula>
    </cfRule>
    <cfRule type="cellIs" dxfId="1274" priority="227" operator="greaterThan">
      <formula>50</formula>
    </cfRule>
  </conditionalFormatting>
  <conditionalFormatting sqref="E44:L44">
    <cfRule type="cellIs" dxfId="1273" priority="214" operator="lessThan">
      <formula>1</formula>
    </cfRule>
    <cfRule type="cellIs" dxfId="1272" priority="213" operator="greaterThan">
      <formula>1</formula>
    </cfRule>
    <cfRule type="cellIs" dxfId="1271" priority="212" operator="greaterThan">
      <formula>1</formula>
    </cfRule>
    <cfRule type="cellIs" dxfId="1270" priority="215" operator="greaterThan">
      <formula>1</formula>
    </cfRule>
  </conditionalFormatting>
  <conditionalFormatting sqref="E45:L45">
    <cfRule type="cellIs" dxfId="1269" priority="209" operator="greaterThan">
      <formula>50</formula>
    </cfRule>
    <cfRule type="cellIs" dxfId="1268" priority="210" operator="lessThan">
      <formula>50</formula>
    </cfRule>
    <cfRule type="cellIs" dxfId="1267" priority="211" operator="greaterThan">
      <formula>50</formula>
    </cfRule>
  </conditionalFormatting>
  <conditionalFormatting sqref="E50:L50">
    <cfRule type="cellIs" dxfId="1266" priority="194" operator="greaterThan">
      <formula>1</formula>
    </cfRule>
    <cfRule type="cellIs" dxfId="1265" priority="193" operator="lessThan">
      <formula>1</formula>
    </cfRule>
    <cfRule type="cellIs" dxfId="1264" priority="196" operator="lessThan">
      <formula>1</formula>
    </cfRule>
    <cfRule type="cellIs" dxfId="1263" priority="195" operator="greaterThan">
      <formula>1</formula>
    </cfRule>
    <cfRule type="cellIs" dxfId="1262" priority="197" operator="greaterThan">
      <formula>1</formula>
    </cfRule>
  </conditionalFormatting>
  <conditionalFormatting sqref="E51:L51">
    <cfRule type="cellIs" dxfId="1261" priority="192" operator="greaterThan">
      <formula>50</formula>
    </cfRule>
    <cfRule type="cellIs" dxfId="1260" priority="190" operator="lessThan">
      <formula>50</formula>
    </cfRule>
    <cfRule type="cellIs" dxfId="1259" priority="191" operator="lessThan">
      <formula>50</formula>
    </cfRule>
  </conditionalFormatting>
  <conditionalFormatting sqref="F360:K360">
    <cfRule type="cellIs" dxfId="1258" priority="22" operator="lessThan">
      <formula>0</formula>
    </cfRule>
    <cfRule type="cellIs" dxfId="1257" priority="23" operator="greaterThan">
      <formula>0</formula>
    </cfRule>
  </conditionalFormatting>
  <conditionalFormatting sqref="F370:K370">
    <cfRule type="cellIs" dxfId="1256" priority="120" operator="lessThan">
      <formula>0</formula>
    </cfRule>
  </conditionalFormatting>
  <conditionalFormatting sqref="F320:L321">
    <cfRule type="cellIs" dxfId="1255" priority="126" operator="lessThan">
      <formula>1</formula>
    </cfRule>
  </conditionalFormatting>
  <conditionalFormatting sqref="F484:L484">
    <cfRule type="cellIs" dxfId="1254" priority="4" operator="lessThan">
      <formula>0</formula>
    </cfRule>
  </conditionalFormatting>
  <conditionalFormatting sqref="F485:L487">
    <cfRule type="cellIs" dxfId="1253" priority="2" operator="greaterThan">
      <formula>0</formula>
    </cfRule>
  </conditionalFormatting>
  <conditionalFormatting sqref="F487:L487">
    <cfRule type="cellIs" dxfId="1252" priority="8" operator="lessThan">
      <formula>0</formula>
    </cfRule>
    <cfRule type="cellIs" dxfId="1251" priority="7" operator="greaterThan">
      <formula>0</formula>
    </cfRule>
  </conditionalFormatting>
  <conditionalFormatting sqref="G349:K349">
    <cfRule type="cellIs" dxfId="1250" priority="147" operator="lessThan">
      <formula>50</formula>
    </cfRule>
    <cfRule type="cellIs" dxfId="1249" priority="146" operator="lessThan">
      <formula>50</formula>
    </cfRule>
    <cfRule type="cellIs" dxfId="1248" priority="148" operator="greaterThan">
      <formula>50</formula>
    </cfRule>
  </conditionalFormatting>
  <conditionalFormatting sqref="G325:L325">
    <cfRule type="cellIs" dxfId="1247" priority="162" operator="lessThan">
      <formula>1</formula>
    </cfRule>
  </conditionalFormatting>
  <conditionalFormatting sqref="H59:K59">
    <cfRule type="cellIs" dxfId="1246" priority="137" operator="greaterThan">
      <formula>0</formula>
    </cfRule>
  </conditionalFormatting>
  <conditionalFormatting sqref="H60:K60">
    <cfRule type="cellIs" dxfId="1245" priority="136" operator="greaterThan">
      <formula>50</formula>
    </cfRule>
    <cfRule type="cellIs" dxfId="1244" priority="187" operator="greaterThan">
      <formula>50</formula>
    </cfRule>
    <cfRule type="cellIs" dxfId="1243" priority="186" operator="lessThan">
      <formula>50</formula>
    </cfRule>
    <cfRule type="cellIs" dxfId="1242" priority="135" operator="lessThan">
      <formula>50</formula>
    </cfRule>
  </conditionalFormatting>
  <conditionalFormatting sqref="H339:K339">
    <cfRule type="cellIs" dxfId="1241" priority="134" operator="greaterThan">
      <formula>0</formula>
    </cfRule>
    <cfRule type="cellIs" dxfId="1240" priority="132" operator="lessThan">
      <formula>0</formula>
    </cfRule>
    <cfRule type="cellIs" dxfId="1239" priority="151" operator="lessThan">
      <formula>0</formula>
    </cfRule>
    <cfRule type="cellIs" dxfId="1238" priority="152" operator="greaterThan">
      <formula>0</formula>
    </cfRule>
  </conditionalFormatting>
  <conditionalFormatting sqref="H340:K340">
    <cfRule type="cellIs" dxfId="1237" priority="133" operator="greaterThan">
      <formula>50</formula>
    </cfRule>
    <cfRule type="cellIs" dxfId="1236" priority="131" operator="lessThan">
      <formula>50</formula>
    </cfRule>
    <cfRule type="cellIs" dxfId="1235" priority="150" operator="greaterThan">
      <formula>50</formula>
    </cfRule>
  </conditionalFormatting>
  <conditionalFormatting sqref="H55:L55">
    <cfRule type="cellIs" dxfId="1234" priority="189" operator="greaterThan">
      <formula>0</formula>
    </cfRule>
    <cfRule type="cellIs" dxfId="1233" priority="188" operator="lessThan">
      <formula>0</formula>
    </cfRule>
  </conditionalFormatting>
  <conditionalFormatting sqref="I329:J329">
    <cfRule type="cellIs" dxfId="1232" priority="158" operator="lessThan">
      <formula>1</formula>
    </cfRule>
  </conditionalFormatting>
  <conditionalFormatting sqref="I463:K463">
    <cfRule type="cellIs" dxfId="1231" priority="1" operator="lessThan">
      <formula>0</formula>
    </cfRule>
  </conditionalFormatting>
  <conditionalFormatting sqref="I464:K464">
    <cfRule type="cellIs" dxfId="1230" priority="21" operator="greaterThan">
      <formula>50</formula>
    </cfRule>
    <cfRule type="cellIs" dxfId="1229" priority="20" operator="lessThan">
      <formula>50</formula>
    </cfRule>
  </conditionalFormatting>
  <conditionalFormatting sqref="I330:L330">
    <cfRule type="cellIs" dxfId="1228" priority="161" operator="lessThan">
      <formula>50</formula>
    </cfRule>
  </conditionalFormatting>
  <conditionalFormatting sqref="I334:L334">
    <cfRule type="cellIs" dxfId="1227" priority="156" operator="lessThan">
      <formula>1</formula>
    </cfRule>
    <cfRule type="cellIs" dxfId="1226" priority="154" operator="greaterThan">
      <formula>0</formula>
    </cfRule>
  </conditionalFormatting>
  <conditionalFormatting sqref="I335:L335">
    <cfRule type="cellIs" dxfId="1225" priority="153" operator="greaterThan">
      <formula>50</formula>
    </cfRule>
    <cfRule type="cellIs" dxfId="1224" priority="159" operator="lessThan">
      <formula>50</formula>
    </cfRule>
  </conditionalFormatting>
  <conditionalFormatting sqref="K473">
    <cfRule type="cellIs" dxfId="1223" priority="145" operator="greaterThan">
      <formula>50</formula>
    </cfRule>
    <cfRule type="cellIs" dxfId="1222" priority="144" operator="lessThan">
      <formula>50</formula>
    </cfRule>
    <cfRule type="cellIs" dxfId="1221" priority="143" operator="lessThan">
      <formula>50</formula>
    </cfRule>
  </conditionalFormatting>
  <conditionalFormatting sqref="K329:L329">
    <cfRule type="cellIs" dxfId="1220" priority="157" operator="greaterThan">
      <formula>0</formula>
    </cfRule>
  </conditionalFormatting>
  <conditionalFormatting sqref="K330:L330">
    <cfRule type="cellIs" dxfId="1219" priority="160" operator="greaterThan">
      <formula>50</formula>
    </cfRule>
  </conditionalFormatting>
  <hyperlinks>
    <hyperlink ref="M1" location="INDICADORES!A1" display="INDICADORES" xr:uid="{2935C73B-DC3D-450B-9966-5360A1260CD5}"/>
    <hyperlink ref="O1" location="DISTRITOS!A1" display="DISTRITOS" xr:uid="{F959D13E-B98B-48C4-98B3-76D171298FF7}"/>
  </hyperlinks>
  <pageMargins left="0.7" right="0.7" top="0.75" bottom="0.75" header="0.3" footer="0.3"/>
  <pageSetup paperSize="9" orientation="portrait" horizontalDpi="1200" verticalDpi="1200" r:id="rId1"/>
  <ignoredErrors>
    <ignoredError sqref="F3:J5 E6 E8:K8 E14:K17 E31:K33 F9:K9 F11:K11 F10:G10 I10:K10" numberStoredAsText="1"/>
    <ignoredError sqref="J457 F405 I404 I40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C5F5E-0759-4A67-8B5F-61A8C338E484}">
  <sheetPr codeName="Hoja5">
    <tabColor theme="8" tint="-0.249977111117893"/>
  </sheetPr>
  <dimension ref="A1:R498"/>
  <sheetViews>
    <sheetView showGridLines="0" topLeftCell="B1" zoomScale="70" zoomScaleNormal="70" workbookViewId="0">
      <pane ySplit="2" topLeftCell="A489" activePane="bottomLeft" state="frozen"/>
      <selection activeCell="G41" sqref="G41"/>
      <selection pane="bottomLeft" activeCell="L484" sqref="L484:L485"/>
    </sheetView>
  </sheetViews>
  <sheetFormatPr baseColWidth="10" defaultColWidth="11.42578125" defaultRowHeight="15.75" x14ac:dyDescent="0.25"/>
  <cols>
    <col min="1" max="1" width="26.5703125" style="11" customWidth="1"/>
    <col min="2" max="2" width="50.5703125" style="205" customWidth="1"/>
    <col min="3" max="4" width="30.5703125" style="11" customWidth="1"/>
    <col min="5" max="12" width="13.5703125" style="11" customWidth="1"/>
    <col min="13" max="13" width="15.85546875" style="11" customWidth="1"/>
    <col min="14" max="14" width="7.140625" style="11" customWidth="1"/>
    <col min="15" max="15" width="11.42578125" style="11"/>
  </cols>
  <sheetData>
    <row r="1" spans="1:16" ht="30" customHeight="1" thickBot="1" x14ac:dyDescent="0.3">
      <c r="A1" s="1021" t="s">
        <v>502</v>
      </c>
      <c r="B1" s="1020"/>
      <c r="C1" s="1020"/>
      <c r="D1" s="1020"/>
      <c r="E1" s="1020"/>
      <c r="F1" s="1020"/>
      <c r="G1" s="1020"/>
      <c r="H1" s="1020"/>
      <c r="I1" s="1020"/>
      <c r="J1" s="1020"/>
      <c r="K1" s="1020"/>
      <c r="M1" s="480"/>
      <c r="N1"/>
    </row>
    <row r="2" spans="1:16" ht="18" customHeight="1" thickTop="1" thickBot="1" x14ac:dyDescent="0.3">
      <c r="A2" s="151" t="s">
        <v>248</v>
      </c>
      <c r="B2" s="694" t="s">
        <v>249</v>
      </c>
      <c r="C2" s="1176"/>
      <c r="D2" s="1176"/>
      <c r="E2" s="695">
        <v>2005</v>
      </c>
      <c r="F2" s="695">
        <v>2010</v>
      </c>
      <c r="G2" s="695">
        <v>2015</v>
      </c>
      <c r="H2" s="695">
        <v>2020</v>
      </c>
      <c r="I2" s="695">
        <v>2021</v>
      </c>
      <c r="J2" s="695">
        <v>2022</v>
      </c>
      <c r="K2" s="695">
        <v>2023</v>
      </c>
      <c r="L2" s="696">
        <v>2024</v>
      </c>
      <c r="M2" s="483" t="s">
        <v>246</v>
      </c>
      <c r="N2" s="480"/>
      <c r="O2" s="481" t="s">
        <v>247</v>
      </c>
    </row>
    <row r="3" spans="1:16" ht="16.5" thickTop="1" x14ac:dyDescent="0.25">
      <c r="A3" s="1311" t="s">
        <v>26</v>
      </c>
      <c r="B3" s="1194" t="s">
        <v>250</v>
      </c>
      <c r="C3" s="1299" t="s">
        <v>251</v>
      </c>
      <c r="D3" s="1299"/>
      <c r="E3" s="130">
        <v>146763</v>
      </c>
      <c r="F3" s="130" t="s">
        <v>503</v>
      </c>
      <c r="G3" s="130" t="s">
        <v>504</v>
      </c>
      <c r="H3" s="130" t="s">
        <v>505</v>
      </c>
      <c r="I3" s="130" t="s">
        <v>506</v>
      </c>
      <c r="J3" s="130" t="s">
        <v>507</v>
      </c>
      <c r="K3" s="130">
        <v>153304</v>
      </c>
      <c r="L3" s="132">
        <v>156559</v>
      </c>
      <c r="M3" s="482"/>
    </row>
    <row r="4" spans="1:16" x14ac:dyDescent="0.25">
      <c r="A4" s="1312"/>
      <c r="B4" s="1195"/>
      <c r="C4" s="1213" t="s">
        <v>257</v>
      </c>
      <c r="D4" s="1213"/>
      <c r="E4" s="80">
        <v>67845</v>
      </c>
      <c r="F4" s="80" t="s">
        <v>508</v>
      </c>
      <c r="G4" s="80" t="s">
        <v>509</v>
      </c>
      <c r="H4" s="80" t="s">
        <v>510</v>
      </c>
      <c r="I4" s="80" t="s">
        <v>511</v>
      </c>
      <c r="J4" s="80" t="s">
        <v>512</v>
      </c>
      <c r="K4" s="80">
        <v>71754</v>
      </c>
      <c r="L4" s="83">
        <v>73311</v>
      </c>
      <c r="M4" s="484"/>
    </row>
    <row r="5" spans="1:16" x14ac:dyDescent="0.25">
      <c r="A5" s="1312"/>
      <c r="B5" s="1195"/>
      <c r="C5" s="1213" t="s">
        <v>263</v>
      </c>
      <c r="D5" s="1213"/>
      <c r="E5" s="80">
        <v>78918</v>
      </c>
      <c r="F5" s="80" t="s">
        <v>513</v>
      </c>
      <c r="G5" s="80" t="s">
        <v>514</v>
      </c>
      <c r="H5" s="80" t="s">
        <v>515</v>
      </c>
      <c r="I5" s="80" t="s">
        <v>516</v>
      </c>
      <c r="J5" s="80" t="s">
        <v>517</v>
      </c>
      <c r="K5" s="80">
        <v>81550</v>
      </c>
      <c r="L5" s="83">
        <v>83248</v>
      </c>
    </row>
    <row r="6" spans="1:16" x14ac:dyDescent="0.25">
      <c r="A6" s="1312"/>
      <c r="B6" s="1196"/>
      <c r="C6" s="1215" t="s">
        <v>269</v>
      </c>
      <c r="D6" s="1215"/>
      <c r="E6" s="41">
        <f t="shared" ref="E6:K7" si="0">E4/E2*100</f>
        <v>3383.7905236907732</v>
      </c>
      <c r="F6" s="41">
        <f t="shared" si="0"/>
        <v>3593.4328358208959</v>
      </c>
      <c r="G6" s="41">
        <f t="shared" si="0"/>
        <v>3449.7270471464021</v>
      </c>
      <c r="H6" s="41">
        <f t="shared" si="0"/>
        <v>3594.0594059405939</v>
      </c>
      <c r="I6" s="41">
        <f t="shared" si="0"/>
        <v>3562.5927758535377</v>
      </c>
      <c r="J6" s="41">
        <f t="shared" si="0"/>
        <v>3534.4213649851631</v>
      </c>
      <c r="K6" s="41">
        <f t="shared" si="0"/>
        <v>3546.9105289174495</v>
      </c>
      <c r="L6" s="84">
        <v>3622.084980237154</v>
      </c>
    </row>
    <row r="7" spans="1:16" ht="16.5" thickBot="1" x14ac:dyDescent="0.3">
      <c r="A7" s="1312"/>
      <c r="B7" s="1197"/>
      <c r="C7" s="1178" t="s">
        <v>270</v>
      </c>
      <c r="D7" s="1178"/>
      <c r="E7" s="111">
        <f>E5/E3*100</f>
        <v>53.772408577093678</v>
      </c>
      <c r="F7" s="111">
        <f t="shared" si="0"/>
        <v>53.337166557915069</v>
      </c>
      <c r="G7" s="111">
        <f t="shared" si="0"/>
        <v>53.713284990378021</v>
      </c>
      <c r="H7" s="111">
        <f t="shared" si="0"/>
        <v>53.359886933059229</v>
      </c>
      <c r="I7" s="111">
        <f t="shared" si="0"/>
        <v>53.320410002398809</v>
      </c>
      <c r="J7" s="111">
        <f t="shared" si="0"/>
        <v>53.179417969313015</v>
      </c>
      <c r="K7" s="111">
        <f t="shared" si="0"/>
        <v>53.194959035641595</v>
      </c>
      <c r="L7" s="266">
        <v>53.173563959912876</v>
      </c>
      <c r="N7" s="64"/>
      <c r="O7" s="64"/>
      <c r="P7" s="10"/>
    </row>
    <row r="8" spans="1:16" ht="16.5" thickBot="1" x14ac:dyDescent="0.3">
      <c r="A8" s="1312"/>
      <c r="B8" s="1198" t="s">
        <v>271</v>
      </c>
      <c r="C8" s="1300" t="s">
        <v>257</v>
      </c>
      <c r="D8" s="168" t="s">
        <v>272</v>
      </c>
      <c r="E8" s="81">
        <v>67845</v>
      </c>
      <c r="F8" s="81">
        <v>72228</v>
      </c>
      <c r="G8" s="81">
        <v>69512</v>
      </c>
      <c r="H8" s="81">
        <v>72600</v>
      </c>
      <c r="I8" s="81">
        <v>72000</v>
      </c>
      <c r="J8" s="81">
        <v>71466</v>
      </c>
      <c r="K8" s="81">
        <v>71754</v>
      </c>
      <c r="L8" s="82">
        <v>73311</v>
      </c>
      <c r="M8" s="64"/>
      <c r="N8" s="64"/>
      <c r="O8" s="64"/>
      <c r="P8" s="10"/>
    </row>
    <row r="9" spans="1:16" ht="16.5" thickBot="1" x14ac:dyDescent="0.3">
      <c r="A9" s="1312"/>
      <c r="B9" s="1199"/>
      <c r="C9" s="1301"/>
      <c r="D9" s="164" t="s">
        <v>275</v>
      </c>
      <c r="E9" s="80">
        <v>9988</v>
      </c>
      <c r="F9" s="80">
        <v>10380</v>
      </c>
      <c r="G9" s="80">
        <v>10085</v>
      </c>
      <c r="H9" s="80">
        <v>9711</v>
      </c>
      <c r="I9" s="80">
        <v>9431</v>
      </c>
      <c r="J9" s="80">
        <v>9135</v>
      </c>
      <c r="K9" s="80">
        <v>8981</v>
      </c>
      <c r="L9" s="83">
        <v>8394</v>
      </c>
    </row>
    <row r="10" spans="1:16" ht="16.5" thickBot="1" x14ac:dyDescent="0.3">
      <c r="A10" s="1312"/>
      <c r="B10" s="1199"/>
      <c r="C10" s="1301"/>
      <c r="D10" s="164" t="s">
        <v>282</v>
      </c>
      <c r="E10" s="80">
        <v>48925</v>
      </c>
      <c r="F10" s="80">
        <v>52459</v>
      </c>
      <c r="G10" s="80">
        <v>49067</v>
      </c>
      <c r="H10" s="80">
        <v>51000</v>
      </c>
      <c r="I10" s="80">
        <v>50645</v>
      </c>
      <c r="J10" s="80">
        <v>50071</v>
      </c>
      <c r="K10" s="80">
        <v>50196</v>
      </c>
      <c r="L10" s="83">
        <v>51896</v>
      </c>
    </row>
    <row r="11" spans="1:16" ht="16.5" thickBot="1" x14ac:dyDescent="0.3">
      <c r="A11" s="1312"/>
      <c r="B11" s="1199"/>
      <c r="C11" s="1301"/>
      <c r="D11" s="164" t="s">
        <v>288</v>
      </c>
      <c r="E11" s="80">
        <v>8928</v>
      </c>
      <c r="F11" s="80">
        <v>9388</v>
      </c>
      <c r="G11" s="80">
        <v>10360</v>
      </c>
      <c r="H11" s="80">
        <v>11889</v>
      </c>
      <c r="I11" s="80">
        <v>11924</v>
      </c>
      <c r="J11" s="80">
        <v>12260</v>
      </c>
      <c r="K11" s="80">
        <v>12577</v>
      </c>
      <c r="L11" s="83">
        <v>13021</v>
      </c>
    </row>
    <row r="12" spans="1:16" ht="16.5" thickBot="1" x14ac:dyDescent="0.3">
      <c r="A12" s="1312"/>
      <c r="B12" s="1199"/>
      <c r="C12" s="1301"/>
      <c r="D12" s="164" t="s">
        <v>295</v>
      </c>
      <c r="E12" s="80">
        <v>2233</v>
      </c>
      <c r="F12" s="80">
        <v>2673</v>
      </c>
      <c r="G12" s="80">
        <v>3121</v>
      </c>
      <c r="H12" s="80">
        <v>3165</v>
      </c>
      <c r="I12" s="80">
        <v>3092</v>
      </c>
      <c r="J12" s="80">
        <v>3100</v>
      </c>
      <c r="K12" s="80">
        <v>3044</v>
      </c>
      <c r="L12" s="83">
        <v>3133</v>
      </c>
    </row>
    <row r="13" spans="1:16" ht="16.5" thickBot="1" x14ac:dyDescent="0.3">
      <c r="A13" s="1312"/>
      <c r="B13" s="1199"/>
      <c r="C13" s="1302"/>
      <c r="D13" s="169" t="s">
        <v>296</v>
      </c>
      <c r="E13" s="267">
        <v>4</v>
      </c>
      <c r="F13" s="267">
        <v>1</v>
      </c>
      <c r="G13" s="267">
        <v>0</v>
      </c>
      <c r="H13" s="267">
        <v>0</v>
      </c>
      <c r="I13" s="267">
        <v>0</v>
      </c>
      <c r="J13" s="267">
        <v>0</v>
      </c>
      <c r="K13" s="267">
        <v>0</v>
      </c>
      <c r="L13" s="268">
        <v>0</v>
      </c>
    </row>
    <row r="14" spans="1:16" ht="16.5" thickBot="1" x14ac:dyDescent="0.3">
      <c r="A14" s="1312"/>
      <c r="B14" s="1199"/>
      <c r="C14" s="1303" t="s">
        <v>263</v>
      </c>
      <c r="D14" s="168" t="s">
        <v>272</v>
      </c>
      <c r="E14" s="81">
        <v>78918</v>
      </c>
      <c r="F14" s="81">
        <v>82559</v>
      </c>
      <c r="G14" s="81">
        <v>80665</v>
      </c>
      <c r="H14" s="81">
        <v>83060</v>
      </c>
      <c r="I14" s="81">
        <v>82243</v>
      </c>
      <c r="J14" s="81">
        <v>81172</v>
      </c>
      <c r="K14" s="81">
        <v>81550</v>
      </c>
      <c r="L14" s="82">
        <v>83248</v>
      </c>
    </row>
    <row r="15" spans="1:16" ht="16.5" thickBot="1" x14ac:dyDescent="0.3">
      <c r="A15" s="1312"/>
      <c r="B15" s="1199"/>
      <c r="C15" s="1304"/>
      <c r="D15" s="164" t="s">
        <v>275</v>
      </c>
      <c r="E15" s="80">
        <v>9577</v>
      </c>
      <c r="F15" s="80">
        <v>10056</v>
      </c>
      <c r="G15" s="80">
        <v>9842</v>
      </c>
      <c r="H15" s="80">
        <v>9393</v>
      </c>
      <c r="I15" s="80">
        <v>9140</v>
      </c>
      <c r="J15" s="80">
        <v>8868</v>
      </c>
      <c r="K15" s="80">
        <v>8570</v>
      </c>
      <c r="L15" s="83">
        <v>7883</v>
      </c>
    </row>
    <row r="16" spans="1:16" ht="16.5" thickBot="1" x14ac:dyDescent="0.3">
      <c r="A16" s="1312"/>
      <c r="B16" s="1199"/>
      <c r="C16" s="1304"/>
      <c r="D16" s="164" t="s">
        <v>282</v>
      </c>
      <c r="E16" s="80">
        <v>53262</v>
      </c>
      <c r="F16" s="80">
        <v>56309</v>
      </c>
      <c r="G16" s="80">
        <v>53731</v>
      </c>
      <c r="H16" s="80">
        <v>55145</v>
      </c>
      <c r="I16" s="80">
        <v>54433</v>
      </c>
      <c r="J16" s="80">
        <v>53352</v>
      </c>
      <c r="K16" s="80">
        <v>53570</v>
      </c>
      <c r="L16" s="83">
        <v>55399</v>
      </c>
    </row>
    <row r="17" spans="1:12" ht="16.5" thickBot="1" x14ac:dyDescent="0.3">
      <c r="A17" s="1312"/>
      <c r="B17" s="1199"/>
      <c r="C17" s="1304"/>
      <c r="D17" s="164" t="s">
        <v>288</v>
      </c>
      <c r="E17" s="80">
        <v>16077</v>
      </c>
      <c r="F17" s="80">
        <v>16193</v>
      </c>
      <c r="G17" s="80">
        <v>17092</v>
      </c>
      <c r="H17" s="80">
        <v>18522</v>
      </c>
      <c r="I17" s="80">
        <v>18670</v>
      </c>
      <c r="J17" s="80">
        <v>18952</v>
      </c>
      <c r="K17" s="80">
        <v>19410</v>
      </c>
      <c r="L17" s="83">
        <v>19965</v>
      </c>
    </row>
    <row r="18" spans="1:12" ht="16.5" thickBot="1" x14ac:dyDescent="0.3">
      <c r="A18" s="1312"/>
      <c r="B18" s="1199"/>
      <c r="C18" s="1304"/>
      <c r="D18" s="164" t="s">
        <v>295</v>
      </c>
      <c r="E18" s="80">
        <v>5561</v>
      </c>
      <c r="F18" s="80">
        <v>6209</v>
      </c>
      <c r="G18" s="80">
        <v>6785</v>
      </c>
      <c r="H18" s="80">
        <v>6698</v>
      </c>
      <c r="I18" s="80">
        <v>6614</v>
      </c>
      <c r="J18" s="80">
        <v>6531</v>
      </c>
      <c r="K18" s="80">
        <v>6477</v>
      </c>
      <c r="L18" s="83">
        <v>6588</v>
      </c>
    </row>
    <row r="19" spans="1:12" ht="16.5" thickBot="1" x14ac:dyDescent="0.3">
      <c r="A19" s="1312"/>
      <c r="B19" s="1199"/>
      <c r="C19" s="1305"/>
      <c r="D19" s="169" t="s">
        <v>296</v>
      </c>
      <c r="E19" s="267">
        <v>2</v>
      </c>
      <c r="F19" s="267">
        <v>1</v>
      </c>
      <c r="G19" s="267">
        <v>0</v>
      </c>
      <c r="H19" s="267">
        <v>0</v>
      </c>
      <c r="I19" s="267">
        <v>0</v>
      </c>
      <c r="J19" s="267">
        <v>0</v>
      </c>
      <c r="K19" s="267">
        <v>0</v>
      </c>
      <c r="L19" s="268">
        <v>1</v>
      </c>
    </row>
    <row r="20" spans="1:12" ht="16.5" thickBot="1" x14ac:dyDescent="0.3">
      <c r="A20" s="1312"/>
      <c r="B20" s="1199"/>
      <c r="C20" s="1306" t="s">
        <v>269</v>
      </c>
      <c r="D20" s="168" t="s">
        <v>272</v>
      </c>
      <c r="E20" s="270">
        <f>E14-E8</f>
        <v>11073</v>
      </c>
      <c r="F20" s="195">
        <f t="shared" ref="F20:L23" si="1">F15-F8</f>
        <v>-62172</v>
      </c>
      <c r="G20" s="195">
        <f t="shared" si="1"/>
        <v>-59670</v>
      </c>
      <c r="H20" s="195">
        <f t="shared" si="1"/>
        <v>-63207</v>
      </c>
      <c r="I20" s="195">
        <f t="shared" si="1"/>
        <v>-62860</v>
      </c>
      <c r="J20" s="195">
        <f t="shared" si="1"/>
        <v>-62598</v>
      </c>
      <c r="K20" s="195">
        <f t="shared" si="1"/>
        <v>-63184</v>
      </c>
      <c r="L20" s="196">
        <f t="shared" si="1"/>
        <v>-65428</v>
      </c>
    </row>
    <row r="21" spans="1:12" ht="16.5" thickBot="1" x14ac:dyDescent="0.3">
      <c r="A21" s="1312"/>
      <c r="B21" s="1199"/>
      <c r="C21" s="1307"/>
      <c r="D21" s="163" t="s">
        <v>275</v>
      </c>
      <c r="E21" s="157">
        <f>E15-E9</f>
        <v>-411</v>
      </c>
      <c r="F21" s="41">
        <f t="shared" si="1"/>
        <v>45929</v>
      </c>
      <c r="G21" s="41">
        <f t="shared" si="1"/>
        <v>43646</v>
      </c>
      <c r="H21" s="41">
        <f t="shared" si="1"/>
        <v>45434</v>
      </c>
      <c r="I21" s="41">
        <f t="shared" si="1"/>
        <v>45002</v>
      </c>
      <c r="J21" s="41">
        <f t="shared" si="1"/>
        <v>44217</v>
      </c>
      <c r="K21" s="41">
        <f t="shared" si="1"/>
        <v>44589</v>
      </c>
      <c r="L21" s="84">
        <f t="shared" si="1"/>
        <v>47005</v>
      </c>
    </row>
    <row r="22" spans="1:12" ht="16.5" thickBot="1" x14ac:dyDescent="0.3">
      <c r="A22" s="1312"/>
      <c r="B22" s="1199"/>
      <c r="C22" s="1307"/>
      <c r="D22" s="163" t="s">
        <v>282</v>
      </c>
      <c r="E22" s="41">
        <f>E16-E10</f>
        <v>4337</v>
      </c>
      <c r="F22" s="157">
        <f t="shared" si="1"/>
        <v>-36266</v>
      </c>
      <c r="G22" s="157">
        <f t="shared" si="1"/>
        <v>-31975</v>
      </c>
      <c r="H22" s="157">
        <f t="shared" si="1"/>
        <v>-32478</v>
      </c>
      <c r="I22" s="157">
        <f t="shared" si="1"/>
        <v>-31975</v>
      </c>
      <c r="J22" s="157">
        <f t="shared" si="1"/>
        <v>-31119</v>
      </c>
      <c r="K22" s="157">
        <f t="shared" si="1"/>
        <v>-30786</v>
      </c>
      <c r="L22" s="160">
        <f t="shared" si="1"/>
        <v>-31931</v>
      </c>
    </row>
    <row r="23" spans="1:12" ht="16.5" thickBot="1" x14ac:dyDescent="0.3">
      <c r="A23" s="1312"/>
      <c r="B23" s="1199"/>
      <c r="C23" s="1307"/>
      <c r="D23" s="163" t="s">
        <v>288</v>
      </c>
      <c r="E23" s="41">
        <f>E17-E11</f>
        <v>7149</v>
      </c>
      <c r="F23" s="157">
        <f t="shared" si="1"/>
        <v>-3179</v>
      </c>
      <c r="G23" s="157">
        <f t="shared" si="1"/>
        <v>-3575</v>
      </c>
      <c r="H23" s="157">
        <f t="shared" si="1"/>
        <v>-5191</v>
      </c>
      <c r="I23" s="157">
        <f t="shared" si="1"/>
        <v>-5310</v>
      </c>
      <c r="J23" s="157">
        <f t="shared" si="1"/>
        <v>-5729</v>
      </c>
      <c r="K23" s="157">
        <f t="shared" si="1"/>
        <v>-6100</v>
      </c>
      <c r="L23" s="160">
        <f t="shared" si="1"/>
        <v>-6433</v>
      </c>
    </row>
    <row r="24" spans="1:12" ht="16.5" thickBot="1" x14ac:dyDescent="0.3">
      <c r="A24" s="1312"/>
      <c r="B24" s="1199"/>
      <c r="C24" s="1308"/>
      <c r="D24" s="170" t="s">
        <v>295</v>
      </c>
      <c r="E24" s="271">
        <f>E18-E12</f>
        <v>3328</v>
      </c>
      <c r="F24" s="271">
        <f t="shared" ref="F24:L24" si="2">F18-F12</f>
        <v>3536</v>
      </c>
      <c r="G24" s="271">
        <f t="shared" si="2"/>
        <v>3664</v>
      </c>
      <c r="H24" s="271">
        <f t="shared" si="2"/>
        <v>3533</v>
      </c>
      <c r="I24" s="271">
        <f t="shared" si="2"/>
        <v>3522</v>
      </c>
      <c r="J24" s="271">
        <f t="shared" si="2"/>
        <v>3431</v>
      </c>
      <c r="K24" s="271">
        <f t="shared" si="2"/>
        <v>3433</v>
      </c>
      <c r="L24" s="272">
        <f t="shared" si="2"/>
        <v>3455</v>
      </c>
    </row>
    <row r="25" spans="1:12" ht="16.5" thickBot="1" x14ac:dyDescent="0.3">
      <c r="A25" s="1312"/>
      <c r="B25" s="1199"/>
      <c r="C25" s="1228" t="s">
        <v>270</v>
      </c>
      <c r="D25" s="167" t="s">
        <v>272</v>
      </c>
      <c r="E25" s="269">
        <f>E14/E3*100</f>
        <v>53.772408577093678</v>
      </c>
      <c r="F25" s="269">
        <f t="shared" ref="F25:L25" si="3">F14/F3*100</f>
        <v>53.337166557915069</v>
      </c>
      <c r="G25" s="269">
        <f t="shared" si="3"/>
        <v>53.713284990378021</v>
      </c>
      <c r="H25" s="269">
        <f t="shared" si="3"/>
        <v>53.359886933059229</v>
      </c>
      <c r="I25" s="269">
        <f t="shared" si="3"/>
        <v>53.320410002398809</v>
      </c>
      <c r="J25" s="269">
        <f t="shared" si="3"/>
        <v>53.179417969313015</v>
      </c>
      <c r="K25" s="269">
        <f t="shared" si="3"/>
        <v>53.194959035641595</v>
      </c>
      <c r="L25" s="269">
        <f t="shared" si="3"/>
        <v>53.173563959912876</v>
      </c>
    </row>
    <row r="26" spans="1:12" ht="16.5" thickBot="1" x14ac:dyDescent="0.3">
      <c r="A26" s="1312"/>
      <c r="B26" s="1199"/>
      <c r="C26" s="1309"/>
      <c r="D26" s="163" t="s">
        <v>275</v>
      </c>
      <c r="E26" s="158">
        <f t="shared" ref="E26:L26" si="4">(E15/(E15+E9))*100</f>
        <v>48.949654996166622</v>
      </c>
      <c r="F26" s="158">
        <f t="shared" si="4"/>
        <v>49.207281268349973</v>
      </c>
      <c r="G26" s="158">
        <f t="shared" si="4"/>
        <v>49.390274501932055</v>
      </c>
      <c r="H26" s="158">
        <f t="shared" si="4"/>
        <v>49.167713567839193</v>
      </c>
      <c r="I26" s="158">
        <f t="shared" si="4"/>
        <v>49.216520381239562</v>
      </c>
      <c r="J26" s="158">
        <f t="shared" si="4"/>
        <v>49.258456923846026</v>
      </c>
      <c r="K26" s="158">
        <f t="shared" si="4"/>
        <v>48.829126545495981</v>
      </c>
      <c r="L26" s="158">
        <f t="shared" si="4"/>
        <v>48.430300423911035</v>
      </c>
    </row>
    <row r="27" spans="1:12" ht="16.5" thickBot="1" x14ac:dyDescent="0.3">
      <c r="A27" s="1312"/>
      <c r="B27" s="1199"/>
      <c r="C27" s="1309"/>
      <c r="D27" s="163" t="s">
        <v>282</v>
      </c>
      <c r="E27" s="43">
        <f>(E16/(E16+E10))*100</f>
        <v>52.122089894017833</v>
      </c>
      <c r="F27" s="43">
        <f t="shared" ref="F27:L27" si="5">(F16/(F16+F10))*100</f>
        <v>51.769822006472488</v>
      </c>
      <c r="G27" s="43">
        <f t="shared" si="5"/>
        <v>52.268526625031619</v>
      </c>
      <c r="H27" s="43">
        <f t="shared" si="5"/>
        <v>51.95251778227896</v>
      </c>
      <c r="I27" s="43">
        <f t="shared" si="5"/>
        <v>51.802470545689872</v>
      </c>
      <c r="J27" s="43">
        <f t="shared" si="5"/>
        <v>51.586204229233346</v>
      </c>
      <c r="K27" s="43">
        <f t="shared" si="5"/>
        <v>51.625773374708487</v>
      </c>
      <c r="L27" s="43">
        <f t="shared" si="5"/>
        <v>51.632415303602222</v>
      </c>
    </row>
    <row r="28" spans="1:12" ht="16.5" thickBot="1" x14ac:dyDescent="0.3">
      <c r="A28" s="1312"/>
      <c r="B28" s="1199"/>
      <c r="C28" s="1309"/>
      <c r="D28" s="163" t="s">
        <v>288</v>
      </c>
      <c r="E28" s="43">
        <f t="shared" ref="E28:L29" si="6">(E17/(E17+E11))*100</f>
        <v>64.295140971805637</v>
      </c>
      <c r="F28" s="43">
        <f t="shared" si="6"/>
        <v>63.300887377350378</v>
      </c>
      <c r="G28" s="43">
        <f t="shared" si="6"/>
        <v>62.261401719364706</v>
      </c>
      <c r="H28" s="43">
        <f t="shared" si="6"/>
        <v>60.905593370819766</v>
      </c>
      <c r="I28" s="43">
        <f t="shared" si="6"/>
        <v>61.025037589069754</v>
      </c>
      <c r="J28" s="43">
        <f t="shared" si="6"/>
        <v>60.720235806740995</v>
      </c>
      <c r="K28" s="43">
        <f t="shared" si="6"/>
        <v>60.680901616281616</v>
      </c>
      <c r="L28" s="43">
        <f t="shared" si="6"/>
        <v>60.525677560177051</v>
      </c>
    </row>
    <row r="29" spans="1:12" ht="16.5" thickBot="1" x14ac:dyDescent="0.3">
      <c r="A29" s="1312"/>
      <c r="B29" s="1200"/>
      <c r="C29" s="1310"/>
      <c r="D29" s="458" t="s">
        <v>295</v>
      </c>
      <c r="E29" s="111">
        <f t="shared" si="6"/>
        <v>71.349756222735436</v>
      </c>
      <c r="F29" s="111">
        <f t="shared" si="6"/>
        <v>69.905426705696911</v>
      </c>
      <c r="G29" s="111">
        <f t="shared" si="6"/>
        <v>68.493842115889365</v>
      </c>
      <c r="H29" s="111">
        <f t="shared" si="6"/>
        <v>67.910372097739028</v>
      </c>
      <c r="I29" s="111">
        <f t="shared" si="6"/>
        <v>68.143416443437047</v>
      </c>
      <c r="J29" s="111">
        <f t="shared" si="6"/>
        <v>67.812272868860973</v>
      </c>
      <c r="K29" s="111">
        <f t="shared" si="6"/>
        <v>68.028568427686167</v>
      </c>
      <c r="L29" s="111">
        <f t="shared" si="6"/>
        <v>67.770805472687996</v>
      </c>
    </row>
    <row r="30" spans="1:12" ht="16.5" thickBot="1" x14ac:dyDescent="0.3">
      <c r="A30" s="1312"/>
      <c r="B30" s="697" t="s">
        <v>249</v>
      </c>
      <c r="C30" s="1176"/>
      <c r="D30" s="1176"/>
      <c r="E30" s="695">
        <v>2005</v>
      </c>
      <c r="F30" s="695">
        <v>2010</v>
      </c>
      <c r="G30" s="695">
        <v>2015</v>
      </c>
      <c r="H30" s="695">
        <v>2020</v>
      </c>
      <c r="I30" s="695">
        <v>2021</v>
      </c>
      <c r="J30" s="695">
        <v>2022</v>
      </c>
      <c r="K30" s="695">
        <v>2023</v>
      </c>
      <c r="L30" s="696">
        <v>2024</v>
      </c>
    </row>
    <row r="31" spans="1:12" ht="16.5" thickBot="1" x14ac:dyDescent="0.3">
      <c r="A31" s="1312"/>
      <c r="B31" s="1318" t="s">
        <v>320</v>
      </c>
      <c r="C31" s="1319" t="s">
        <v>272</v>
      </c>
      <c r="D31" s="1217"/>
      <c r="E31" s="192">
        <v>23148</v>
      </c>
      <c r="F31" s="192">
        <v>24085</v>
      </c>
      <c r="G31" s="192">
        <v>14558</v>
      </c>
      <c r="H31" s="192">
        <v>16367</v>
      </c>
      <c r="I31" s="192">
        <v>16637</v>
      </c>
      <c r="J31" s="192">
        <v>16274</v>
      </c>
      <c r="K31" s="192">
        <v>17122</v>
      </c>
      <c r="L31" s="690">
        <f>L32+L33</f>
        <v>19519</v>
      </c>
    </row>
    <row r="32" spans="1:12" ht="16.5" thickBot="1" x14ac:dyDescent="0.3">
      <c r="A32" s="1312"/>
      <c r="B32" s="1199"/>
      <c r="C32" s="1123" t="s">
        <v>257</v>
      </c>
      <c r="D32" s="1124"/>
      <c r="E32" s="96">
        <v>11269</v>
      </c>
      <c r="F32" s="96">
        <v>11935</v>
      </c>
      <c r="G32" s="96">
        <v>6904</v>
      </c>
      <c r="H32" s="96">
        <v>7738</v>
      </c>
      <c r="I32" s="96">
        <v>7860</v>
      </c>
      <c r="J32" s="96">
        <v>7766</v>
      </c>
      <c r="K32" s="96">
        <v>8182</v>
      </c>
      <c r="L32" s="200">
        <v>9232</v>
      </c>
    </row>
    <row r="33" spans="1:12" ht="16.5" thickBot="1" x14ac:dyDescent="0.3">
      <c r="A33" s="1312"/>
      <c r="B33" s="1199"/>
      <c r="C33" s="1123" t="s">
        <v>263</v>
      </c>
      <c r="D33" s="1124"/>
      <c r="E33" s="96">
        <v>11879</v>
      </c>
      <c r="F33" s="96">
        <v>12150</v>
      </c>
      <c r="G33" s="96">
        <v>7654</v>
      </c>
      <c r="H33" s="96">
        <v>8629</v>
      </c>
      <c r="I33" s="96">
        <v>8777</v>
      </c>
      <c r="J33" s="96">
        <v>8508</v>
      </c>
      <c r="K33" s="96">
        <v>8940</v>
      </c>
      <c r="L33" s="200">
        <v>10287</v>
      </c>
    </row>
    <row r="34" spans="1:12" ht="16.5" thickBot="1" x14ac:dyDescent="0.3">
      <c r="A34" s="1312"/>
      <c r="B34" s="1199"/>
      <c r="C34" s="1111" t="s">
        <v>269</v>
      </c>
      <c r="D34" s="1112"/>
      <c r="E34" s="42">
        <f>+E33-E32</f>
        <v>610</v>
      </c>
      <c r="F34" s="42">
        <f t="shared" ref="F34:L34" si="7">+F33-F32</f>
        <v>215</v>
      </c>
      <c r="G34" s="42">
        <f t="shared" si="7"/>
        <v>750</v>
      </c>
      <c r="H34" s="42">
        <f t="shared" si="7"/>
        <v>891</v>
      </c>
      <c r="I34" s="42">
        <f t="shared" si="7"/>
        <v>917</v>
      </c>
      <c r="J34" s="42">
        <f t="shared" si="7"/>
        <v>742</v>
      </c>
      <c r="K34" s="41">
        <f t="shared" si="7"/>
        <v>758</v>
      </c>
      <c r="L34" s="84">
        <f t="shared" si="7"/>
        <v>1055</v>
      </c>
    </row>
    <row r="35" spans="1:12" ht="16.5" thickBot="1" x14ac:dyDescent="0.3">
      <c r="A35" s="1312"/>
      <c r="B35" s="1201"/>
      <c r="C35" s="1125" t="s">
        <v>270</v>
      </c>
      <c r="D35" s="1126"/>
      <c r="E35" s="45">
        <f>E33/E31*100</f>
        <v>51.317608432693973</v>
      </c>
      <c r="F35" s="45">
        <f t="shared" ref="F35:L35" si="8">F33/F31*100</f>
        <v>50.446335893709779</v>
      </c>
      <c r="G35" s="45">
        <f t="shared" si="8"/>
        <v>52.575903283418057</v>
      </c>
      <c r="H35" s="45">
        <f t="shared" si="8"/>
        <v>52.72194049001039</v>
      </c>
      <c r="I35" s="45">
        <f t="shared" si="8"/>
        <v>52.755905511811022</v>
      </c>
      <c r="J35" s="45">
        <f t="shared" si="8"/>
        <v>52.279709966818231</v>
      </c>
      <c r="K35" s="45">
        <f t="shared" si="8"/>
        <v>52.213526457189587</v>
      </c>
      <c r="L35" s="85">
        <f t="shared" si="8"/>
        <v>52.702495004867053</v>
      </c>
    </row>
    <row r="36" spans="1:12" ht="16.5" thickBot="1" x14ac:dyDescent="0.3">
      <c r="A36" s="1312"/>
      <c r="B36" s="1198" t="s">
        <v>342</v>
      </c>
      <c r="C36" s="1147" t="s">
        <v>343</v>
      </c>
      <c r="D36" s="1147"/>
      <c r="E36" s="225">
        <f>E37+E38</f>
        <v>6309</v>
      </c>
      <c r="F36" s="225">
        <f t="shared" ref="F36:K36" si="9">F37+F38</f>
        <v>6658</v>
      </c>
      <c r="G36" s="225">
        <f t="shared" si="9"/>
        <v>7307</v>
      </c>
      <c r="H36" s="225">
        <f t="shared" si="9"/>
        <v>7797</v>
      </c>
      <c r="I36" s="225">
        <f t="shared" si="9"/>
        <v>7987</v>
      </c>
      <c r="J36" s="225">
        <f t="shared" si="9"/>
        <v>8118</v>
      </c>
      <c r="K36" s="225">
        <f t="shared" si="9"/>
        <v>8379</v>
      </c>
      <c r="L36" s="273">
        <f>L37+L38</f>
        <v>8643</v>
      </c>
    </row>
    <row r="37" spans="1:12" ht="16.5" thickBot="1" x14ac:dyDescent="0.3">
      <c r="A37" s="1312"/>
      <c r="B37" s="1199"/>
      <c r="C37" s="1124" t="s">
        <v>344</v>
      </c>
      <c r="D37" s="1124"/>
      <c r="E37" s="96">
        <v>1058</v>
      </c>
      <c r="F37" s="96">
        <v>1256</v>
      </c>
      <c r="G37" s="96">
        <v>1549</v>
      </c>
      <c r="H37" s="96">
        <v>1747</v>
      </c>
      <c r="I37" s="96">
        <v>1841</v>
      </c>
      <c r="J37" s="96">
        <v>1893</v>
      </c>
      <c r="K37" s="96">
        <v>1981</v>
      </c>
      <c r="L37" s="200">
        <v>2085</v>
      </c>
    </row>
    <row r="38" spans="1:12" ht="16.5" thickBot="1" x14ac:dyDescent="0.3">
      <c r="A38" s="1312"/>
      <c r="B38" s="1199"/>
      <c r="C38" s="1124" t="s">
        <v>345</v>
      </c>
      <c r="D38" s="1124"/>
      <c r="E38" s="96">
        <v>5251</v>
      </c>
      <c r="F38" s="96">
        <v>5402</v>
      </c>
      <c r="G38" s="96">
        <v>5758</v>
      </c>
      <c r="H38" s="96">
        <v>6050</v>
      </c>
      <c r="I38" s="96">
        <v>6146</v>
      </c>
      <c r="J38" s="96">
        <v>6225</v>
      </c>
      <c r="K38" s="96">
        <v>6398</v>
      </c>
      <c r="L38" s="200">
        <v>6558</v>
      </c>
    </row>
    <row r="39" spans="1:12" ht="16.5" thickBot="1" x14ac:dyDescent="0.3">
      <c r="A39" s="1312"/>
      <c r="B39" s="1199"/>
      <c r="C39" s="1112" t="s">
        <v>269</v>
      </c>
      <c r="D39" s="1112"/>
      <c r="E39" s="157">
        <f>E38-E37</f>
        <v>4193</v>
      </c>
      <c r="F39" s="157">
        <f t="shared" ref="F39:L39" si="10">F38-F37</f>
        <v>4146</v>
      </c>
      <c r="G39" s="157">
        <f t="shared" si="10"/>
        <v>4209</v>
      </c>
      <c r="H39" s="157">
        <f t="shared" si="10"/>
        <v>4303</v>
      </c>
      <c r="I39" s="157">
        <f t="shared" si="10"/>
        <v>4305</v>
      </c>
      <c r="J39" s="157">
        <f t="shared" si="10"/>
        <v>4332</v>
      </c>
      <c r="K39" s="157">
        <f t="shared" si="10"/>
        <v>4417</v>
      </c>
      <c r="L39" s="160">
        <f t="shared" si="10"/>
        <v>4473</v>
      </c>
    </row>
    <row r="40" spans="1:12" ht="16.5" thickBot="1" x14ac:dyDescent="0.3">
      <c r="A40" s="1312"/>
      <c r="B40" s="1201"/>
      <c r="C40" s="1126" t="s">
        <v>346</v>
      </c>
      <c r="D40" s="1126"/>
      <c r="E40" s="161">
        <f t="shared" ref="E40:L40" si="11">E38/E36*100</f>
        <v>83.230305912188939</v>
      </c>
      <c r="F40" s="161">
        <f t="shared" si="11"/>
        <v>81.135476118954642</v>
      </c>
      <c r="G40" s="161">
        <f t="shared" si="11"/>
        <v>78.801149582592032</v>
      </c>
      <c r="H40" s="161">
        <f t="shared" si="11"/>
        <v>77.59394638963704</v>
      </c>
      <c r="I40" s="161">
        <f t="shared" si="11"/>
        <v>76.950043821209462</v>
      </c>
      <c r="J40" s="161">
        <f t="shared" si="11"/>
        <v>76.68144863266815</v>
      </c>
      <c r="K40" s="161">
        <f t="shared" si="11"/>
        <v>76.357560568086882</v>
      </c>
      <c r="L40" s="162">
        <f t="shared" si="11"/>
        <v>75.876431794515796</v>
      </c>
    </row>
    <row r="41" spans="1:12" ht="15" customHeight="1" x14ac:dyDescent="0.25">
      <c r="A41" s="1312"/>
      <c r="B41" s="1202" t="s">
        <v>347</v>
      </c>
      <c r="C41" s="1206" t="s">
        <v>348</v>
      </c>
      <c r="D41" s="1206"/>
      <c r="E41" s="195">
        <f>E42+E43</f>
        <v>1102</v>
      </c>
      <c r="F41" s="195">
        <f t="shared" ref="F41:K41" si="12">F42+F43</f>
        <v>1290</v>
      </c>
      <c r="G41" s="195">
        <f t="shared" si="12"/>
        <v>1400</v>
      </c>
      <c r="H41" s="195">
        <f t="shared" si="12"/>
        <v>1329</v>
      </c>
      <c r="I41" s="195">
        <f t="shared" si="12"/>
        <v>1294</v>
      </c>
      <c r="J41" s="195">
        <f t="shared" si="12"/>
        <v>1298</v>
      </c>
      <c r="K41" s="195">
        <f t="shared" si="12"/>
        <v>1332</v>
      </c>
      <c r="L41" s="196">
        <f>L42+L43</f>
        <v>1377</v>
      </c>
    </row>
    <row r="42" spans="1:12" ht="22.5" customHeight="1" x14ac:dyDescent="0.25">
      <c r="A42" s="1312"/>
      <c r="B42" s="1203"/>
      <c r="C42" s="1124" t="s">
        <v>349</v>
      </c>
      <c r="D42" s="1124"/>
      <c r="E42" s="28">
        <v>217</v>
      </c>
      <c r="F42" s="28">
        <v>240</v>
      </c>
      <c r="G42" s="28">
        <v>230</v>
      </c>
      <c r="H42" s="28">
        <v>226</v>
      </c>
      <c r="I42" s="28">
        <v>215</v>
      </c>
      <c r="J42" s="28">
        <v>217</v>
      </c>
      <c r="K42" s="28">
        <v>237</v>
      </c>
      <c r="L42" s="21">
        <v>238</v>
      </c>
    </row>
    <row r="43" spans="1:12" x14ac:dyDescent="0.25">
      <c r="A43" s="1312"/>
      <c r="B43" s="1203"/>
      <c r="C43" s="1124" t="s">
        <v>350</v>
      </c>
      <c r="D43" s="1124"/>
      <c r="E43" s="28">
        <v>885</v>
      </c>
      <c r="F43" s="96">
        <v>1050</v>
      </c>
      <c r="G43" s="96">
        <v>1170</v>
      </c>
      <c r="H43" s="96">
        <v>1103</v>
      </c>
      <c r="I43" s="96">
        <v>1079</v>
      </c>
      <c r="J43" s="96">
        <v>1081</v>
      </c>
      <c r="K43" s="96">
        <v>1095</v>
      </c>
      <c r="L43" s="21">
        <v>1139</v>
      </c>
    </row>
    <row r="44" spans="1:12" x14ac:dyDescent="0.25">
      <c r="A44" s="1312"/>
      <c r="B44" s="1203"/>
      <c r="C44" s="1112" t="s">
        <v>269</v>
      </c>
      <c r="D44" s="1112"/>
      <c r="E44" s="157">
        <f>E43-E42</f>
        <v>668</v>
      </c>
      <c r="F44" s="157">
        <f t="shared" ref="F44:L44" si="13">F43-F42</f>
        <v>810</v>
      </c>
      <c r="G44" s="157">
        <f t="shared" si="13"/>
        <v>940</v>
      </c>
      <c r="H44" s="157">
        <f t="shared" si="13"/>
        <v>877</v>
      </c>
      <c r="I44" s="157">
        <f t="shared" si="13"/>
        <v>864</v>
      </c>
      <c r="J44" s="157">
        <f t="shared" si="13"/>
        <v>864</v>
      </c>
      <c r="K44" s="157">
        <f t="shared" si="13"/>
        <v>858</v>
      </c>
      <c r="L44" s="160">
        <f t="shared" si="13"/>
        <v>901</v>
      </c>
    </row>
    <row r="45" spans="1:12" ht="16.5" thickBot="1" x14ac:dyDescent="0.3">
      <c r="A45" s="1312"/>
      <c r="B45" s="1203"/>
      <c r="C45" s="1178" t="s">
        <v>351</v>
      </c>
      <c r="D45" s="1178"/>
      <c r="E45" s="165">
        <f t="shared" ref="E45:L45" si="14">E43/E41*100</f>
        <v>80.308529945553545</v>
      </c>
      <c r="F45" s="165">
        <f t="shared" si="14"/>
        <v>81.395348837209298</v>
      </c>
      <c r="G45" s="165">
        <f t="shared" si="14"/>
        <v>83.571428571428569</v>
      </c>
      <c r="H45" s="165">
        <f t="shared" si="14"/>
        <v>82.994732881866057</v>
      </c>
      <c r="I45" s="165">
        <f t="shared" si="14"/>
        <v>83.38485316846986</v>
      </c>
      <c r="J45" s="165">
        <f t="shared" si="14"/>
        <v>83.281972265023114</v>
      </c>
      <c r="K45" s="165">
        <f t="shared" si="14"/>
        <v>82.207207207207205</v>
      </c>
      <c r="L45" s="166">
        <f t="shared" si="14"/>
        <v>82.716049382716051</v>
      </c>
    </row>
    <row r="46" spans="1:12" ht="16.5" thickBot="1" x14ac:dyDescent="0.3">
      <c r="A46" s="151" t="s">
        <v>248</v>
      </c>
      <c r="B46" s="723" t="s">
        <v>249</v>
      </c>
      <c r="C46" s="1176"/>
      <c r="D46" s="1176"/>
      <c r="E46" s="695">
        <v>2005</v>
      </c>
      <c r="F46" s="695">
        <v>2010</v>
      </c>
      <c r="G46" s="695">
        <v>2015</v>
      </c>
      <c r="H46" s="695">
        <v>2020</v>
      </c>
      <c r="I46" s="695">
        <v>2021</v>
      </c>
      <c r="J46" s="695">
        <v>2022</v>
      </c>
      <c r="K46" s="695">
        <v>2023</v>
      </c>
      <c r="L46" s="696">
        <v>2024</v>
      </c>
    </row>
    <row r="47" spans="1:12" x14ac:dyDescent="0.25">
      <c r="A47" s="1313" t="s">
        <v>38</v>
      </c>
      <c r="B47" s="1231" t="s">
        <v>352</v>
      </c>
      <c r="C47" s="1314" t="s">
        <v>251</v>
      </c>
      <c r="D47" s="1315"/>
      <c r="E47" s="192">
        <v>5125</v>
      </c>
      <c r="F47" s="192">
        <v>9693</v>
      </c>
      <c r="G47" s="192">
        <v>8994</v>
      </c>
      <c r="H47" s="192">
        <v>8484</v>
      </c>
      <c r="I47" s="192">
        <v>7867</v>
      </c>
      <c r="J47" s="192">
        <v>5587</v>
      </c>
      <c r="K47" s="192">
        <v>5453</v>
      </c>
      <c r="L47" s="132" t="s">
        <v>518</v>
      </c>
    </row>
    <row r="48" spans="1:12" x14ac:dyDescent="0.25">
      <c r="A48" s="1313"/>
      <c r="B48" s="1232"/>
      <c r="C48" s="1148" t="s">
        <v>257</v>
      </c>
      <c r="D48" s="1124"/>
      <c r="E48" s="96">
        <v>2025</v>
      </c>
      <c r="F48" s="96">
        <v>4673</v>
      </c>
      <c r="G48" s="96">
        <v>4102</v>
      </c>
      <c r="H48" s="96">
        <v>3815</v>
      </c>
      <c r="I48" s="96">
        <v>3505</v>
      </c>
      <c r="J48" s="96">
        <v>2405</v>
      </c>
      <c r="K48" s="96">
        <v>2336</v>
      </c>
      <c r="L48" s="83" t="s">
        <v>519</v>
      </c>
    </row>
    <row r="49" spans="1:15" x14ac:dyDescent="0.25">
      <c r="A49" s="1313"/>
      <c r="B49" s="1232"/>
      <c r="C49" s="1148" t="s">
        <v>263</v>
      </c>
      <c r="D49" s="1124"/>
      <c r="E49" s="96">
        <v>3100</v>
      </c>
      <c r="F49" s="96">
        <v>5020</v>
      </c>
      <c r="G49" s="96">
        <v>4892</v>
      </c>
      <c r="H49" s="96">
        <v>4669</v>
      </c>
      <c r="I49" s="96">
        <v>4362</v>
      </c>
      <c r="J49" s="96">
        <v>3182</v>
      </c>
      <c r="K49" s="96">
        <v>3117</v>
      </c>
      <c r="L49" s="83" t="s">
        <v>520</v>
      </c>
    </row>
    <row r="50" spans="1:15" x14ac:dyDescent="0.25">
      <c r="A50" s="1313"/>
      <c r="B50" s="1232"/>
      <c r="C50" s="1190" t="s">
        <v>353</v>
      </c>
      <c r="D50" s="1112"/>
      <c r="E50" s="157">
        <f t="shared" ref="E50:L50" si="15">+E49-E48</f>
        <v>1075</v>
      </c>
      <c r="F50" s="157">
        <f t="shared" si="15"/>
        <v>347</v>
      </c>
      <c r="G50" s="157">
        <f t="shared" si="15"/>
        <v>790</v>
      </c>
      <c r="H50" s="157">
        <f t="shared" si="15"/>
        <v>854</v>
      </c>
      <c r="I50" s="157">
        <f t="shared" si="15"/>
        <v>857</v>
      </c>
      <c r="J50" s="157">
        <f t="shared" si="15"/>
        <v>777</v>
      </c>
      <c r="K50" s="157">
        <f t="shared" si="15"/>
        <v>781</v>
      </c>
      <c r="L50" s="160">
        <f t="shared" si="15"/>
        <v>707</v>
      </c>
    </row>
    <row r="51" spans="1:15" ht="16.5" thickBot="1" x14ac:dyDescent="0.3">
      <c r="A51" s="1313"/>
      <c r="B51" s="1233"/>
      <c r="C51" s="1169" t="s">
        <v>270</v>
      </c>
      <c r="D51" s="1126"/>
      <c r="E51" s="161">
        <f>E49/E47*100</f>
        <v>60.487804878048777</v>
      </c>
      <c r="F51" s="161">
        <f t="shared" ref="F51:L51" si="16">F49/F47*100</f>
        <v>51.789951511399977</v>
      </c>
      <c r="G51" s="161">
        <f t="shared" si="16"/>
        <v>54.391816766733378</v>
      </c>
      <c r="H51" s="161">
        <f t="shared" si="16"/>
        <v>55.03300330033003</v>
      </c>
      <c r="I51" s="161">
        <f t="shared" si="16"/>
        <v>55.446803101563489</v>
      </c>
      <c r="J51" s="161">
        <f t="shared" si="16"/>
        <v>56.953642384105962</v>
      </c>
      <c r="K51" s="161">
        <f t="shared" si="16"/>
        <v>57.161195672107098</v>
      </c>
      <c r="L51" s="162">
        <f t="shared" si="16"/>
        <v>56.7577900974957</v>
      </c>
    </row>
    <row r="52" spans="1:15" s="10" customFormat="1" x14ac:dyDescent="0.25">
      <c r="A52" s="1313"/>
      <c r="B52" s="1231" t="s">
        <v>146</v>
      </c>
      <c r="C52" s="1146" t="s">
        <v>251</v>
      </c>
      <c r="D52" s="1147"/>
      <c r="E52" s="40"/>
      <c r="F52" s="40"/>
      <c r="G52" s="40"/>
      <c r="H52" s="37">
        <v>7.9</v>
      </c>
      <c r="I52" s="37">
        <v>6.44</v>
      </c>
      <c r="J52" s="37">
        <v>5.22</v>
      </c>
      <c r="K52" s="37">
        <v>5.0599999999999996</v>
      </c>
      <c r="L52" s="38">
        <v>4.91</v>
      </c>
      <c r="M52" s="64"/>
      <c r="N52" s="64"/>
      <c r="O52" s="64"/>
    </row>
    <row r="53" spans="1:15" x14ac:dyDescent="0.25">
      <c r="A53" s="1313"/>
      <c r="B53" s="1232"/>
      <c r="C53" s="1148" t="s">
        <v>257</v>
      </c>
      <c r="D53" s="1124"/>
      <c r="E53" s="28"/>
      <c r="F53" s="28"/>
      <c r="G53" s="28"/>
      <c r="H53" s="29">
        <v>7.42</v>
      </c>
      <c r="I53" s="29">
        <v>5.92</v>
      </c>
      <c r="J53" s="29">
        <v>5.0599999999999996</v>
      </c>
      <c r="K53" s="29">
        <v>5.0599999999999996</v>
      </c>
      <c r="L53" s="39">
        <v>4.43</v>
      </c>
    </row>
    <row r="54" spans="1:15" x14ac:dyDescent="0.25">
      <c r="A54" s="1313"/>
      <c r="B54" s="1232"/>
      <c r="C54" s="1222" t="s">
        <v>263</v>
      </c>
      <c r="D54" s="1223"/>
      <c r="E54" s="28"/>
      <c r="F54" s="28"/>
      <c r="G54" s="28"/>
      <c r="H54" s="29">
        <v>8.35</v>
      </c>
      <c r="I54" s="29">
        <v>6.92</v>
      </c>
      <c r="J54" s="29">
        <v>6.13</v>
      </c>
      <c r="K54" s="29">
        <v>6.13</v>
      </c>
      <c r="L54" s="39">
        <v>5.35</v>
      </c>
    </row>
    <row r="55" spans="1:15" ht="16.5" thickBot="1" x14ac:dyDescent="0.3">
      <c r="A55" s="1313"/>
      <c r="B55" s="1233"/>
      <c r="C55" s="1224" t="s">
        <v>354</v>
      </c>
      <c r="D55" s="1225"/>
      <c r="E55" s="33"/>
      <c r="F55" s="33"/>
      <c r="G55" s="33"/>
      <c r="H55" s="34">
        <f>+H54-H53</f>
        <v>0.92999999999999972</v>
      </c>
      <c r="I55" s="34">
        <f>+I54-I53</f>
        <v>1</v>
      </c>
      <c r="J55" s="34">
        <f>+J54-J53</f>
        <v>1.0700000000000003</v>
      </c>
      <c r="K55" s="34">
        <f>+K54-K53</f>
        <v>1.0700000000000003</v>
      </c>
      <c r="L55" s="35">
        <f>+L54-L53</f>
        <v>0.91999999999999993</v>
      </c>
    </row>
    <row r="56" spans="1:15" x14ac:dyDescent="0.25">
      <c r="A56" s="1313"/>
      <c r="B56" s="1231" t="s">
        <v>151</v>
      </c>
      <c r="C56" s="1316" t="s">
        <v>251</v>
      </c>
      <c r="D56" s="1317"/>
      <c r="E56" s="40"/>
      <c r="F56" s="40"/>
      <c r="G56" s="40"/>
      <c r="H56" s="195">
        <v>568</v>
      </c>
      <c r="I56" s="195">
        <v>618</v>
      </c>
      <c r="J56" s="195">
        <v>722</v>
      </c>
      <c r="K56" s="225">
        <v>520</v>
      </c>
      <c r="L56" s="20"/>
    </row>
    <row r="57" spans="1:15" x14ac:dyDescent="0.25">
      <c r="A57" s="1313"/>
      <c r="B57" s="1232"/>
      <c r="C57" s="1229" t="s">
        <v>257</v>
      </c>
      <c r="D57" s="1230"/>
      <c r="E57" s="28"/>
      <c r="F57" s="28"/>
      <c r="G57" s="28"/>
      <c r="H57" s="96">
        <v>231</v>
      </c>
      <c r="I57" s="96">
        <v>229</v>
      </c>
      <c r="J57" s="96">
        <v>266</v>
      </c>
      <c r="K57" s="96">
        <v>208</v>
      </c>
      <c r="L57" s="21"/>
    </row>
    <row r="58" spans="1:15" x14ac:dyDescent="0.25">
      <c r="A58" s="1313"/>
      <c r="B58" s="1232"/>
      <c r="C58" s="1148" t="s">
        <v>263</v>
      </c>
      <c r="D58" s="1124"/>
      <c r="E58" s="28"/>
      <c r="F58" s="28"/>
      <c r="G58" s="28"/>
      <c r="H58" s="96">
        <v>337</v>
      </c>
      <c r="I58" s="96">
        <v>389</v>
      </c>
      <c r="J58" s="96">
        <v>456</v>
      </c>
      <c r="K58" s="96">
        <v>312</v>
      </c>
      <c r="L58" s="21"/>
    </row>
    <row r="59" spans="1:15" x14ac:dyDescent="0.25">
      <c r="A59" s="1313"/>
      <c r="B59" s="1232"/>
      <c r="C59" s="1190" t="s">
        <v>353</v>
      </c>
      <c r="D59" s="1112"/>
      <c r="E59" s="28"/>
      <c r="F59" s="28"/>
      <c r="G59" s="28"/>
      <c r="H59" s="44">
        <f>+H58-H57</f>
        <v>106</v>
      </c>
      <c r="I59" s="44">
        <f>+I58-I57</f>
        <v>160</v>
      </c>
      <c r="J59" s="44">
        <f>+J58-J57</f>
        <v>190</v>
      </c>
      <c r="K59" s="44">
        <f>+K58-K57</f>
        <v>104</v>
      </c>
      <c r="L59" s="21"/>
    </row>
    <row r="60" spans="1:15" ht="16.5" thickBot="1" x14ac:dyDescent="0.3">
      <c r="A60" s="1313"/>
      <c r="B60" s="1233"/>
      <c r="C60" s="1177" t="s">
        <v>270</v>
      </c>
      <c r="D60" s="1178"/>
      <c r="E60" s="110"/>
      <c r="F60" s="110"/>
      <c r="G60" s="110"/>
      <c r="H60" s="165">
        <f>H58/H56*100</f>
        <v>59.33098591549296</v>
      </c>
      <c r="I60" s="165">
        <f>I58/I56*100</f>
        <v>62.944983818770226</v>
      </c>
      <c r="J60" s="165">
        <f>J58/J56*100</f>
        <v>63.157894736842103</v>
      </c>
      <c r="K60" s="165">
        <f>K58/K56*100</f>
        <v>60</v>
      </c>
      <c r="L60" s="53"/>
    </row>
    <row r="61" spans="1:15" ht="16.5" thickBot="1" x14ac:dyDescent="0.3">
      <c r="A61" s="1313"/>
      <c r="B61" s="992" t="s">
        <v>249</v>
      </c>
      <c r="C61" s="1325"/>
      <c r="D61" s="1325"/>
      <c r="E61" s="989"/>
      <c r="F61" s="990">
        <v>2011</v>
      </c>
      <c r="G61" s="991"/>
      <c r="H61" s="989"/>
      <c r="I61" s="990">
        <v>2021</v>
      </c>
      <c r="J61" s="991"/>
      <c r="K61" s="989"/>
      <c r="L61" s="473">
        <v>2024</v>
      </c>
    </row>
    <row r="62" spans="1:15" x14ac:dyDescent="0.25">
      <c r="A62" s="1313"/>
      <c r="B62" s="1219" t="s">
        <v>156</v>
      </c>
      <c r="C62" s="1336" t="s">
        <v>355</v>
      </c>
      <c r="D62" s="814" t="s">
        <v>251</v>
      </c>
      <c r="E62" s="92"/>
      <c r="F62" s="79">
        <v>73210</v>
      </c>
      <c r="G62" s="93"/>
      <c r="H62" s="93"/>
      <c r="I62" s="79">
        <v>73161</v>
      </c>
      <c r="J62" s="28"/>
      <c r="K62" s="28"/>
      <c r="L62" s="21"/>
    </row>
    <row r="63" spans="1:15" ht="15" customHeight="1" x14ac:dyDescent="0.25">
      <c r="A63" s="1313"/>
      <c r="B63" s="1220"/>
      <c r="C63" s="1336"/>
      <c r="D63" s="28" t="s">
        <v>257</v>
      </c>
      <c r="E63" s="94"/>
      <c r="F63" s="80">
        <v>36630</v>
      </c>
      <c r="G63" s="95"/>
      <c r="H63" s="95"/>
      <c r="I63" s="80">
        <v>36129</v>
      </c>
      <c r="J63" s="28"/>
      <c r="K63" s="28"/>
      <c r="L63" s="21"/>
    </row>
    <row r="64" spans="1:15" x14ac:dyDescent="0.25">
      <c r="A64" s="1313"/>
      <c r="B64" s="1220"/>
      <c r="C64" s="1336"/>
      <c r="D64" s="28" t="s">
        <v>263</v>
      </c>
      <c r="E64" s="94"/>
      <c r="F64" s="80">
        <v>36580</v>
      </c>
      <c r="G64" s="95"/>
      <c r="H64" s="95"/>
      <c r="I64" s="80">
        <v>37035</v>
      </c>
      <c r="J64" s="28"/>
      <c r="K64" s="28"/>
      <c r="L64" s="21"/>
    </row>
    <row r="65" spans="1:12" hidden="1" x14ac:dyDescent="0.25">
      <c r="A65" s="1313"/>
      <c r="B65" s="1220"/>
      <c r="C65" s="1117" t="s">
        <v>356</v>
      </c>
      <c r="D65" s="144" t="s">
        <v>251</v>
      </c>
      <c r="E65" s="94"/>
      <c r="F65" s="80">
        <v>640</v>
      </c>
      <c r="G65" s="95"/>
      <c r="H65" s="95"/>
      <c r="I65" s="96"/>
      <c r="J65" s="28"/>
      <c r="K65" s="28"/>
      <c r="L65" s="21"/>
    </row>
    <row r="66" spans="1:12" hidden="1" x14ac:dyDescent="0.25">
      <c r="A66" s="1313"/>
      <c r="B66" s="1220"/>
      <c r="C66" s="1117"/>
      <c r="D66" s="28" t="s">
        <v>257</v>
      </c>
      <c r="E66" s="94"/>
      <c r="F66" s="80">
        <v>565</v>
      </c>
      <c r="G66" s="95"/>
      <c r="H66" s="95"/>
      <c r="I66" s="96"/>
      <c r="J66" s="28"/>
      <c r="K66" s="28"/>
      <c r="L66" s="21"/>
    </row>
    <row r="67" spans="1:12" hidden="1" x14ac:dyDescent="0.25">
      <c r="A67" s="1313"/>
      <c r="B67" s="1220"/>
      <c r="C67" s="1117"/>
      <c r="D67" s="28" t="s">
        <v>263</v>
      </c>
      <c r="E67" s="94"/>
      <c r="F67" s="80">
        <v>75</v>
      </c>
      <c r="G67" s="95"/>
      <c r="H67" s="95"/>
      <c r="I67" s="96"/>
      <c r="J67" s="28"/>
      <c r="K67" s="28"/>
      <c r="L67" s="21"/>
    </row>
    <row r="68" spans="1:12" hidden="1" x14ac:dyDescent="0.25">
      <c r="A68" s="1313"/>
      <c r="B68" s="1220"/>
      <c r="C68" s="1117"/>
      <c r="D68" s="28" t="s">
        <v>357</v>
      </c>
      <c r="E68" s="94"/>
      <c r="F68" s="97">
        <f>F67/F65*100</f>
        <v>11.71875</v>
      </c>
      <c r="G68" s="94"/>
      <c r="H68" s="94"/>
      <c r="I68" s="28"/>
      <c r="J68" s="28"/>
      <c r="K68" s="28"/>
      <c r="L68" s="21"/>
    </row>
    <row r="69" spans="1:12" ht="14.85" hidden="1" customHeight="1" x14ac:dyDescent="0.25">
      <c r="A69" s="1313"/>
      <c r="B69" s="1220"/>
      <c r="C69" s="1117" t="s">
        <v>358</v>
      </c>
      <c r="D69" s="144" t="s">
        <v>251</v>
      </c>
      <c r="E69" s="94"/>
      <c r="F69" s="80">
        <v>560</v>
      </c>
      <c r="G69" s="80"/>
      <c r="H69" s="80"/>
      <c r="I69" s="80">
        <v>318</v>
      </c>
      <c r="J69" s="28"/>
      <c r="K69" s="28"/>
      <c r="L69" s="21"/>
    </row>
    <row r="70" spans="1:12" hidden="1" x14ac:dyDescent="0.25">
      <c r="A70" s="1313"/>
      <c r="B70" s="1220"/>
      <c r="C70" s="1117"/>
      <c r="D70" s="28" t="s">
        <v>257</v>
      </c>
      <c r="E70" s="94"/>
      <c r="F70" s="80">
        <v>420</v>
      </c>
      <c r="G70" s="80"/>
      <c r="H70" s="80"/>
      <c r="I70" s="80">
        <v>207</v>
      </c>
      <c r="J70" s="28"/>
      <c r="K70" s="28"/>
      <c r="L70" s="21"/>
    </row>
    <row r="71" spans="1:12" hidden="1" x14ac:dyDescent="0.25">
      <c r="A71" s="1313"/>
      <c r="B71" s="1220"/>
      <c r="C71" s="1117"/>
      <c r="D71" s="28" t="s">
        <v>263</v>
      </c>
      <c r="E71" s="94"/>
      <c r="F71" s="80">
        <v>140</v>
      </c>
      <c r="G71" s="80"/>
      <c r="H71" s="80"/>
      <c r="I71" s="80">
        <v>108</v>
      </c>
      <c r="J71" s="28"/>
      <c r="K71" s="28"/>
      <c r="L71" s="21"/>
    </row>
    <row r="72" spans="1:12" hidden="1" x14ac:dyDescent="0.25">
      <c r="A72" s="1313"/>
      <c r="B72" s="1220"/>
      <c r="C72" s="1117"/>
      <c r="D72" s="28" t="s">
        <v>357</v>
      </c>
      <c r="E72" s="94"/>
      <c r="F72" s="97">
        <f>F71/F69*100</f>
        <v>25</v>
      </c>
      <c r="G72" s="94"/>
      <c r="H72" s="94"/>
      <c r="I72" s="97">
        <f>I71/I69*100</f>
        <v>33.962264150943398</v>
      </c>
      <c r="J72" s="28"/>
      <c r="K72" s="28"/>
      <c r="L72" s="21"/>
    </row>
    <row r="73" spans="1:12" hidden="1" x14ac:dyDescent="0.25">
      <c r="A73" s="1313"/>
      <c r="B73" s="1220"/>
      <c r="C73" s="1117" t="s">
        <v>359</v>
      </c>
      <c r="D73" s="144" t="s">
        <v>251</v>
      </c>
      <c r="E73" s="94"/>
      <c r="F73" s="80">
        <v>1400</v>
      </c>
      <c r="G73" s="80"/>
      <c r="H73" s="80"/>
      <c r="I73" s="80">
        <v>2070</v>
      </c>
      <c r="J73" s="28"/>
      <c r="K73" s="28"/>
      <c r="L73" s="21"/>
    </row>
    <row r="74" spans="1:12" hidden="1" x14ac:dyDescent="0.25">
      <c r="A74" s="1313"/>
      <c r="B74" s="1220"/>
      <c r="C74" s="1117"/>
      <c r="D74" s="28" t="s">
        <v>257</v>
      </c>
      <c r="E74" s="94"/>
      <c r="F74" s="80">
        <v>890</v>
      </c>
      <c r="G74" s="80"/>
      <c r="H74" s="80"/>
      <c r="I74" s="80">
        <v>1203</v>
      </c>
      <c r="J74" s="28"/>
      <c r="K74" s="28"/>
      <c r="L74" s="21"/>
    </row>
    <row r="75" spans="1:12" hidden="1" x14ac:dyDescent="0.25">
      <c r="A75" s="1313"/>
      <c r="B75" s="1220"/>
      <c r="C75" s="1117"/>
      <c r="D75" s="28" t="s">
        <v>263</v>
      </c>
      <c r="E75" s="94"/>
      <c r="F75" s="80">
        <v>510</v>
      </c>
      <c r="G75" s="80"/>
      <c r="H75" s="80"/>
      <c r="I75" s="80">
        <v>864</v>
      </c>
      <c r="J75" s="28"/>
      <c r="K75" s="28"/>
      <c r="L75" s="21"/>
    </row>
    <row r="76" spans="1:12" hidden="1" x14ac:dyDescent="0.25">
      <c r="A76" s="1313"/>
      <c r="B76" s="1220"/>
      <c r="C76" s="1117"/>
      <c r="D76" s="28" t="s">
        <v>357</v>
      </c>
      <c r="E76" s="94"/>
      <c r="F76" s="97">
        <f>F75/F73*100</f>
        <v>36.428571428571423</v>
      </c>
      <c r="G76" s="94"/>
      <c r="H76" s="94"/>
      <c r="I76" s="98">
        <f>I75/I73*100</f>
        <v>41.739130434782609</v>
      </c>
      <c r="J76" s="28"/>
      <c r="K76" s="28"/>
      <c r="L76" s="21"/>
    </row>
    <row r="77" spans="1:12" hidden="1" x14ac:dyDescent="0.25">
      <c r="A77" s="1313"/>
      <c r="B77" s="1220"/>
      <c r="C77" s="1117" t="s">
        <v>360</v>
      </c>
      <c r="D77" s="144" t="s">
        <v>251</v>
      </c>
      <c r="E77" s="94"/>
      <c r="F77" s="80">
        <v>2235</v>
      </c>
      <c r="G77" s="80"/>
      <c r="H77" s="80"/>
      <c r="I77" s="80">
        <v>573</v>
      </c>
      <c r="J77" s="96"/>
      <c r="K77" s="28"/>
      <c r="L77" s="21"/>
    </row>
    <row r="78" spans="1:12" hidden="1" x14ac:dyDescent="0.25">
      <c r="A78" s="1313"/>
      <c r="B78" s="1220"/>
      <c r="C78" s="1117"/>
      <c r="D78" s="28" t="s">
        <v>257</v>
      </c>
      <c r="E78" s="94"/>
      <c r="F78" s="80">
        <v>1530</v>
      </c>
      <c r="G78" s="80"/>
      <c r="H78" s="80"/>
      <c r="I78" s="80">
        <v>384</v>
      </c>
      <c r="J78" s="96"/>
      <c r="K78" s="28"/>
      <c r="L78" s="21"/>
    </row>
    <row r="79" spans="1:12" hidden="1" x14ac:dyDescent="0.25">
      <c r="A79" s="1313"/>
      <c r="B79" s="1220"/>
      <c r="C79" s="1117"/>
      <c r="D79" s="28" t="s">
        <v>263</v>
      </c>
      <c r="E79" s="94"/>
      <c r="F79" s="80">
        <v>710</v>
      </c>
      <c r="G79" s="80"/>
      <c r="H79" s="80"/>
      <c r="I79" s="80">
        <v>189</v>
      </c>
      <c r="J79" s="96"/>
      <c r="K79" s="28"/>
      <c r="L79" s="21"/>
    </row>
    <row r="80" spans="1:12" hidden="1" x14ac:dyDescent="0.25">
      <c r="A80" s="1313"/>
      <c r="B80" s="1220"/>
      <c r="C80" s="1117"/>
      <c r="D80" s="28" t="s">
        <v>357</v>
      </c>
      <c r="E80" s="94"/>
      <c r="F80" s="97">
        <f>F79/F77*100</f>
        <v>31.767337807606268</v>
      </c>
      <c r="G80" s="94"/>
      <c r="H80" s="94"/>
      <c r="I80" s="97">
        <f>I79/I77*100</f>
        <v>32.984293193717278</v>
      </c>
      <c r="J80" s="28"/>
      <c r="K80" s="28"/>
      <c r="L80" s="21"/>
    </row>
    <row r="81" spans="1:12" hidden="1" x14ac:dyDescent="0.25">
      <c r="A81" s="1313"/>
      <c r="B81" s="1220"/>
      <c r="C81" s="1117" t="s">
        <v>361</v>
      </c>
      <c r="D81" s="144" t="s">
        <v>251</v>
      </c>
      <c r="E81" s="94"/>
      <c r="F81" s="80">
        <v>405</v>
      </c>
      <c r="G81" s="80"/>
      <c r="H81" s="80"/>
      <c r="I81" s="80">
        <v>447</v>
      </c>
      <c r="J81" s="28"/>
      <c r="K81" s="28"/>
      <c r="L81" s="21"/>
    </row>
    <row r="82" spans="1:12" hidden="1" x14ac:dyDescent="0.25">
      <c r="A82" s="1313"/>
      <c r="B82" s="1220"/>
      <c r="C82" s="1117"/>
      <c r="D82" s="28" t="s">
        <v>257</v>
      </c>
      <c r="E82" s="94"/>
      <c r="F82" s="80">
        <v>300</v>
      </c>
      <c r="G82" s="80"/>
      <c r="H82" s="80"/>
      <c r="I82" s="80">
        <v>291</v>
      </c>
      <c r="J82" s="28"/>
      <c r="K82" s="28"/>
      <c r="L82" s="21"/>
    </row>
    <row r="83" spans="1:12" hidden="1" x14ac:dyDescent="0.25">
      <c r="A83" s="1313"/>
      <c r="B83" s="1220"/>
      <c r="C83" s="1117"/>
      <c r="D83" s="28" t="s">
        <v>263</v>
      </c>
      <c r="E83" s="94"/>
      <c r="F83" s="80">
        <v>105</v>
      </c>
      <c r="G83" s="80"/>
      <c r="H83" s="80"/>
      <c r="I83" s="80">
        <v>156</v>
      </c>
      <c r="J83" s="28"/>
      <c r="K83" s="28"/>
      <c r="L83" s="21"/>
    </row>
    <row r="84" spans="1:12" hidden="1" x14ac:dyDescent="0.25">
      <c r="A84" s="1313"/>
      <c r="B84" s="1220"/>
      <c r="C84" s="1117"/>
      <c r="D84" s="28" t="s">
        <v>357</v>
      </c>
      <c r="E84" s="94"/>
      <c r="F84" s="97">
        <f>(F83/F81)*100</f>
        <v>25.925925925925924</v>
      </c>
      <c r="G84" s="94"/>
      <c r="H84" s="94"/>
      <c r="I84" s="97">
        <f>I83/I81*100</f>
        <v>34.899328859060404</v>
      </c>
      <c r="J84" s="28"/>
      <c r="K84" s="28"/>
      <c r="L84" s="21"/>
    </row>
    <row r="85" spans="1:12" hidden="1" x14ac:dyDescent="0.25">
      <c r="A85" s="1313"/>
      <c r="B85" s="1220"/>
      <c r="C85" s="1117" t="s">
        <v>362</v>
      </c>
      <c r="D85" s="144" t="s">
        <v>251</v>
      </c>
      <c r="E85" s="94"/>
      <c r="F85" s="80">
        <v>115</v>
      </c>
      <c r="G85" s="80"/>
      <c r="H85" s="80"/>
      <c r="I85" s="80">
        <v>540</v>
      </c>
      <c r="J85" s="28"/>
      <c r="K85" s="28"/>
      <c r="L85" s="21"/>
    </row>
    <row r="86" spans="1:12" ht="15" hidden="1" customHeight="1" x14ac:dyDescent="0.25">
      <c r="A86" s="1313"/>
      <c r="B86" s="1220"/>
      <c r="C86" s="1117"/>
      <c r="D86" s="28" t="s">
        <v>257</v>
      </c>
      <c r="E86" s="94"/>
      <c r="F86" s="80">
        <v>95</v>
      </c>
      <c r="G86" s="80"/>
      <c r="H86" s="80"/>
      <c r="I86" s="80">
        <v>354</v>
      </c>
      <c r="J86" s="28"/>
      <c r="K86" s="28"/>
      <c r="L86" s="21"/>
    </row>
    <row r="87" spans="1:12" hidden="1" x14ac:dyDescent="0.25">
      <c r="A87" s="1313"/>
      <c r="B87" s="1220"/>
      <c r="C87" s="1117"/>
      <c r="D87" s="28" t="s">
        <v>263</v>
      </c>
      <c r="E87" s="94"/>
      <c r="F87" s="80">
        <v>20</v>
      </c>
      <c r="G87" s="80"/>
      <c r="H87" s="80"/>
      <c r="I87" s="80">
        <v>186</v>
      </c>
      <c r="J87" s="28"/>
      <c r="K87" s="28"/>
      <c r="L87" s="21"/>
    </row>
    <row r="88" spans="1:12" hidden="1" x14ac:dyDescent="0.25">
      <c r="A88" s="1313"/>
      <c r="B88" s="1220"/>
      <c r="C88" s="1117"/>
      <c r="D88" s="28" t="s">
        <v>357</v>
      </c>
      <c r="E88" s="94"/>
      <c r="F88" s="97">
        <f>(F87/F85)*100</f>
        <v>17.391304347826086</v>
      </c>
      <c r="G88" s="94"/>
      <c r="H88" s="94"/>
      <c r="I88" s="97">
        <f>I87/I85*100</f>
        <v>34.444444444444443</v>
      </c>
      <c r="J88" s="28"/>
      <c r="K88" s="28"/>
      <c r="L88" s="21"/>
    </row>
    <row r="89" spans="1:12" hidden="1" x14ac:dyDescent="0.25">
      <c r="A89" s="1313"/>
      <c r="B89" s="1220"/>
      <c r="C89" s="1117" t="s">
        <v>363</v>
      </c>
      <c r="D89" s="144" t="s">
        <v>251</v>
      </c>
      <c r="E89" s="94"/>
      <c r="F89" s="80">
        <v>4375</v>
      </c>
      <c r="G89" s="80"/>
      <c r="H89" s="80"/>
      <c r="I89" s="80">
        <v>4857</v>
      </c>
      <c r="J89" s="28"/>
      <c r="K89" s="28"/>
      <c r="L89" s="21"/>
    </row>
    <row r="90" spans="1:12" hidden="1" x14ac:dyDescent="0.25">
      <c r="A90" s="1313"/>
      <c r="B90" s="1220"/>
      <c r="C90" s="1117"/>
      <c r="D90" s="28" t="s">
        <v>257</v>
      </c>
      <c r="E90" s="94"/>
      <c r="F90" s="80">
        <v>1500</v>
      </c>
      <c r="G90" s="80"/>
      <c r="H90" s="80"/>
      <c r="I90" s="80">
        <v>1395</v>
      </c>
      <c r="J90" s="28"/>
      <c r="K90" s="28"/>
      <c r="L90" s="21"/>
    </row>
    <row r="91" spans="1:12" hidden="1" x14ac:dyDescent="0.25">
      <c r="A91" s="1313"/>
      <c r="B91" s="1220"/>
      <c r="C91" s="1117"/>
      <c r="D91" s="28" t="s">
        <v>263</v>
      </c>
      <c r="E91" s="94"/>
      <c r="F91" s="80">
        <v>2875</v>
      </c>
      <c r="G91" s="80"/>
      <c r="H91" s="80"/>
      <c r="I91" s="80">
        <v>3465</v>
      </c>
      <c r="J91" s="28"/>
      <c r="K91" s="28"/>
      <c r="L91" s="21"/>
    </row>
    <row r="92" spans="1:12" hidden="1" x14ac:dyDescent="0.25">
      <c r="A92" s="1313"/>
      <c r="B92" s="1220"/>
      <c r="C92" s="1117"/>
      <c r="D92" s="28" t="s">
        <v>357</v>
      </c>
      <c r="E92" s="94"/>
      <c r="F92" s="99">
        <f>F91/F89*100</f>
        <v>65.714285714285708</v>
      </c>
      <c r="G92" s="94"/>
      <c r="H92" s="94"/>
      <c r="I92" s="99">
        <f>I91/I89*100</f>
        <v>71.340333539221746</v>
      </c>
      <c r="J92" s="28"/>
      <c r="K92" s="28"/>
      <c r="L92" s="21"/>
    </row>
    <row r="93" spans="1:12" hidden="1" x14ac:dyDescent="0.25">
      <c r="A93" s="1313"/>
      <c r="B93" s="1220"/>
      <c r="C93" s="1117" t="s">
        <v>364</v>
      </c>
      <c r="D93" s="144" t="s">
        <v>251</v>
      </c>
      <c r="E93" s="94"/>
      <c r="F93" s="80">
        <v>5315</v>
      </c>
      <c r="G93" s="80"/>
      <c r="H93" s="80"/>
      <c r="I93" s="80">
        <v>5580</v>
      </c>
      <c r="J93" s="28"/>
      <c r="K93" s="28"/>
      <c r="L93" s="21"/>
    </row>
    <row r="94" spans="1:12" ht="14.85" hidden="1" customHeight="1" x14ac:dyDescent="0.25">
      <c r="A94" s="1313"/>
      <c r="B94" s="1220"/>
      <c r="C94" s="1117"/>
      <c r="D94" s="28" t="s">
        <v>257</v>
      </c>
      <c r="E94" s="94"/>
      <c r="F94" s="80">
        <v>2000</v>
      </c>
      <c r="G94" s="80"/>
      <c r="H94" s="80"/>
      <c r="I94" s="80">
        <v>2094</v>
      </c>
      <c r="J94" s="28"/>
      <c r="K94" s="28"/>
      <c r="L94" s="21"/>
    </row>
    <row r="95" spans="1:12" hidden="1" x14ac:dyDescent="0.25">
      <c r="A95" s="1313"/>
      <c r="B95" s="1220"/>
      <c r="C95" s="1117"/>
      <c r="D95" s="28" t="s">
        <v>263</v>
      </c>
      <c r="E95" s="94"/>
      <c r="F95" s="80">
        <v>3315</v>
      </c>
      <c r="G95" s="80"/>
      <c r="H95" s="80"/>
      <c r="I95" s="80">
        <v>3486</v>
      </c>
      <c r="J95" s="28"/>
      <c r="K95" s="28"/>
      <c r="L95" s="21"/>
    </row>
    <row r="96" spans="1:12" hidden="1" x14ac:dyDescent="0.25">
      <c r="A96" s="1313"/>
      <c r="B96" s="1220"/>
      <c r="C96" s="1117"/>
      <c r="D96" s="28" t="s">
        <v>357</v>
      </c>
      <c r="E96" s="94"/>
      <c r="F96" s="99">
        <f>(F91/F89)*100</f>
        <v>65.714285714285708</v>
      </c>
      <c r="G96" s="94"/>
      <c r="H96" s="94"/>
      <c r="I96" s="99">
        <f>I95/I93*100</f>
        <v>62.473118279569896</v>
      </c>
      <c r="J96" s="28"/>
      <c r="K96" s="28"/>
      <c r="L96" s="21"/>
    </row>
    <row r="97" spans="1:12" hidden="1" x14ac:dyDescent="0.25">
      <c r="A97" s="1313"/>
      <c r="B97" s="1220"/>
      <c r="C97" s="1117" t="s">
        <v>365</v>
      </c>
      <c r="D97" s="144" t="s">
        <v>251</v>
      </c>
      <c r="E97" s="94"/>
      <c r="F97" s="80">
        <v>630</v>
      </c>
      <c r="G97" s="80"/>
      <c r="H97" s="80"/>
      <c r="I97" s="80">
        <v>1356</v>
      </c>
      <c r="J97" s="28"/>
      <c r="K97" s="28"/>
      <c r="L97" s="21"/>
    </row>
    <row r="98" spans="1:12" hidden="1" x14ac:dyDescent="0.25">
      <c r="A98" s="1313"/>
      <c r="B98" s="1220"/>
      <c r="C98" s="1117"/>
      <c r="D98" s="28" t="s">
        <v>257</v>
      </c>
      <c r="E98" s="94"/>
      <c r="F98" s="80">
        <v>255</v>
      </c>
      <c r="G98" s="80"/>
      <c r="H98" s="80"/>
      <c r="I98" s="80">
        <v>546</v>
      </c>
      <c r="J98" s="28"/>
      <c r="K98" s="28"/>
      <c r="L98" s="21"/>
    </row>
    <row r="99" spans="1:12" hidden="1" x14ac:dyDescent="0.25">
      <c r="A99" s="1313"/>
      <c r="B99" s="1220"/>
      <c r="C99" s="1117"/>
      <c r="D99" s="28" t="s">
        <v>263</v>
      </c>
      <c r="E99" s="94"/>
      <c r="F99" s="80">
        <v>370</v>
      </c>
      <c r="G99" s="80"/>
      <c r="H99" s="80"/>
      <c r="I99" s="80">
        <v>810</v>
      </c>
      <c r="J99" s="28"/>
      <c r="K99" s="28"/>
      <c r="L99" s="21"/>
    </row>
    <row r="100" spans="1:12" hidden="1" x14ac:dyDescent="0.25">
      <c r="A100" s="1313"/>
      <c r="B100" s="1220"/>
      <c r="C100" s="1117"/>
      <c r="D100" s="28" t="s">
        <v>357</v>
      </c>
      <c r="E100" s="94"/>
      <c r="F100" s="98">
        <f>(F99/F97)*100</f>
        <v>58.730158730158735</v>
      </c>
      <c r="G100" s="94"/>
      <c r="H100" s="94"/>
      <c r="I100" s="98">
        <f>I99/I97*100</f>
        <v>59.734513274336287</v>
      </c>
      <c r="J100" s="28"/>
      <c r="K100" s="28"/>
      <c r="L100" s="21"/>
    </row>
    <row r="101" spans="1:12" hidden="1" x14ac:dyDescent="0.25">
      <c r="A101" s="1313"/>
      <c r="B101" s="1220"/>
      <c r="C101" s="1117" t="s">
        <v>366</v>
      </c>
      <c r="D101" s="144" t="s">
        <v>251</v>
      </c>
      <c r="E101" s="94"/>
      <c r="F101" s="80">
        <v>5780</v>
      </c>
      <c r="G101" s="80"/>
      <c r="H101" s="80"/>
      <c r="I101" s="80">
        <v>4818</v>
      </c>
      <c r="J101" s="28"/>
      <c r="K101" s="28"/>
      <c r="L101" s="21"/>
    </row>
    <row r="102" spans="1:12" hidden="1" x14ac:dyDescent="0.25">
      <c r="A102" s="1313"/>
      <c r="B102" s="1220"/>
      <c r="C102" s="1117"/>
      <c r="D102" s="28" t="s">
        <v>257</v>
      </c>
      <c r="E102" s="94"/>
      <c r="F102" s="80">
        <v>3930</v>
      </c>
      <c r="G102" s="80"/>
      <c r="H102" s="80"/>
      <c r="I102" s="80">
        <v>3132</v>
      </c>
      <c r="J102" s="28"/>
      <c r="K102" s="28"/>
      <c r="L102" s="21"/>
    </row>
    <row r="103" spans="1:12" hidden="1" x14ac:dyDescent="0.25">
      <c r="A103" s="1313"/>
      <c r="B103" s="1220"/>
      <c r="C103" s="1117"/>
      <c r="D103" s="28" t="s">
        <v>263</v>
      </c>
      <c r="E103" s="94"/>
      <c r="F103" s="80">
        <v>1850</v>
      </c>
      <c r="G103" s="80"/>
      <c r="H103" s="80"/>
      <c r="I103" s="80">
        <v>1689</v>
      </c>
      <c r="J103" s="28"/>
      <c r="K103" s="28"/>
      <c r="L103" s="21"/>
    </row>
    <row r="104" spans="1:12" hidden="1" x14ac:dyDescent="0.25">
      <c r="A104" s="1313"/>
      <c r="B104" s="1220"/>
      <c r="C104" s="1117"/>
      <c r="D104" s="28" t="s">
        <v>357</v>
      </c>
      <c r="E104" s="94"/>
      <c r="F104" s="97">
        <f>(F103/F101)*100</f>
        <v>32.006920415224918</v>
      </c>
      <c r="G104" s="94"/>
      <c r="H104" s="94"/>
      <c r="I104" s="97">
        <f>I103/I101*100</f>
        <v>35.056039850560403</v>
      </c>
      <c r="J104" s="28"/>
      <c r="K104" s="28"/>
      <c r="L104" s="21"/>
    </row>
    <row r="105" spans="1:12" hidden="1" x14ac:dyDescent="0.25">
      <c r="A105" s="1313"/>
      <c r="B105" s="1220"/>
      <c r="C105" s="1117" t="s">
        <v>367</v>
      </c>
      <c r="D105" s="144" t="s">
        <v>251</v>
      </c>
      <c r="E105" s="94"/>
      <c r="F105" s="80">
        <v>1265</v>
      </c>
      <c r="G105" s="80"/>
      <c r="H105" s="80"/>
      <c r="I105" s="80">
        <v>1296</v>
      </c>
      <c r="J105" s="80"/>
      <c r="K105" s="28"/>
      <c r="L105" s="21"/>
    </row>
    <row r="106" spans="1:12" hidden="1" x14ac:dyDescent="0.25">
      <c r="A106" s="1313"/>
      <c r="B106" s="1220"/>
      <c r="C106" s="1117"/>
      <c r="D106" s="28" t="s">
        <v>257</v>
      </c>
      <c r="E106" s="94"/>
      <c r="F106" s="80">
        <v>585</v>
      </c>
      <c r="G106" s="80"/>
      <c r="H106" s="80"/>
      <c r="I106" s="80">
        <v>573</v>
      </c>
      <c r="J106" s="80"/>
      <c r="K106" s="28"/>
      <c r="L106" s="21"/>
    </row>
    <row r="107" spans="1:12" hidden="1" x14ac:dyDescent="0.25">
      <c r="A107" s="1313"/>
      <c r="B107" s="1220"/>
      <c r="C107" s="1117"/>
      <c r="D107" s="28" t="s">
        <v>263</v>
      </c>
      <c r="E107" s="94"/>
      <c r="F107" s="80">
        <v>680</v>
      </c>
      <c r="G107" s="80"/>
      <c r="H107" s="80"/>
      <c r="I107" s="80">
        <v>723</v>
      </c>
      <c r="J107" s="80"/>
      <c r="K107" s="28"/>
      <c r="L107" s="21"/>
    </row>
    <row r="108" spans="1:12" hidden="1" x14ac:dyDescent="0.25">
      <c r="A108" s="1313"/>
      <c r="B108" s="1220"/>
      <c r="C108" s="1117"/>
      <c r="D108" s="28" t="s">
        <v>357</v>
      </c>
      <c r="E108" s="94"/>
      <c r="F108" s="98">
        <f>(F107/F105)*100</f>
        <v>53.754940711462453</v>
      </c>
      <c r="G108" s="94"/>
      <c r="H108" s="94"/>
      <c r="I108" s="98">
        <f>I107/I105*100</f>
        <v>55.787037037037038</v>
      </c>
      <c r="J108" s="96"/>
      <c r="K108" s="28"/>
      <c r="L108" s="21"/>
    </row>
    <row r="109" spans="1:12" hidden="1" x14ac:dyDescent="0.25">
      <c r="A109" s="1313"/>
      <c r="B109" s="1220"/>
      <c r="C109" s="1117" t="s">
        <v>368</v>
      </c>
      <c r="D109" s="144" t="s">
        <v>251</v>
      </c>
      <c r="E109" s="94"/>
      <c r="F109" s="80">
        <v>3550</v>
      </c>
      <c r="G109" s="80"/>
      <c r="H109" s="80"/>
      <c r="I109" s="80">
        <v>4839</v>
      </c>
      <c r="J109" s="96"/>
      <c r="K109" s="28"/>
      <c r="L109" s="21"/>
    </row>
    <row r="110" spans="1:12" hidden="1" x14ac:dyDescent="0.25">
      <c r="A110" s="1313"/>
      <c r="B110" s="1220"/>
      <c r="C110" s="1117"/>
      <c r="D110" s="28" t="s">
        <v>257</v>
      </c>
      <c r="E110" s="94"/>
      <c r="F110" s="80">
        <v>1720</v>
      </c>
      <c r="G110" s="80"/>
      <c r="H110" s="80"/>
      <c r="I110" s="80">
        <v>2217</v>
      </c>
      <c r="J110" s="96"/>
      <c r="K110" s="28"/>
      <c r="L110" s="21"/>
    </row>
    <row r="111" spans="1:12" hidden="1" x14ac:dyDescent="0.25">
      <c r="A111" s="1313"/>
      <c r="B111" s="1220"/>
      <c r="C111" s="1117"/>
      <c r="D111" s="28" t="s">
        <v>263</v>
      </c>
      <c r="E111" s="94"/>
      <c r="F111" s="80">
        <v>1835</v>
      </c>
      <c r="G111" s="80"/>
      <c r="H111" s="80"/>
      <c r="I111" s="80">
        <v>2622</v>
      </c>
      <c r="J111" s="96"/>
      <c r="K111" s="28"/>
      <c r="L111" s="21"/>
    </row>
    <row r="112" spans="1:12" hidden="1" x14ac:dyDescent="0.25">
      <c r="A112" s="1313"/>
      <c r="B112" s="1220"/>
      <c r="C112" s="1117"/>
      <c r="D112" s="28" t="s">
        <v>357</v>
      </c>
      <c r="E112" s="94"/>
      <c r="F112" s="98">
        <f>(F111/F109)*100</f>
        <v>51.690140845070417</v>
      </c>
      <c r="G112" s="94"/>
      <c r="H112" s="94"/>
      <c r="I112" s="98">
        <f>I111/I109*100</f>
        <v>54.184748915065093</v>
      </c>
      <c r="J112" s="96"/>
      <c r="K112" s="28"/>
      <c r="L112" s="21"/>
    </row>
    <row r="113" spans="1:12" hidden="1" x14ac:dyDescent="0.25">
      <c r="A113" s="1313"/>
      <c r="B113" s="1220"/>
      <c r="C113" s="1117" t="s">
        <v>369</v>
      </c>
      <c r="D113" s="144" t="s">
        <v>251</v>
      </c>
      <c r="E113" s="94"/>
      <c r="F113" s="80">
        <v>1620</v>
      </c>
      <c r="G113" s="80"/>
      <c r="H113" s="80"/>
      <c r="I113" s="80">
        <v>2739</v>
      </c>
      <c r="J113" s="96"/>
      <c r="K113" s="28"/>
      <c r="L113" s="21"/>
    </row>
    <row r="114" spans="1:12" hidden="1" x14ac:dyDescent="0.25">
      <c r="A114" s="1313"/>
      <c r="B114" s="1220"/>
      <c r="C114" s="1117"/>
      <c r="D114" s="28" t="s">
        <v>257</v>
      </c>
      <c r="E114" s="94"/>
      <c r="F114" s="80">
        <v>1065</v>
      </c>
      <c r="G114" s="80"/>
      <c r="H114" s="80"/>
      <c r="I114" s="80">
        <v>1887</v>
      </c>
      <c r="J114" s="96"/>
      <c r="K114" s="28"/>
      <c r="L114" s="21"/>
    </row>
    <row r="115" spans="1:12" hidden="1" x14ac:dyDescent="0.25">
      <c r="A115" s="1313"/>
      <c r="B115" s="1220"/>
      <c r="C115" s="1117"/>
      <c r="D115" s="28" t="s">
        <v>263</v>
      </c>
      <c r="E115" s="94"/>
      <c r="F115" s="80">
        <v>555</v>
      </c>
      <c r="G115" s="80"/>
      <c r="H115" s="80"/>
      <c r="I115" s="80">
        <v>855</v>
      </c>
      <c r="J115" s="96"/>
      <c r="K115" s="28"/>
      <c r="L115" s="21"/>
    </row>
    <row r="116" spans="1:12" hidden="1" x14ac:dyDescent="0.25">
      <c r="A116" s="1313"/>
      <c r="B116" s="1220"/>
      <c r="C116" s="1117"/>
      <c r="D116" s="28" t="s">
        <v>357</v>
      </c>
      <c r="E116" s="94"/>
      <c r="F116" s="97">
        <f>(F115/F113)*100</f>
        <v>34.25925925925926</v>
      </c>
      <c r="G116" s="94"/>
      <c r="H116" s="94"/>
      <c r="I116" s="97">
        <f>I115/I113*100</f>
        <v>31.215772179627599</v>
      </c>
      <c r="J116" s="96"/>
      <c r="K116" s="28"/>
      <c r="L116" s="21"/>
    </row>
    <row r="117" spans="1:12" hidden="1" x14ac:dyDescent="0.25">
      <c r="A117" s="1313"/>
      <c r="B117" s="1220"/>
      <c r="C117" s="1117" t="s">
        <v>370</v>
      </c>
      <c r="D117" s="144" t="s">
        <v>251</v>
      </c>
      <c r="E117" s="94"/>
      <c r="F117" s="80">
        <v>1810</v>
      </c>
      <c r="G117" s="80"/>
      <c r="H117" s="80"/>
      <c r="I117" s="80">
        <v>1503</v>
      </c>
      <c r="J117" s="96"/>
      <c r="K117" s="28"/>
      <c r="L117" s="21"/>
    </row>
    <row r="118" spans="1:12" hidden="1" x14ac:dyDescent="0.25">
      <c r="A118" s="1313"/>
      <c r="B118" s="1220"/>
      <c r="C118" s="1117"/>
      <c r="D118" s="28" t="s">
        <v>257</v>
      </c>
      <c r="E118" s="94"/>
      <c r="F118" s="80">
        <v>650</v>
      </c>
      <c r="G118" s="80"/>
      <c r="H118" s="80"/>
      <c r="I118" s="80">
        <v>492</v>
      </c>
      <c r="J118" s="96"/>
      <c r="K118" s="28"/>
      <c r="L118" s="21"/>
    </row>
    <row r="119" spans="1:12" hidden="1" x14ac:dyDescent="0.25">
      <c r="A119" s="1313"/>
      <c r="B119" s="1220"/>
      <c r="C119" s="1117"/>
      <c r="D119" s="28" t="s">
        <v>263</v>
      </c>
      <c r="E119" s="94"/>
      <c r="F119" s="80">
        <v>1165</v>
      </c>
      <c r="G119" s="80"/>
      <c r="H119" s="80"/>
      <c r="I119" s="80">
        <v>1014</v>
      </c>
      <c r="J119" s="96"/>
      <c r="K119" s="28"/>
      <c r="L119" s="21"/>
    </row>
    <row r="120" spans="1:12" hidden="1" x14ac:dyDescent="0.25">
      <c r="A120" s="1313"/>
      <c r="B120" s="1220"/>
      <c r="C120" s="1117"/>
      <c r="D120" s="28" t="s">
        <v>357</v>
      </c>
      <c r="E120" s="94"/>
      <c r="F120" s="99">
        <f>(F119/F117)*100</f>
        <v>64.364640883977899</v>
      </c>
      <c r="G120" s="94"/>
      <c r="H120" s="94"/>
      <c r="I120" s="99">
        <f>I119/I117*100</f>
        <v>67.465069860279442</v>
      </c>
      <c r="J120" s="96"/>
      <c r="K120" s="28"/>
      <c r="L120" s="21"/>
    </row>
    <row r="121" spans="1:12" hidden="1" x14ac:dyDescent="0.25">
      <c r="A121" s="1313"/>
      <c r="B121" s="1220"/>
      <c r="C121" s="1117" t="s">
        <v>371</v>
      </c>
      <c r="D121" s="144" t="s">
        <v>251</v>
      </c>
      <c r="E121" s="94"/>
      <c r="F121" s="80">
        <v>20</v>
      </c>
      <c r="G121" s="80"/>
      <c r="H121" s="80"/>
      <c r="I121" s="80">
        <v>2415</v>
      </c>
      <c r="J121" s="96"/>
      <c r="K121" s="28"/>
      <c r="L121" s="21"/>
    </row>
    <row r="122" spans="1:12" hidden="1" x14ac:dyDescent="0.25">
      <c r="A122" s="1313"/>
      <c r="B122" s="1220"/>
      <c r="C122" s="1117"/>
      <c r="D122" s="28" t="s">
        <v>257</v>
      </c>
      <c r="E122" s="94"/>
      <c r="F122" s="80">
        <v>20</v>
      </c>
      <c r="G122" s="80"/>
      <c r="H122" s="80"/>
      <c r="I122" s="80">
        <v>1194</v>
      </c>
      <c r="J122" s="96"/>
      <c r="K122" s="28"/>
      <c r="L122" s="21"/>
    </row>
    <row r="123" spans="1:12" hidden="1" x14ac:dyDescent="0.25">
      <c r="A123" s="1313"/>
      <c r="B123" s="1220"/>
      <c r="C123" s="1117"/>
      <c r="D123" s="28" t="s">
        <v>263</v>
      </c>
      <c r="E123" s="94"/>
      <c r="F123" s="80">
        <v>0</v>
      </c>
      <c r="G123" s="80"/>
      <c r="H123" s="80"/>
      <c r="I123" s="80">
        <v>1221</v>
      </c>
      <c r="J123" s="96"/>
      <c r="K123" s="28"/>
      <c r="L123" s="21"/>
    </row>
    <row r="124" spans="1:12" hidden="1" x14ac:dyDescent="0.25">
      <c r="A124" s="1313"/>
      <c r="B124" s="1220"/>
      <c r="C124" s="1117"/>
      <c r="D124" s="28" t="s">
        <v>357</v>
      </c>
      <c r="E124" s="94"/>
      <c r="F124" s="97">
        <f>(F123/F121)*100</f>
        <v>0</v>
      </c>
      <c r="G124" s="94"/>
      <c r="H124" s="94"/>
      <c r="I124" s="98">
        <f>I123/I121*100</f>
        <v>50.559006211180126</v>
      </c>
      <c r="J124" s="96"/>
      <c r="K124" s="28"/>
      <c r="L124" s="21"/>
    </row>
    <row r="125" spans="1:12" hidden="1" x14ac:dyDescent="0.25">
      <c r="A125" s="1313"/>
      <c r="B125" s="1220"/>
      <c r="C125" s="1117" t="s">
        <v>372</v>
      </c>
      <c r="D125" s="144" t="s">
        <v>251</v>
      </c>
      <c r="E125" s="94"/>
      <c r="F125" s="80">
        <v>1810</v>
      </c>
      <c r="G125" s="80"/>
      <c r="H125" s="80"/>
      <c r="I125" s="80">
        <v>1182</v>
      </c>
      <c r="J125" s="80"/>
      <c r="K125" s="28"/>
      <c r="L125" s="21"/>
    </row>
    <row r="126" spans="1:12" ht="14.85" hidden="1" customHeight="1" x14ac:dyDescent="0.25">
      <c r="A126" s="1313"/>
      <c r="B126" s="1220"/>
      <c r="C126" s="1117"/>
      <c r="D126" s="28" t="s">
        <v>257</v>
      </c>
      <c r="E126" s="94"/>
      <c r="F126" s="80">
        <v>1150</v>
      </c>
      <c r="G126" s="80"/>
      <c r="H126" s="80"/>
      <c r="I126" s="80">
        <v>768</v>
      </c>
      <c r="J126" s="80"/>
      <c r="K126" s="28"/>
      <c r="L126" s="21"/>
    </row>
    <row r="127" spans="1:12" hidden="1" x14ac:dyDescent="0.25">
      <c r="A127" s="1313"/>
      <c r="B127" s="1220"/>
      <c r="C127" s="1117"/>
      <c r="D127" s="28" t="s">
        <v>263</v>
      </c>
      <c r="E127" s="94"/>
      <c r="F127" s="80">
        <v>660</v>
      </c>
      <c r="G127" s="80"/>
      <c r="H127" s="80"/>
      <c r="I127" s="80">
        <v>414</v>
      </c>
      <c r="J127" s="80"/>
      <c r="K127" s="28"/>
      <c r="L127" s="21"/>
    </row>
    <row r="128" spans="1:12" hidden="1" x14ac:dyDescent="0.25">
      <c r="A128" s="1313"/>
      <c r="B128" s="1220"/>
      <c r="C128" s="1117"/>
      <c r="D128" s="28" t="s">
        <v>357</v>
      </c>
      <c r="E128" s="94"/>
      <c r="F128" s="97">
        <f>(F127/F125)*100</f>
        <v>36.464088397790057</v>
      </c>
      <c r="G128" s="94"/>
      <c r="H128" s="94"/>
      <c r="I128" s="97">
        <f>I127/I125*100</f>
        <v>35.025380710659896</v>
      </c>
      <c r="J128" s="96"/>
      <c r="K128" s="28"/>
      <c r="L128" s="21"/>
    </row>
    <row r="129" spans="1:12" hidden="1" x14ac:dyDescent="0.25">
      <c r="A129" s="1313"/>
      <c r="B129" s="1220"/>
      <c r="C129" s="1117" t="s">
        <v>373</v>
      </c>
      <c r="D129" s="144" t="s">
        <v>251</v>
      </c>
      <c r="E129" s="94"/>
      <c r="F129" s="80">
        <v>440</v>
      </c>
      <c r="G129" s="80"/>
      <c r="H129" s="80"/>
      <c r="I129" s="80">
        <v>207</v>
      </c>
      <c r="J129" s="80"/>
      <c r="K129" s="28"/>
      <c r="L129" s="21"/>
    </row>
    <row r="130" spans="1:12" hidden="1" x14ac:dyDescent="0.25">
      <c r="A130" s="1313"/>
      <c r="B130" s="1220"/>
      <c r="C130" s="1117"/>
      <c r="D130" s="28" t="s">
        <v>257</v>
      </c>
      <c r="E130" s="94"/>
      <c r="F130" s="80">
        <v>375</v>
      </c>
      <c r="G130" s="80"/>
      <c r="H130" s="80"/>
      <c r="I130" s="80">
        <v>171</v>
      </c>
      <c r="J130" s="80"/>
      <c r="K130" s="28"/>
      <c r="L130" s="21"/>
    </row>
    <row r="131" spans="1:12" hidden="1" x14ac:dyDescent="0.25">
      <c r="A131" s="1313"/>
      <c r="B131" s="1220"/>
      <c r="C131" s="1117"/>
      <c r="D131" s="28" t="s">
        <v>263</v>
      </c>
      <c r="E131" s="94"/>
      <c r="F131" s="80">
        <v>65</v>
      </c>
      <c r="G131" s="80"/>
      <c r="H131" s="80"/>
      <c r="I131" s="80">
        <v>36</v>
      </c>
      <c r="J131" s="80"/>
      <c r="K131" s="28"/>
      <c r="L131" s="21"/>
    </row>
    <row r="132" spans="1:12" hidden="1" x14ac:dyDescent="0.25">
      <c r="A132" s="1313"/>
      <c r="B132" s="1220"/>
      <c r="C132" s="1117"/>
      <c r="D132" s="28" t="s">
        <v>357</v>
      </c>
      <c r="E132" s="94"/>
      <c r="F132" s="97">
        <f>(F131/F129)*100</f>
        <v>14.772727272727273</v>
      </c>
      <c r="G132" s="94"/>
      <c r="H132" s="94"/>
      <c r="I132" s="97">
        <f>I131/I129*100</f>
        <v>17.391304347826086</v>
      </c>
      <c r="J132" s="96"/>
      <c r="K132" s="28"/>
      <c r="L132" s="21"/>
    </row>
    <row r="133" spans="1:12" hidden="1" x14ac:dyDescent="0.25">
      <c r="A133" s="1313"/>
      <c r="B133" s="1220"/>
      <c r="C133" s="1117" t="s">
        <v>374</v>
      </c>
      <c r="D133" s="144" t="s">
        <v>251</v>
      </c>
      <c r="E133" s="94"/>
      <c r="F133" s="80">
        <v>500</v>
      </c>
      <c r="G133" s="80"/>
      <c r="H133" s="80"/>
      <c r="I133" s="80">
        <v>483</v>
      </c>
      <c r="J133" s="96"/>
      <c r="K133" s="28"/>
      <c r="L133" s="21"/>
    </row>
    <row r="134" spans="1:12" hidden="1" x14ac:dyDescent="0.25">
      <c r="A134" s="1313"/>
      <c r="B134" s="1220"/>
      <c r="C134" s="1117"/>
      <c r="D134" s="28" t="s">
        <v>257</v>
      </c>
      <c r="E134" s="94"/>
      <c r="F134" s="80">
        <v>170</v>
      </c>
      <c r="G134" s="80"/>
      <c r="H134" s="80"/>
      <c r="I134" s="80">
        <v>174</v>
      </c>
      <c r="J134" s="96"/>
      <c r="K134" s="28"/>
      <c r="L134" s="21"/>
    </row>
    <row r="135" spans="1:12" hidden="1" x14ac:dyDescent="0.25">
      <c r="A135" s="1313"/>
      <c r="B135" s="1220"/>
      <c r="C135" s="1117"/>
      <c r="D135" s="28" t="s">
        <v>263</v>
      </c>
      <c r="E135" s="94"/>
      <c r="F135" s="80">
        <v>330</v>
      </c>
      <c r="G135" s="80"/>
      <c r="H135" s="80"/>
      <c r="I135" s="80">
        <v>309</v>
      </c>
      <c r="J135" s="96"/>
      <c r="K135" s="28"/>
      <c r="L135" s="21"/>
    </row>
    <row r="136" spans="1:12" hidden="1" x14ac:dyDescent="0.25">
      <c r="A136" s="1313"/>
      <c r="B136" s="1220"/>
      <c r="C136" s="1117"/>
      <c r="D136" s="28" t="s">
        <v>357</v>
      </c>
      <c r="E136" s="94"/>
      <c r="F136" s="99">
        <f>(F135/F133)*100</f>
        <v>66</v>
      </c>
      <c r="G136" s="94"/>
      <c r="H136" s="94"/>
      <c r="I136" s="99">
        <f>I135/I133*100</f>
        <v>63.975155279503106</v>
      </c>
      <c r="J136" s="96"/>
      <c r="K136" s="28"/>
      <c r="L136" s="21"/>
    </row>
    <row r="137" spans="1:12" hidden="1" x14ac:dyDescent="0.25">
      <c r="A137" s="1313"/>
      <c r="B137" s="1220"/>
      <c r="C137" s="1117" t="s">
        <v>375</v>
      </c>
      <c r="D137" s="144" t="s">
        <v>251</v>
      </c>
      <c r="E137" s="94"/>
      <c r="F137" s="80">
        <v>115</v>
      </c>
      <c r="G137" s="80"/>
      <c r="H137" s="80"/>
      <c r="I137" s="80">
        <v>177</v>
      </c>
      <c r="J137" s="96"/>
      <c r="K137" s="28"/>
      <c r="L137" s="21"/>
    </row>
    <row r="138" spans="1:12" ht="14.85" hidden="1" customHeight="1" x14ac:dyDescent="0.25">
      <c r="A138" s="1313"/>
      <c r="B138" s="1220"/>
      <c r="C138" s="1117"/>
      <c r="D138" s="28" t="s">
        <v>257</v>
      </c>
      <c r="E138" s="94"/>
      <c r="F138" s="80">
        <v>70</v>
      </c>
      <c r="G138" s="80"/>
      <c r="H138" s="80"/>
      <c r="I138" s="80">
        <v>84</v>
      </c>
      <c r="J138" s="96"/>
      <c r="K138" s="28"/>
      <c r="L138" s="21"/>
    </row>
    <row r="139" spans="1:12" hidden="1" x14ac:dyDescent="0.25">
      <c r="A139" s="1313"/>
      <c r="B139" s="1220"/>
      <c r="C139" s="1117"/>
      <c r="D139" s="28" t="s">
        <v>263</v>
      </c>
      <c r="E139" s="94"/>
      <c r="F139" s="80">
        <v>45</v>
      </c>
      <c r="G139" s="80"/>
      <c r="H139" s="80"/>
      <c r="I139" s="80">
        <v>90</v>
      </c>
      <c r="J139" s="96"/>
      <c r="K139" s="28"/>
      <c r="L139" s="21"/>
    </row>
    <row r="140" spans="1:12" hidden="1" x14ac:dyDescent="0.25">
      <c r="A140" s="1313"/>
      <c r="B140" s="1220"/>
      <c r="C140" s="1117"/>
      <c r="D140" s="28" t="s">
        <v>357</v>
      </c>
      <c r="E140" s="94"/>
      <c r="F140" s="97">
        <f>(F139/F137)*100</f>
        <v>39.130434782608695</v>
      </c>
      <c r="G140" s="94"/>
      <c r="H140" s="94"/>
      <c r="I140" s="98">
        <f>I139/I137*100</f>
        <v>50.847457627118644</v>
      </c>
      <c r="J140" s="96"/>
      <c r="K140" s="28"/>
      <c r="L140" s="21"/>
    </row>
    <row r="141" spans="1:12" hidden="1" x14ac:dyDescent="0.25">
      <c r="A141" s="1313"/>
      <c r="B141" s="1220"/>
      <c r="C141" s="1117" t="s">
        <v>376</v>
      </c>
      <c r="D141" s="144" t="s">
        <v>251</v>
      </c>
      <c r="E141" s="94"/>
      <c r="F141" s="80">
        <v>1845</v>
      </c>
      <c r="G141" s="80"/>
      <c r="H141" s="80"/>
      <c r="I141" s="80">
        <v>2265</v>
      </c>
      <c r="J141" s="96"/>
      <c r="K141" s="28"/>
      <c r="L141" s="21"/>
    </row>
    <row r="142" spans="1:12" ht="14.85" hidden="1" customHeight="1" x14ac:dyDescent="0.25">
      <c r="A142" s="1313"/>
      <c r="B142" s="1220"/>
      <c r="C142" s="1117"/>
      <c r="D142" s="28" t="s">
        <v>257</v>
      </c>
      <c r="E142" s="94"/>
      <c r="F142" s="80">
        <v>1375</v>
      </c>
      <c r="G142" s="80"/>
      <c r="H142" s="80"/>
      <c r="I142" s="80">
        <v>1311</v>
      </c>
      <c r="J142" s="96"/>
      <c r="K142" s="28"/>
      <c r="L142" s="21"/>
    </row>
    <row r="143" spans="1:12" hidden="1" x14ac:dyDescent="0.25">
      <c r="A143" s="1313"/>
      <c r="B143" s="1220"/>
      <c r="C143" s="1117"/>
      <c r="D143" s="28" t="s">
        <v>263</v>
      </c>
      <c r="E143" s="94"/>
      <c r="F143" s="80">
        <v>470</v>
      </c>
      <c r="G143" s="80"/>
      <c r="H143" s="80"/>
      <c r="I143" s="80">
        <v>957</v>
      </c>
      <c r="J143" s="96"/>
      <c r="K143" s="28"/>
      <c r="L143" s="21"/>
    </row>
    <row r="144" spans="1:12" hidden="1" x14ac:dyDescent="0.25">
      <c r="A144" s="1313"/>
      <c r="B144" s="1220"/>
      <c r="C144" s="1117"/>
      <c r="D144" s="28" t="s">
        <v>357</v>
      </c>
      <c r="E144" s="94"/>
      <c r="F144" s="97">
        <f>(F143/F141)*100</f>
        <v>25.474254742547426</v>
      </c>
      <c r="G144" s="94"/>
      <c r="H144" s="94"/>
      <c r="I144" s="98">
        <f>I143/I141*100</f>
        <v>42.251655629139073</v>
      </c>
      <c r="J144" s="96"/>
      <c r="K144" s="28"/>
      <c r="L144" s="21"/>
    </row>
    <row r="145" spans="1:12" hidden="1" x14ac:dyDescent="0.25">
      <c r="A145" s="1313"/>
      <c r="B145" s="1220"/>
      <c r="C145" s="1117" t="s">
        <v>377</v>
      </c>
      <c r="D145" s="144" t="s">
        <v>251</v>
      </c>
      <c r="E145" s="94"/>
      <c r="F145" s="80">
        <v>2005</v>
      </c>
      <c r="G145" s="80"/>
      <c r="H145" s="80"/>
      <c r="I145" s="80">
        <v>1716</v>
      </c>
      <c r="J145" s="96"/>
      <c r="K145" s="28"/>
      <c r="L145" s="21"/>
    </row>
    <row r="146" spans="1:12" hidden="1" x14ac:dyDescent="0.25">
      <c r="A146" s="1313"/>
      <c r="B146" s="1220"/>
      <c r="C146" s="1117"/>
      <c r="D146" s="28" t="s">
        <v>257</v>
      </c>
      <c r="E146" s="94"/>
      <c r="F146" s="80">
        <v>455</v>
      </c>
      <c r="G146" s="80"/>
      <c r="H146" s="80"/>
      <c r="I146" s="80">
        <v>540</v>
      </c>
      <c r="J146" s="96"/>
      <c r="K146" s="28"/>
      <c r="L146" s="21"/>
    </row>
    <row r="147" spans="1:12" hidden="1" x14ac:dyDescent="0.25">
      <c r="A147" s="1313"/>
      <c r="B147" s="1220"/>
      <c r="C147" s="1117"/>
      <c r="D147" s="28" t="s">
        <v>263</v>
      </c>
      <c r="E147" s="94"/>
      <c r="F147" s="80">
        <v>1550</v>
      </c>
      <c r="G147" s="80"/>
      <c r="H147" s="80"/>
      <c r="I147" s="80">
        <v>1179</v>
      </c>
      <c r="J147" s="96"/>
      <c r="K147" s="28"/>
      <c r="L147" s="21"/>
    </row>
    <row r="148" spans="1:12" hidden="1" x14ac:dyDescent="0.25">
      <c r="A148" s="1313"/>
      <c r="B148" s="1220"/>
      <c r="C148" s="1117"/>
      <c r="D148" s="28" t="s">
        <v>357</v>
      </c>
      <c r="E148" s="94"/>
      <c r="F148" s="99">
        <f>(F147/F145)*100</f>
        <v>77.306733167082299</v>
      </c>
      <c r="G148" s="94"/>
      <c r="H148" s="94"/>
      <c r="I148" s="99">
        <f>I147/I145*100</f>
        <v>68.706293706293707</v>
      </c>
      <c r="J148" s="96"/>
      <c r="K148" s="28"/>
      <c r="L148" s="21"/>
    </row>
    <row r="149" spans="1:12" hidden="1" x14ac:dyDescent="0.25">
      <c r="A149" s="1313"/>
      <c r="B149" s="1220"/>
      <c r="C149" s="1117" t="s">
        <v>378</v>
      </c>
      <c r="D149" s="144" t="s">
        <v>251</v>
      </c>
      <c r="E149" s="94"/>
      <c r="F149" s="80">
        <v>1485</v>
      </c>
      <c r="G149" s="80"/>
      <c r="H149" s="80"/>
      <c r="I149" s="80">
        <v>1365</v>
      </c>
      <c r="J149" s="80"/>
      <c r="K149" s="28"/>
      <c r="L149" s="21"/>
    </row>
    <row r="150" spans="1:12" hidden="1" x14ac:dyDescent="0.25">
      <c r="A150" s="1313"/>
      <c r="B150" s="1220"/>
      <c r="C150" s="1117"/>
      <c r="D150" s="28" t="s">
        <v>257</v>
      </c>
      <c r="E150" s="94"/>
      <c r="F150" s="80">
        <v>825</v>
      </c>
      <c r="G150" s="80"/>
      <c r="H150" s="80"/>
      <c r="I150" s="80">
        <v>696</v>
      </c>
      <c r="J150" s="80"/>
      <c r="K150" s="28"/>
      <c r="L150" s="21"/>
    </row>
    <row r="151" spans="1:12" hidden="1" x14ac:dyDescent="0.25">
      <c r="A151" s="1313"/>
      <c r="B151" s="1220"/>
      <c r="C151" s="1117"/>
      <c r="D151" s="28" t="s">
        <v>263</v>
      </c>
      <c r="E151" s="94"/>
      <c r="F151" s="80">
        <v>655</v>
      </c>
      <c r="G151" s="80"/>
      <c r="H151" s="80"/>
      <c r="I151" s="80">
        <v>669</v>
      </c>
      <c r="J151" s="80"/>
      <c r="K151" s="28"/>
      <c r="L151" s="21"/>
    </row>
    <row r="152" spans="1:12" hidden="1" x14ac:dyDescent="0.25">
      <c r="A152" s="1313"/>
      <c r="B152" s="1220"/>
      <c r="C152" s="1117"/>
      <c r="D152" s="28" t="s">
        <v>357</v>
      </c>
      <c r="E152" s="94"/>
      <c r="F152" s="98">
        <f>(F151/F149)*100</f>
        <v>44.107744107744104</v>
      </c>
      <c r="G152" s="94"/>
      <c r="H152" s="94"/>
      <c r="I152" s="98">
        <f>I151/I149*100</f>
        <v>49.010989010989007</v>
      </c>
      <c r="J152" s="96"/>
      <c r="K152" s="28"/>
      <c r="L152" s="21"/>
    </row>
    <row r="153" spans="1:12" hidden="1" x14ac:dyDescent="0.25">
      <c r="A153" s="1313"/>
      <c r="B153" s="1220"/>
      <c r="C153" s="1117" t="s">
        <v>379</v>
      </c>
      <c r="D153" s="144" t="s">
        <v>251</v>
      </c>
      <c r="E153" s="94"/>
      <c r="F153" s="80">
        <v>2725</v>
      </c>
      <c r="G153" s="80"/>
      <c r="H153" s="80"/>
      <c r="I153" s="80">
        <v>2220</v>
      </c>
      <c r="J153" s="96"/>
      <c r="K153" s="28"/>
      <c r="L153" s="21"/>
    </row>
    <row r="154" spans="1:12" hidden="1" x14ac:dyDescent="0.25">
      <c r="A154" s="1313"/>
      <c r="B154" s="1220"/>
      <c r="C154" s="1117"/>
      <c r="D154" s="28" t="s">
        <v>257</v>
      </c>
      <c r="E154" s="94"/>
      <c r="F154" s="80">
        <v>1965</v>
      </c>
      <c r="G154" s="80"/>
      <c r="H154" s="80"/>
      <c r="I154" s="80">
        <v>1569</v>
      </c>
      <c r="J154" s="96"/>
      <c r="K154" s="28"/>
      <c r="L154" s="21"/>
    </row>
    <row r="155" spans="1:12" hidden="1" x14ac:dyDescent="0.25">
      <c r="A155" s="1313"/>
      <c r="B155" s="1220"/>
      <c r="C155" s="1117"/>
      <c r="D155" s="28" t="s">
        <v>263</v>
      </c>
      <c r="E155" s="94"/>
      <c r="F155" s="80">
        <v>760</v>
      </c>
      <c r="G155" s="80"/>
      <c r="H155" s="80"/>
      <c r="I155" s="80">
        <v>648</v>
      </c>
      <c r="J155" s="96"/>
      <c r="K155" s="28"/>
      <c r="L155" s="21"/>
    </row>
    <row r="156" spans="1:12" hidden="1" x14ac:dyDescent="0.25">
      <c r="A156" s="1313"/>
      <c r="B156" s="1220"/>
      <c r="C156" s="1117"/>
      <c r="D156" s="28" t="s">
        <v>357</v>
      </c>
      <c r="E156" s="94"/>
      <c r="F156" s="97">
        <f>(F155/F153)*100</f>
        <v>27.889908256880737</v>
      </c>
      <c r="G156" s="94"/>
      <c r="H156" s="94"/>
      <c r="I156" s="97">
        <f>I155/I153*100</f>
        <v>29.189189189189189</v>
      </c>
      <c r="J156" s="96"/>
      <c r="K156" s="28"/>
      <c r="L156" s="21"/>
    </row>
    <row r="157" spans="1:12" ht="14.85" hidden="1" customHeight="1" x14ac:dyDescent="0.25">
      <c r="A157" s="1313"/>
      <c r="B157" s="1220"/>
      <c r="C157" s="1117" t="s">
        <v>380</v>
      </c>
      <c r="D157" s="144" t="s">
        <v>251</v>
      </c>
      <c r="E157" s="94"/>
      <c r="F157" s="80">
        <v>3570</v>
      </c>
      <c r="G157" s="80"/>
      <c r="H157" s="80"/>
      <c r="I157" s="80">
        <v>2100</v>
      </c>
      <c r="J157" s="80"/>
      <c r="K157" s="28"/>
      <c r="L157" s="21"/>
    </row>
    <row r="158" spans="1:12" hidden="1" x14ac:dyDescent="0.25">
      <c r="A158" s="1313"/>
      <c r="B158" s="1220"/>
      <c r="C158" s="1117"/>
      <c r="D158" s="28" t="s">
        <v>257</v>
      </c>
      <c r="E158" s="94"/>
      <c r="F158" s="80">
        <v>1465</v>
      </c>
      <c r="G158" s="80"/>
      <c r="H158" s="80"/>
      <c r="I158" s="80">
        <v>1041</v>
      </c>
      <c r="J158" s="80"/>
      <c r="K158" s="28"/>
      <c r="L158" s="21"/>
    </row>
    <row r="159" spans="1:12" hidden="1" x14ac:dyDescent="0.25">
      <c r="A159" s="1313"/>
      <c r="B159" s="1220"/>
      <c r="C159" s="1117"/>
      <c r="D159" s="28" t="s">
        <v>263</v>
      </c>
      <c r="E159" s="94"/>
      <c r="F159" s="80">
        <v>2105</v>
      </c>
      <c r="G159" s="80"/>
      <c r="H159" s="80"/>
      <c r="I159" s="80">
        <v>1062</v>
      </c>
      <c r="J159" s="80"/>
      <c r="K159" s="28"/>
      <c r="L159" s="21"/>
    </row>
    <row r="160" spans="1:12" hidden="1" x14ac:dyDescent="0.25">
      <c r="A160" s="1313"/>
      <c r="B160" s="1220"/>
      <c r="C160" s="1117"/>
      <c r="D160" s="28" t="s">
        <v>357</v>
      </c>
      <c r="E160" s="94"/>
      <c r="F160" s="98">
        <f>(F159/F157)*100</f>
        <v>58.963585434173673</v>
      </c>
      <c r="G160" s="94"/>
      <c r="H160" s="94"/>
      <c r="I160" s="98">
        <f>I159/I157*100</f>
        <v>50.571428571428569</v>
      </c>
      <c r="J160" s="96"/>
      <c r="K160" s="28"/>
      <c r="L160" s="21"/>
    </row>
    <row r="161" spans="1:12" hidden="1" x14ac:dyDescent="0.25">
      <c r="A161" s="1313"/>
      <c r="B161" s="1220"/>
      <c r="C161" s="1117" t="s">
        <v>381</v>
      </c>
      <c r="D161" s="144" t="s">
        <v>251</v>
      </c>
      <c r="E161" s="94"/>
      <c r="F161" s="80">
        <v>325</v>
      </c>
      <c r="G161" s="80"/>
      <c r="H161" s="80"/>
      <c r="I161" s="80">
        <v>396</v>
      </c>
      <c r="J161" s="28"/>
      <c r="K161" s="28"/>
      <c r="L161" s="21"/>
    </row>
    <row r="162" spans="1:12" ht="14.85" hidden="1" customHeight="1" x14ac:dyDescent="0.25">
      <c r="A162" s="1313"/>
      <c r="B162" s="1220"/>
      <c r="C162" s="1117"/>
      <c r="D162" s="28" t="s">
        <v>257</v>
      </c>
      <c r="E162" s="94"/>
      <c r="F162" s="80">
        <v>175</v>
      </c>
      <c r="G162" s="80"/>
      <c r="H162" s="80"/>
      <c r="I162" s="80">
        <v>207</v>
      </c>
      <c r="J162" s="28"/>
      <c r="K162" s="28"/>
      <c r="L162" s="21"/>
    </row>
    <row r="163" spans="1:12" hidden="1" x14ac:dyDescent="0.25">
      <c r="A163" s="1313"/>
      <c r="B163" s="1220"/>
      <c r="C163" s="1117"/>
      <c r="D163" s="28" t="s">
        <v>263</v>
      </c>
      <c r="E163" s="94"/>
      <c r="F163" s="80">
        <v>155</v>
      </c>
      <c r="G163" s="80"/>
      <c r="H163" s="80"/>
      <c r="I163" s="80">
        <v>189</v>
      </c>
      <c r="J163" s="28"/>
      <c r="K163" s="28"/>
      <c r="L163" s="21"/>
    </row>
    <row r="164" spans="1:12" hidden="1" x14ac:dyDescent="0.25">
      <c r="A164" s="1313"/>
      <c r="B164" s="1220"/>
      <c r="C164" s="1117"/>
      <c r="D164" s="28" t="s">
        <v>357</v>
      </c>
      <c r="E164" s="94"/>
      <c r="F164" s="98">
        <f>(F163/F161)*100</f>
        <v>47.692307692307693</v>
      </c>
      <c r="G164" s="94"/>
      <c r="H164" s="94"/>
      <c r="I164" s="98">
        <f>I163/I161*100</f>
        <v>47.727272727272727</v>
      </c>
      <c r="J164" s="28"/>
      <c r="K164" s="28"/>
      <c r="L164" s="21"/>
    </row>
    <row r="165" spans="1:12" hidden="1" x14ac:dyDescent="0.25">
      <c r="A165" s="1313"/>
      <c r="B165" s="1220"/>
      <c r="C165" s="1218" t="s">
        <v>382</v>
      </c>
      <c r="D165" s="145" t="s">
        <v>251</v>
      </c>
      <c r="E165" s="95"/>
      <c r="F165" s="80">
        <v>3180</v>
      </c>
      <c r="G165" s="80"/>
      <c r="H165" s="80"/>
      <c r="I165" s="80">
        <v>3282</v>
      </c>
      <c r="J165" s="80"/>
      <c r="K165" s="96"/>
      <c r="L165" s="21"/>
    </row>
    <row r="166" spans="1:12" hidden="1" x14ac:dyDescent="0.25">
      <c r="A166" s="1313"/>
      <c r="B166" s="1220"/>
      <c r="C166" s="1218"/>
      <c r="D166" s="96" t="s">
        <v>257</v>
      </c>
      <c r="E166" s="95"/>
      <c r="F166" s="80">
        <v>1030</v>
      </c>
      <c r="G166" s="80"/>
      <c r="H166" s="80"/>
      <c r="I166" s="80">
        <v>1116</v>
      </c>
      <c r="J166" s="80"/>
      <c r="K166" s="96"/>
      <c r="L166" s="21"/>
    </row>
    <row r="167" spans="1:12" hidden="1" x14ac:dyDescent="0.25">
      <c r="A167" s="1313"/>
      <c r="B167" s="1220"/>
      <c r="C167" s="1218"/>
      <c r="D167" s="96" t="s">
        <v>263</v>
      </c>
      <c r="E167" s="95"/>
      <c r="F167" s="80">
        <v>2155</v>
      </c>
      <c r="G167" s="80"/>
      <c r="H167" s="80"/>
      <c r="I167" s="80">
        <v>2166</v>
      </c>
      <c r="J167" s="80"/>
      <c r="K167" s="96"/>
      <c r="L167" s="21"/>
    </row>
    <row r="168" spans="1:12" hidden="1" x14ac:dyDescent="0.25">
      <c r="A168" s="1313"/>
      <c r="B168" s="1220"/>
      <c r="C168" s="1218"/>
      <c r="D168" s="96" t="s">
        <v>357</v>
      </c>
      <c r="E168" s="95"/>
      <c r="F168" s="99">
        <f>(F167/F165)*100</f>
        <v>67.767295597484278</v>
      </c>
      <c r="G168" s="94"/>
      <c r="H168" s="94"/>
      <c r="I168" s="99">
        <f>I167/I165*100</f>
        <v>65.996343692870198</v>
      </c>
      <c r="J168" s="96"/>
      <c r="K168" s="96"/>
      <c r="L168" s="21"/>
    </row>
    <row r="169" spans="1:12" ht="14.85" hidden="1" customHeight="1" x14ac:dyDescent="0.25">
      <c r="A169" s="1313"/>
      <c r="B169" s="1220"/>
      <c r="C169" s="1218" t="s">
        <v>383</v>
      </c>
      <c r="D169" s="145" t="s">
        <v>251</v>
      </c>
      <c r="E169" s="95"/>
      <c r="F169" s="80">
        <v>2545</v>
      </c>
      <c r="G169" s="80"/>
      <c r="H169" s="80"/>
      <c r="I169" s="80">
        <v>1728</v>
      </c>
      <c r="J169" s="80"/>
      <c r="K169" s="96"/>
      <c r="L169" s="21"/>
    </row>
    <row r="170" spans="1:12" hidden="1" x14ac:dyDescent="0.25">
      <c r="A170" s="1313"/>
      <c r="B170" s="1220"/>
      <c r="C170" s="1218"/>
      <c r="D170" s="96" t="s">
        <v>257</v>
      </c>
      <c r="E170" s="95"/>
      <c r="F170" s="80">
        <v>1020</v>
      </c>
      <c r="G170" s="80"/>
      <c r="H170" s="80"/>
      <c r="I170" s="80">
        <v>618</v>
      </c>
      <c r="J170" s="80"/>
      <c r="K170" s="96"/>
      <c r="L170" s="21"/>
    </row>
    <row r="171" spans="1:12" hidden="1" x14ac:dyDescent="0.25">
      <c r="A171" s="1313"/>
      <c r="B171" s="1220"/>
      <c r="C171" s="1218"/>
      <c r="D171" s="96" t="s">
        <v>263</v>
      </c>
      <c r="E171" s="95"/>
      <c r="F171" s="80">
        <v>1520</v>
      </c>
      <c r="G171" s="80"/>
      <c r="H171" s="80"/>
      <c r="I171" s="80">
        <v>1113</v>
      </c>
      <c r="J171" s="80"/>
      <c r="K171" s="96"/>
      <c r="L171" s="21"/>
    </row>
    <row r="172" spans="1:12" hidden="1" x14ac:dyDescent="0.25">
      <c r="A172" s="1313"/>
      <c r="B172" s="1220"/>
      <c r="C172" s="1218"/>
      <c r="D172" s="96" t="s">
        <v>357</v>
      </c>
      <c r="E172" s="95"/>
      <c r="F172" s="98">
        <f>(F171/F169)*100</f>
        <v>59.724950884086446</v>
      </c>
      <c r="G172" s="94"/>
      <c r="H172" s="94"/>
      <c r="I172" s="99">
        <f>I171/I169*100</f>
        <v>64.409722222222214</v>
      </c>
      <c r="J172" s="96"/>
      <c r="K172" s="96"/>
      <c r="L172" s="21"/>
    </row>
    <row r="173" spans="1:12" hidden="1" x14ac:dyDescent="0.25">
      <c r="A173" s="1313"/>
      <c r="B173" s="1220"/>
      <c r="C173" s="1218" t="s">
        <v>384</v>
      </c>
      <c r="D173" s="145" t="s">
        <v>251</v>
      </c>
      <c r="E173" s="95"/>
      <c r="F173" s="80">
        <v>3045</v>
      </c>
      <c r="G173" s="80"/>
      <c r="H173" s="80"/>
      <c r="I173" s="80">
        <v>1755</v>
      </c>
      <c r="J173" s="80"/>
      <c r="K173" s="96"/>
      <c r="L173" s="21"/>
    </row>
    <row r="174" spans="1:12" hidden="1" x14ac:dyDescent="0.25">
      <c r="A174" s="1313"/>
      <c r="B174" s="1220"/>
      <c r="C174" s="1218"/>
      <c r="D174" s="96" t="s">
        <v>257</v>
      </c>
      <c r="E174" s="95"/>
      <c r="F174" s="80">
        <v>855</v>
      </c>
      <c r="G174" s="80"/>
      <c r="H174" s="80"/>
      <c r="I174" s="80">
        <v>552</v>
      </c>
      <c r="J174" s="80"/>
      <c r="K174" s="96"/>
      <c r="L174" s="21"/>
    </row>
    <row r="175" spans="1:12" hidden="1" x14ac:dyDescent="0.25">
      <c r="A175" s="1313"/>
      <c r="B175" s="1220"/>
      <c r="C175" s="1218"/>
      <c r="D175" s="96" t="s">
        <v>263</v>
      </c>
      <c r="E175" s="95"/>
      <c r="F175" s="80">
        <v>2190</v>
      </c>
      <c r="G175" s="80"/>
      <c r="H175" s="80"/>
      <c r="I175" s="80">
        <v>1206</v>
      </c>
      <c r="J175" s="80"/>
      <c r="K175" s="96"/>
      <c r="L175" s="21"/>
    </row>
    <row r="176" spans="1:12" hidden="1" x14ac:dyDescent="0.25">
      <c r="A176" s="1313"/>
      <c r="B176" s="1220"/>
      <c r="C176" s="1218"/>
      <c r="D176" s="96" t="s">
        <v>357</v>
      </c>
      <c r="E176" s="95"/>
      <c r="F176" s="99">
        <f>(F175/F173)*100</f>
        <v>71.921182266009851</v>
      </c>
      <c r="G176" s="94"/>
      <c r="H176" s="94"/>
      <c r="I176" s="99">
        <f>I175/I173*100</f>
        <v>68.717948717948715</v>
      </c>
      <c r="J176" s="96"/>
      <c r="K176" s="96"/>
      <c r="L176" s="21"/>
    </row>
    <row r="177" spans="1:12" hidden="1" x14ac:dyDescent="0.25">
      <c r="A177" s="1313"/>
      <c r="B177" s="1220"/>
      <c r="C177" s="1218" t="s">
        <v>385</v>
      </c>
      <c r="D177" s="145" t="s">
        <v>251</v>
      </c>
      <c r="E177" s="95"/>
      <c r="F177" s="80">
        <v>455</v>
      </c>
      <c r="G177" s="80"/>
      <c r="H177" s="80"/>
      <c r="I177" s="80">
        <v>594</v>
      </c>
      <c r="J177" s="80"/>
      <c r="K177" s="96"/>
      <c r="L177" s="21"/>
    </row>
    <row r="178" spans="1:12" ht="14.85" hidden="1" customHeight="1" x14ac:dyDescent="0.25">
      <c r="A178" s="1313"/>
      <c r="B178" s="1220"/>
      <c r="C178" s="1218"/>
      <c r="D178" s="96" t="s">
        <v>257</v>
      </c>
      <c r="E178" s="95"/>
      <c r="F178" s="80">
        <v>270</v>
      </c>
      <c r="G178" s="80"/>
      <c r="H178" s="80"/>
      <c r="I178" s="80">
        <v>393</v>
      </c>
      <c r="J178" s="80"/>
      <c r="K178" s="96"/>
      <c r="L178" s="21"/>
    </row>
    <row r="179" spans="1:12" hidden="1" x14ac:dyDescent="0.25">
      <c r="A179" s="1313"/>
      <c r="B179" s="1220"/>
      <c r="C179" s="1218"/>
      <c r="D179" s="96" t="s">
        <v>263</v>
      </c>
      <c r="E179" s="95"/>
      <c r="F179" s="80">
        <v>185</v>
      </c>
      <c r="G179" s="80"/>
      <c r="H179" s="80"/>
      <c r="I179" s="80">
        <v>201</v>
      </c>
      <c r="J179" s="80"/>
      <c r="K179" s="96"/>
      <c r="L179" s="21"/>
    </row>
    <row r="180" spans="1:12" hidden="1" x14ac:dyDescent="0.25">
      <c r="A180" s="1313"/>
      <c r="B180" s="1220"/>
      <c r="C180" s="1218"/>
      <c r="D180" s="96" t="s">
        <v>357</v>
      </c>
      <c r="E180" s="95"/>
      <c r="F180" s="98">
        <f>(F179/F177)*100</f>
        <v>40.659340659340657</v>
      </c>
      <c r="G180" s="94"/>
      <c r="H180" s="94"/>
      <c r="I180" s="97">
        <f>I179/I177*100</f>
        <v>33.838383838383841</v>
      </c>
      <c r="J180" s="96"/>
      <c r="K180" s="96"/>
      <c r="L180" s="21"/>
    </row>
    <row r="181" spans="1:12" hidden="1" x14ac:dyDescent="0.25">
      <c r="A181" s="1313"/>
      <c r="B181" s="1220"/>
      <c r="C181" s="1218" t="s">
        <v>386</v>
      </c>
      <c r="D181" s="145" t="s">
        <v>251</v>
      </c>
      <c r="E181" s="95"/>
      <c r="F181" s="80">
        <v>2455</v>
      </c>
      <c r="G181" s="80"/>
      <c r="H181" s="80"/>
      <c r="I181" s="80">
        <v>2211</v>
      </c>
      <c r="J181" s="80"/>
      <c r="K181" s="96"/>
      <c r="L181" s="21"/>
    </row>
    <row r="182" spans="1:12" hidden="1" x14ac:dyDescent="0.25">
      <c r="A182" s="1313"/>
      <c r="B182" s="1220"/>
      <c r="C182" s="1218"/>
      <c r="D182" s="96" t="s">
        <v>257</v>
      </c>
      <c r="E182" s="95"/>
      <c r="F182" s="80">
        <v>1395</v>
      </c>
      <c r="G182" s="80"/>
      <c r="H182" s="80"/>
      <c r="I182" s="80">
        <v>1209</v>
      </c>
      <c r="J182" s="80"/>
      <c r="K182" s="96"/>
      <c r="L182" s="21"/>
    </row>
    <row r="183" spans="1:12" hidden="1" x14ac:dyDescent="0.25">
      <c r="A183" s="1313"/>
      <c r="B183" s="1220"/>
      <c r="C183" s="1218"/>
      <c r="D183" s="96" t="s">
        <v>263</v>
      </c>
      <c r="E183" s="95"/>
      <c r="F183" s="80">
        <v>1060</v>
      </c>
      <c r="G183" s="80"/>
      <c r="H183" s="80"/>
      <c r="I183" s="80">
        <v>1002</v>
      </c>
      <c r="J183" s="80"/>
      <c r="K183" s="96"/>
      <c r="L183" s="21"/>
    </row>
    <row r="184" spans="1:12" hidden="1" x14ac:dyDescent="0.25">
      <c r="A184" s="1313"/>
      <c r="B184" s="1220"/>
      <c r="C184" s="1218"/>
      <c r="D184" s="96" t="s">
        <v>357</v>
      </c>
      <c r="E184" s="95"/>
      <c r="F184" s="98">
        <f>(F183/F181)*100</f>
        <v>43.177189409368637</v>
      </c>
      <c r="G184" s="94"/>
      <c r="H184" s="94"/>
      <c r="I184" s="98">
        <f>I183/I181*100</f>
        <v>45.318860244233377</v>
      </c>
      <c r="J184" s="96"/>
      <c r="K184" s="96"/>
      <c r="L184" s="21"/>
    </row>
    <row r="185" spans="1:12" hidden="1" x14ac:dyDescent="0.25">
      <c r="A185" s="1313"/>
      <c r="B185" s="1220"/>
      <c r="C185" s="1218" t="s">
        <v>387</v>
      </c>
      <c r="D185" s="145" t="s">
        <v>251</v>
      </c>
      <c r="E185" s="95"/>
      <c r="F185" s="80">
        <v>2535</v>
      </c>
      <c r="G185" s="80"/>
      <c r="H185" s="80"/>
      <c r="I185" s="80">
        <v>2349</v>
      </c>
      <c r="J185" s="80"/>
      <c r="K185" s="96"/>
      <c r="L185" s="21"/>
    </row>
    <row r="186" spans="1:12" hidden="1" x14ac:dyDescent="0.25">
      <c r="A186" s="1313"/>
      <c r="B186" s="1220"/>
      <c r="C186" s="1218"/>
      <c r="D186" s="96" t="s">
        <v>257</v>
      </c>
      <c r="E186" s="95"/>
      <c r="F186" s="80">
        <v>1150</v>
      </c>
      <c r="G186" s="80"/>
      <c r="H186" s="80"/>
      <c r="I186" s="80">
        <v>1032</v>
      </c>
      <c r="J186" s="80"/>
      <c r="K186" s="96"/>
      <c r="L186" s="21"/>
    </row>
    <row r="187" spans="1:12" hidden="1" x14ac:dyDescent="0.25">
      <c r="A187" s="1313"/>
      <c r="B187" s="1220"/>
      <c r="C187" s="1218"/>
      <c r="D187" s="96" t="s">
        <v>263</v>
      </c>
      <c r="E187" s="95"/>
      <c r="F187" s="80">
        <v>1385</v>
      </c>
      <c r="G187" s="80"/>
      <c r="H187" s="80"/>
      <c r="I187" s="80">
        <v>1314</v>
      </c>
      <c r="J187" s="80"/>
      <c r="K187" s="96"/>
      <c r="L187" s="21"/>
    </row>
    <row r="188" spans="1:12" hidden="1" x14ac:dyDescent="0.25">
      <c r="A188" s="1313"/>
      <c r="B188" s="1220"/>
      <c r="C188" s="1218"/>
      <c r="D188" s="96" t="s">
        <v>357</v>
      </c>
      <c r="E188" s="95"/>
      <c r="F188" s="98">
        <f>(F187/F185)*100</f>
        <v>54.635108481262328</v>
      </c>
      <c r="G188" s="94"/>
      <c r="H188" s="94"/>
      <c r="I188" s="98">
        <f>I187/I185*100</f>
        <v>55.938697318007655</v>
      </c>
      <c r="J188" s="96"/>
      <c r="K188" s="96"/>
      <c r="L188" s="21"/>
    </row>
    <row r="189" spans="1:12" hidden="1" x14ac:dyDescent="0.25">
      <c r="A189" s="1313"/>
      <c r="B189" s="1220"/>
      <c r="C189" s="1218" t="s">
        <v>388</v>
      </c>
      <c r="D189" s="145" t="s">
        <v>251</v>
      </c>
      <c r="E189" s="95"/>
      <c r="F189" s="80"/>
      <c r="G189" s="80"/>
      <c r="H189" s="80"/>
      <c r="I189" s="80">
        <v>792</v>
      </c>
      <c r="J189" s="80"/>
      <c r="K189" s="96"/>
      <c r="L189" s="21"/>
    </row>
    <row r="190" spans="1:12" hidden="1" x14ac:dyDescent="0.25">
      <c r="A190" s="1313"/>
      <c r="B190" s="1220"/>
      <c r="C190" s="1218"/>
      <c r="D190" s="96" t="s">
        <v>257</v>
      </c>
      <c r="E190" s="95"/>
      <c r="F190" s="80"/>
      <c r="G190" s="80"/>
      <c r="H190" s="80"/>
      <c r="I190" s="80">
        <v>444</v>
      </c>
      <c r="J190" s="80"/>
      <c r="K190" s="96"/>
      <c r="L190" s="21"/>
    </row>
    <row r="191" spans="1:12" hidden="1" x14ac:dyDescent="0.25">
      <c r="A191" s="1313"/>
      <c r="B191" s="1220"/>
      <c r="C191" s="1218"/>
      <c r="D191" s="96" t="s">
        <v>263</v>
      </c>
      <c r="E191" s="95"/>
      <c r="F191" s="80"/>
      <c r="G191" s="80"/>
      <c r="H191" s="80"/>
      <c r="I191" s="80">
        <v>348</v>
      </c>
      <c r="J191" s="80"/>
      <c r="K191" s="96"/>
      <c r="L191" s="21"/>
    </row>
    <row r="192" spans="1:12" hidden="1" x14ac:dyDescent="0.25">
      <c r="A192" s="1313"/>
      <c r="B192" s="1220"/>
      <c r="C192" s="1218"/>
      <c r="D192" s="96" t="s">
        <v>357</v>
      </c>
      <c r="E192" s="95"/>
      <c r="F192" s="94"/>
      <c r="G192" s="94"/>
      <c r="H192" s="94"/>
      <c r="I192" s="98">
        <f>I191/I189*100</f>
        <v>43.939393939393938</v>
      </c>
      <c r="J192" s="96"/>
      <c r="K192" s="96"/>
      <c r="L192" s="21"/>
    </row>
    <row r="193" spans="1:12" hidden="1" x14ac:dyDescent="0.25">
      <c r="A193" s="1313"/>
      <c r="B193" s="1220"/>
      <c r="C193" s="1117" t="s">
        <v>389</v>
      </c>
      <c r="D193" s="144" t="s">
        <v>251</v>
      </c>
      <c r="E193" s="94"/>
      <c r="F193" s="80">
        <v>430</v>
      </c>
      <c r="G193" s="80"/>
      <c r="H193" s="80"/>
      <c r="I193" s="80">
        <v>522</v>
      </c>
      <c r="J193" s="80"/>
      <c r="K193" s="28"/>
      <c r="L193" s="21"/>
    </row>
    <row r="194" spans="1:12" hidden="1" x14ac:dyDescent="0.25">
      <c r="A194" s="1313"/>
      <c r="B194" s="1220"/>
      <c r="C194" s="1117"/>
      <c r="D194" s="28" t="s">
        <v>257</v>
      </c>
      <c r="E194" s="94"/>
      <c r="F194" s="80">
        <v>170</v>
      </c>
      <c r="G194" s="80"/>
      <c r="H194" s="80"/>
      <c r="I194" s="80">
        <v>231</v>
      </c>
      <c r="J194" s="80"/>
      <c r="K194" s="28"/>
      <c r="L194" s="21"/>
    </row>
    <row r="195" spans="1:12" hidden="1" x14ac:dyDescent="0.25">
      <c r="A195" s="1313"/>
      <c r="B195" s="1220"/>
      <c r="C195" s="1117"/>
      <c r="D195" s="28" t="s">
        <v>263</v>
      </c>
      <c r="E195" s="94"/>
      <c r="F195" s="80">
        <v>260</v>
      </c>
      <c r="G195" s="80"/>
      <c r="H195" s="80"/>
      <c r="I195" s="80">
        <v>285</v>
      </c>
      <c r="J195" s="80"/>
      <c r="K195" s="28"/>
      <c r="L195" s="21"/>
    </row>
    <row r="196" spans="1:12" hidden="1" x14ac:dyDescent="0.25">
      <c r="A196" s="1313"/>
      <c r="B196" s="1220"/>
      <c r="C196" s="1117"/>
      <c r="D196" s="28" t="s">
        <v>357</v>
      </c>
      <c r="E196" s="94"/>
      <c r="F196" s="99">
        <f>(F195/F193)*100</f>
        <v>60.465116279069761</v>
      </c>
      <c r="G196" s="94"/>
      <c r="H196" s="94"/>
      <c r="I196" s="98">
        <f>I195/I193*100</f>
        <v>54.597701149425291</v>
      </c>
      <c r="J196" s="28"/>
      <c r="K196" s="28"/>
      <c r="L196" s="21"/>
    </row>
    <row r="197" spans="1:12" hidden="1" x14ac:dyDescent="0.25">
      <c r="A197" s="1313"/>
      <c r="B197" s="1220"/>
      <c r="C197" s="1117" t="s">
        <v>390</v>
      </c>
      <c r="D197" s="144" t="s">
        <v>251</v>
      </c>
      <c r="E197" s="94"/>
      <c r="F197" s="80">
        <v>290</v>
      </c>
      <c r="G197" s="80"/>
      <c r="H197" s="80"/>
      <c r="I197" s="80">
        <v>270</v>
      </c>
      <c r="J197" s="28"/>
      <c r="K197" s="28"/>
      <c r="L197" s="21"/>
    </row>
    <row r="198" spans="1:12" ht="14.85" hidden="1" customHeight="1" x14ac:dyDescent="0.25">
      <c r="A198" s="1313"/>
      <c r="B198" s="1220"/>
      <c r="C198" s="1117"/>
      <c r="D198" s="28" t="s">
        <v>257</v>
      </c>
      <c r="E198" s="94"/>
      <c r="F198" s="80">
        <v>110</v>
      </c>
      <c r="G198" s="80"/>
      <c r="H198" s="80"/>
      <c r="I198" s="80">
        <v>84</v>
      </c>
      <c r="J198" s="28"/>
      <c r="K198" s="28"/>
      <c r="L198" s="21"/>
    </row>
    <row r="199" spans="1:12" hidden="1" x14ac:dyDescent="0.25">
      <c r="A199" s="1313"/>
      <c r="B199" s="1220"/>
      <c r="C199" s="1117"/>
      <c r="D199" s="28" t="s">
        <v>263</v>
      </c>
      <c r="E199" s="94"/>
      <c r="F199" s="80">
        <v>180</v>
      </c>
      <c r="G199" s="80"/>
      <c r="H199" s="80"/>
      <c r="I199" s="80">
        <v>186</v>
      </c>
      <c r="J199" s="28"/>
      <c r="K199" s="28"/>
      <c r="L199" s="21"/>
    </row>
    <row r="200" spans="1:12" hidden="1" x14ac:dyDescent="0.25">
      <c r="A200" s="1313"/>
      <c r="B200" s="1220"/>
      <c r="C200" s="1117"/>
      <c r="D200" s="28" t="s">
        <v>357</v>
      </c>
      <c r="E200" s="94"/>
      <c r="F200" s="99">
        <f>(F199/F197)*100</f>
        <v>62.068965517241381</v>
      </c>
      <c r="G200" s="94"/>
      <c r="H200" s="94"/>
      <c r="I200" s="99">
        <f>I199/I197*100</f>
        <v>68.888888888888886</v>
      </c>
      <c r="J200" s="28"/>
      <c r="K200" s="28"/>
      <c r="L200" s="21"/>
    </row>
    <row r="201" spans="1:12" hidden="1" x14ac:dyDescent="0.25">
      <c r="A201" s="1313"/>
      <c r="B201" s="1220"/>
      <c r="C201" s="1117" t="s">
        <v>391</v>
      </c>
      <c r="D201" s="144" t="s">
        <v>251</v>
      </c>
      <c r="E201" s="94"/>
      <c r="F201" s="80">
        <v>695</v>
      </c>
      <c r="G201" s="80"/>
      <c r="H201" s="80"/>
      <c r="I201" s="80">
        <v>693</v>
      </c>
      <c r="J201" s="80"/>
      <c r="K201" s="28"/>
      <c r="L201" s="21"/>
    </row>
    <row r="202" spans="1:12" hidden="1" x14ac:dyDescent="0.25">
      <c r="A202" s="1313"/>
      <c r="B202" s="1220"/>
      <c r="C202" s="1117"/>
      <c r="D202" s="28" t="s">
        <v>257</v>
      </c>
      <c r="E202" s="94"/>
      <c r="F202" s="80">
        <v>185</v>
      </c>
      <c r="G202" s="80"/>
      <c r="H202" s="80"/>
      <c r="I202" s="80">
        <v>120</v>
      </c>
      <c r="J202" s="80"/>
      <c r="K202" s="28"/>
      <c r="L202" s="21"/>
    </row>
    <row r="203" spans="1:12" hidden="1" x14ac:dyDescent="0.25">
      <c r="A203" s="1313"/>
      <c r="B203" s="1220"/>
      <c r="C203" s="1117"/>
      <c r="D203" s="28" t="s">
        <v>263</v>
      </c>
      <c r="E203" s="94"/>
      <c r="F203" s="80">
        <v>510</v>
      </c>
      <c r="G203" s="80"/>
      <c r="H203" s="80"/>
      <c r="I203" s="80">
        <v>576</v>
      </c>
      <c r="J203" s="80"/>
      <c r="K203" s="28"/>
      <c r="L203" s="21"/>
    </row>
    <row r="204" spans="1:12" hidden="1" x14ac:dyDescent="0.25">
      <c r="A204" s="1313"/>
      <c r="B204" s="1220"/>
      <c r="C204" s="1117"/>
      <c r="D204" s="28" t="s">
        <v>357</v>
      </c>
      <c r="E204" s="94"/>
      <c r="F204" s="99">
        <f>(F203/F201)*100</f>
        <v>73.381294964028783</v>
      </c>
      <c r="G204" s="94"/>
      <c r="H204" s="94"/>
      <c r="I204" s="99">
        <f>I203/I201*100</f>
        <v>83.116883116883116</v>
      </c>
      <c r="J204" s="28"/>
      <c r="K204" s="28"/>
      <c r="L204" s="21"/>
    </row>
    <row r="205" spans="1:12" hidden="1" x14ac:dyDescent="0.25">
      <c r="A205" s="1313"/>
      <c r="B205" s="1220"/>
      <c r="C205" s="1117" t="s">
        <v>392</v>
      </c>
      <c r="D205" s="144" t="s">
        <v>251</v>
      </c>
      <c r="E205" s="94"/>
      <c r="F205" s="80">
        <v>820</v>
      </c>
      <c r="G205" s="80"/>
      <c r="H205" s="80"/>
      <c r="I205" s="80">
        <v>309</v>
      </c>
      <c r="J205" s="28"/>
      <c r="K205" s="28"/>
      <c r="L205" s="21"/>
    </row>
    <row r="206" spans="1:12" hidden="1" x14ac:dyDescent="0.25">
      <c r="A206" s="1313"/>
      <c r="B206" s="1220"/>
      <c r="C206" s="1117"/>
      <c r="D206" s="28" t="s">
        <v>257</v>
      </c>
      <c r="E206" s="94"/>
      <c r="F206" s="80">
        <v>35</v>
      </c>
      <c r="G206" s="80"/>
      <c r="H206" s="80"/>
      <c r="I206" s="80">
        <v>48</v>
      </c>
      <c r="J206" s="28"/>
      <c r="K206" s="28"/>
      <c r="L206" s="21"/>
    </row>
    <row r="207" spans="1:12" hidden="1" x14ac:dyDescent="0.25">
      <c r="A207" s="1313"/>
      <c r="B207" s="1220"/>
      <c r="C207" s="1117"/>
      <c r="D207" s="28" t="s">
        <v>263</v>
      </c>
      <c r="E207" s="94"/>
      <c r="F207" s="80">
        <v>785</v>
      </c>
      <c r="G207" s="80"/>
      <c r="H207" s="80"/>
      <c r="I207" s="80">
        <v>261</v>
      </c>
      <c r="J207" s="28"/>
      <c r="K207" s="28"/>
      <c r="L207" s="21"/>
    </row>
    <row r="208" spans="1:12" hidden="1" x14ac:dyDescent="0.25">
      <c r="A208" s="1313"/>
      <c r="B208" s="1220"/>
      <c r="C208" s="1117"/>
      <c r="D208" s="28" t="s">
        <v>357</v>
      </c>
      <c r="E208" s="94"/>
      <c r="F208" s="99">
        <f>(F207/F205)*100</f>
        <v>95.731707317073173</v>
      </c>
      <c r="G208" s="94"/>
      <c r="H208" s="94"/>
      <c r="I208" s="99">
        <f>I207/I205*100</f>
        <v>84.466019417475721</v>
      </c>
      <c r="J208" s="28"/>
      <c r="K208" s="28"/>
      <c r="L208" s="21"/>
    </row>
    <row r="209" spans="1:12" hidden="1" x14ac:dyDescent="0.25">
      <c r="A209" s="1313"/>
      <c r="B209" s="1220"/>
      <c r="C209" s="1117" t="s">
        <v>393</v>
      </c>
      <c r="D209" s="144" t="s">
        <v>251</v>
      </c>
      <c r="E209" s="94"/>
      <c r="F209" s="80">
        <v>1575</v>
      </c>
      <c r="G209" s="80"/>
      <c r="H209" s="80"/>
      <c r="I209" s="80">
        <v>1437</v>
      </c>
      <c r="J209" s="80"/>
      <c r="K209" s="28"/>
      <c r="L209" s="21"/>
    </row>
    <row r="210" spans="1:12" hidden="1" x14ac:dyDescent="0.25">
      <c r="A210" s="1313"/>
      <c r="B210" s="1220"/>
      <c r="C210" s="1117"/>
      <c r="D210" s="28" t="s">
        <v>257</v>
      </c>
      <c r="E210" s="94"/>
      <c r="F210" s="80">
        <v>755</v>
      </c>
      <c r="G210" s="80"/>
      <c r="H210" s="80"/>
      <c r="I210" s="80">
        <v>747</v>
      </c>
      <c r="J210" s="80"/>
      <c r="K210" s="28"/>
      <c r="L210" s="21"/>
    </row>
    <row r="211" spans="1:12" hidden="1" x14ac:dyDescent="0.25">
      <c r="A211" s="1313"/>
      <c r="B211" s="1220"/>
      <c r="C211" s="1117"/>
      <c r="D211" s="28" t="s">
        <v>263</v>
      </c>
      <c r="E211" s="94"/>
      <c r="F211" s="80">
        <v>820</v>
      </c>
      <c r="G211" s="80"/>
      <c r="H211" s="80"/>
      <c r="I211" s="80">
        <v>693</v>
      </c>
      <c r="J211" s="80"/>
      <c r="K211" s="28"/>
      <c r="L211" s="21"/>
    </row>
    <row r="212" spans="1:12" hidden="1" x14ac:dyDescent="0.25">
      <c r="A212" s="1313"/>
      <c r="B212" s="1220"/>
      <c r="C212" s="1117"/>
      <c r="D212" s="28" t="s">
        <v>357</v>
      </c>
      <c r="E212" s="94"/>
      <c r="F212" s="98">
        <f>(F211/F209)*100</f>
        <v>52.06349206349207</v>
      </c>
      <c r="G212" s="94"/>
      <c r="H212" s="94"/>
      <c r="I212" s="98">
        <f>I211/I209*100</f>
        <v>48.225469728601247</v>
      </c>
      <c r="J212" s="28"/>
      <c r="K212" s="28"/>
      <c r="L212" s="21"/>
    </row>
    <row r="213" spans="1:12" hidden="1" x14ac:dyDescent="0.25">
      <c r="A213" s="1313"/>
      <c r="B213" s="1220"/>
      <c r="C213" s="1117" t="s">
        <v>394</v>
      </c>
      <c r="D213" s="144" t="s">
        <v>251</v>
      </c>
      <c r="E213" s="94"/>
      <c r="F213" s="80">
        <v>1270</v>
      </c>
      <c r="G213" s="80"/>
      <c r="H213" s="80"/>
      <c r="I213" s="80">
        <v>1461</v>
      </c>
      <c r="J213" s="28"/>
      <c r="K213" s="28"/>
      <c r="L213" s="21"/>
    </row>
    <row r="214" spans="1:12" hidden="1" x14ac:dyDescent="0.25">
      <c r="A214" s="1313"/>
      <c r="B214" s="1220"/>
      <c r="C214" s="1117"/>
      <c r="D214" s="28" t="s">
        <v>257</v>
      </c>
      <c r="E214" s="94"/>
      <c r="F214" s="80">
        <v>1000</v>
      </c>
      <c r="G214" s="80"/>
      <c r="H214" s="80"/>
      <c r="I214" s="80">
        <v>1128</v>
      </c>
      <c r="J214" s="28"/>
      <c r="K214" s="28"/>
      <c r="L214" s="21"/>
    </row>
    <row r="215" spans="1:12" hidden="1" x14ac:dyDescent="0.25">
      <c r="A215" s="1313"/>
      <c r="B215" s="1220"/>
      <c r="C215" s="1117"/>
      <c r="D215" s="28" t="s">
        <v>263</v>
      </c>
      <c r="E215" s="94"/>
      <c r="F215" s="80">
        <v>270</v>
      </c>
      <c r="G215" s="80"/>
      <c r="H215" s="80"/>
      <c r="I215" s="80">
        <v>333</v>
      </c>
      <c r="J215" s="28"/>
      <c r="K215" s="28"/>
      <c r="L215" s="21"/>
    </row>
    <row r="216" spans="1:12" hidden="1" x14ac:dyDescent="0.25">
      <c r="A216" s="1313"/>
      <c r="B216" s="1220"/>
      <c r="C216" s="1117"/>
      <c r="D216" s="28" t="s">
        <v>357</v>
      </c>
      <c r="E216" s="94"/>
      <c r="F216" s="97">
        <f>(F215/F213)*100</f>
        <v>21.259842519685041</v>
      </c>
      <c r="G216" s="94"/>
      <c r="H216" s="94"/>
      <c r="I216" s="97">
        <f>I215/I213*100</f>
        <v>22.792607802874741</v>
      </c>
      <c r="J216" s="28"/>
      <c r="K216" s="28"/>
      <c r="L216" s="21"/>
    </row>
    <row r="217" spans="1:12" hidden="1" x14ac:dyDescent="0.25">
      <c r="A217" s="1313"/>
      <c r="B217" s="1220"/>
      <c r="C217" s="1117" t="s">
        <v>395</v>
      </c>
      <c r="D217" s="144" t="s">
        <v>251</v>
      </c>
      <c r="E217" s="94"/>
      <c r="F217" s="80">
        <v>250</v>
      </c>
      <c r="G217" s="80"/>
      <c r="H217" s="80"/>
      <c r="I217" s="80">
        <v>108</v>
      </c>
      <c r="J217" s="94"/>
      <c r="K217" s="28"/>
      <c r="L217" s="21"/>
    </row>
    <row r="218" spans="1:12" ht="14.85" hidden="1" customHeight="1" x14ac:dyDescent="0.25">
      <c r="A218" s="1313"/>
      <c r="B218" s="1220"/>
      <c r="C218" s="1117"/>
      <c r="D218" s="28" t="s">
        <v>257</v>
      </c>
      <c r="E218" s="94"/>
      <c r="F218" s="80">
        <v>120</v>
      </c>
      <c r="G218" s="80"/>
      <c r="H218" s="80"/>
      <c r="I218" s="80">
        <v>87</v>
      </c>
      <c r="J218" s="94"/>
      <c r="K218" s="28"/>
      <c r="L218" s="21"/>
    </row>
    <row r="219" spans="1:12" hidden="1" x14ac:dyDescent="0.25">
      <c r="A219" s="1313"/>
      <c r="B219" s="1220"/>
      <c r="C219" s="1117"/>
      <c r="D219" s="28" t="s">
        <v>263</v>
      </c>
      <c r="E219" s="94"/>
      <c r="F219" s="80">
        <v>130</v>
      </c>
      <c r="G219" s="80"/>
      <c r="H219" s="80"/>
      <c r="I219" s="80">
        <v>24</v>
      </c>
      <c r="J219" s="94"/>
      <c r="K219" s="28"/>
      <c r="L219" s="21"/>
    </row>
    <row r="220" spans="1:12" hidden="1" x14ac:dyDescent="0.25">
      <c r="A220" s="1313"/>
      <c r="B220" s="1220"/>
      <c r="C220" s="1117"/>
      <c r="D220" s="28" t="s">
        <v>357</v>
      </c>
      <c r="E220" s="94"/>
      <c r="F220" s="98">
        <f>(F219/F217)*100</f>
        <v>52</v>
      </c>
      <c r="G220" s="94"/>
      <c r="H220" s="94"/>
      <c r="I220" s="97">
        <f>I219/I217*100</f>
        <v>22.222222222222221</v>
      </c>
      <c r="J220" s="94"/>
      <c r="K220" s="28"/>
      <c r="L220" s="21"/>
    </row>
    <row r="221" spans="1:12" hidden="1" x14ac:dyDescent="0.25">
      <c r="A221" s="1313"/>
      <c r="B221" s="1220"/>
      <c r="C221" s="1117" t="s">
        <v>396</v>
      </c>
      <c r="D221" s="144" t="s">
        <v>251</v>
      </c>
      <c r="E221" s="94"/>
      <c r="F221" s="80">
        <v>155</v>
      </c>
      <c r="G221" s="80"/>
      <c r="H221" s="80"/>
      <c r="I221" s="80">
        <v>12</v>
      </c>
      <c r="J221" s="80"/>
      <c r="K221" s="28"/>
      <c r="L221" s="21"/>
    </row>
    <row r="222" spans="1:12" hidden="1" x14ac:dyDescent="0.25">
      <c r="A222" s="1313"/>
      <c r="B222" s="1220"/>
      <c r="C222" s="1117"/>
      <c r="D222" s="28" t="s">
        <v>257</v>
      </c>
      <c r="E222" s="94"/>
      <c r="F222" s="80">
        <v>145</v>
      </c>
      <c r="G222" s="80"/>
      <c r="H222" s="80"/>
      <c r="I222" s="80">
        <v>9</v>
      </c>
      <c r="J222" s="80"/>
      <c r="K222" s="28"/>
      <c r="L222" s="21"/>
    </row>
    <row r="223" spans="1:12" hidden="1" x14ac:dyDescent="0.25">
      <c r="A223" s="1313"/>
      <c r="B223" s="1220"/>
      <c r="C223" s="1117"/>
      <c r="D223" s="28" t="s">
        <v>263</v>
      </c>
      <c r="E223" s="94"/>
      <c r="F223" s="80">
        <v>10</v>
      </c>
      <c r="G223" s="80"/>
      <c r="H223" s="80"/>
      <c r="I223" s="80">
        <v>6</v>
      </c>
      <c r="J223" s="80"/>
      <c r="K223" s="28"/>
      <c r="L223" s="21"/>
    </row>
    <row r="224" spans="1:12" hidden="1" x14ac:dyDescent="0.25">
      <c r="A224" s="1313"/>
      <c r="B224" s="1220"/>
      <c r="C224" s="1117"/>
      <c r="D224" s="28" t="s">
        <v>357</v>
      </c>
      <c r="E224" s="94"/>
      <c r="F224" s="97">
        <f>(F223/F221)*100</f>
        <v>6.4516129032258061</v>
      </c>
      <c r="G224" s="94"/>
      <c r="H224" s="94"/>
      <c r="I224" s="98">
        <f>I223/I221*100</f>
        <v>50</v>
      </c>
      <c r="J224" s="94"/>
      <c r="K224" s="28"/>
      <c r="L224" s="21"/>
    </row>
    <row r="225" spans="1:12" hidden="1" x14ac:dyDescent="0.25">
      <c r="A225" s="1313"/>
      <c r="B225" s="1220"/>
      <c r="C225" s="1117" t="s">
        <v>397</v>
      </c>
      <c r="D225" s="144" t="s">
        <v>251</v>
      </c>
      <c r="E225" s="94"/>
      <c r="F225" s="80"/>
      <c r="G225" s="80"/>
      <c r="H225" s="80"/>
      <c r="I225" s="80">
        <v>6</v>
      </c>
      <c r="J225" s="94"/>
      <c r="K225" s="28"/>
      <c r="L225" s="21"/>
    </row>
    <row r="226" spans="1:12" hidden="1" x14ac:dyDescent="0.25">
      <c r="A226" s="1313"/>
      <c r="B226" s="1220"/>
      <c r="C226" s="1117"/>
      <c r="D226" s="28" t="s">
        <v>257</v>
      </c>
      <c r="E226" s="94"/>
      <c r="F226" s="80"/>
      <c r="G226" s="80"/>
      <c r="H226" s="80"/>
      <c r="I226" s="80">
        <v>3</v>
      </c>
      <c r="J226" s="94"/>
      <c r="K226" s="28"/>
      <c r="L226" s="21"/>
    </row>
    <row r="227" spans="1:12" hidden="1" x14ac:dyDescent="0.25">
      <c r="A227" s="1313"/>
      <c r="B227" s="1220"/>
      <c r="C227" s="1117"/>
      <c r="D227" s="28" t="s">
        <v>263</v>
      </c>
      <c r="E227" s="94"/>
      <c r="F227" s="80"/>
      <c r="G227" s="80"/>
      <c r="H227" s="80"/>
      <c r="I227" s="80">
        <v>3</v>
      </c>
      <c r="J227" s="94"/>
      <c r="K227" s="28"/>
      <c r="L227" s="21"/>
    </row>
    <row r="228" spans="1:12" hidden="1" x14ac:dyDescent="0.25">
      <c r="A228" s="1313"/>
      <c r="B228" s="1220"/>
      <c r="C228" s="1117"/>
      <c r="D228" s="28" t="s">
        <v>357</v>
      </c>
      <c r="E228" s="94"/>
      <c r="F228" s="94"/>
      <c r="G228" s="94"/>
      <c r="H228" s="94"/>
      <c r="I228" s="98">
        <f>I227/I225*100</f>
        <v>50</v>
      </c>
      <c r="J228" s="94"/>
      <c r="K228" s="28"/>
      <c r="L228" s="21"/>
    </row>
    <row r="229" spans="1:12" hidden="1" x14ac:dyDescent="0.25">
      <c r="A229" s="1313"/>
      <c r="B229" s="1220"/>
      <c r="C229" s="1117" t="s">
        <v>398</v>
      </c>
      <c r="D229" s="144" t="s">
        <v>251</v>
      </c>
      <c r="E229" s="94"/>
      <c r="F229" s="80">
        <v>20</v>
      </c>
      <c r="G229" s="80"/>
      <c r="H229" s="80"/>
      <c r="I229" s="80">
        <v>9</v>
      </c>
      <c r="J229" s="94"/>
      <c r="K229" s="28"/>
      <c r="L229" s="21"/>
    </row>
    <row r="230" spans="1:12" ht="14.85" hidden="1" customHeight="1" x14ac:dyDescent="0.25">
      <c r="A230" s="1313"/>
      <c r="B230" s="1220"/>
      <c r="C230" s="1117"/>
      <c r="D230" s="28" t="s">
        <v>257</v>
      </c>
      <c r="E230" s="94"/>
      <c r="F230" s="80">
        <v>0</v>
      </c>
      <c r="G230" s="80"/>
      <c r="H230" s="80"/>
      <c r="I230" s="80">
        <v>6</v>
      </c>
      <c r="J230" s="94"/>
      <c r="K230" s="28"/>
      <c r="L230" s="21"/>
    </row>
    <row r="231" spans="1:12" hidden="1" x14ac:dyDescent="0.25">
      <c r="A231" s="1313"/>
      <c r="B231" s="1220"/>
      <c r="C231" s="1117"/>
      <c r="D231" s="28" t="s">
        <v>263</v>
      </c>
      <c r="E231" s="94"/>
      <c r="F231" s="80">
        <v>20</v>
      </c>
      <c r="G231" s="80"/>
      <c r="H231" s="80"/>
      <c r="I231" s="80">
        <v>3</v>
      </c>
      <c r="J231" s="94"/>
      <c r="K231" s="28"/>
      <c r="L231" s="21"/>
    </row>
    <row r="232" spans="1:12" hidden="1" x14ac:dyDescent="0.25">
      <c r="A232" s="1313"/>
      <c r="B232" s="1220"/>
      <c r="C232" s="1117"/>
      <c r="D232" s="28" t="s">
        <v>357</v>
      </c>
      <c r="E232" s="94"/>
      <c r="F232" s="99">
        <f>(F231/F229)*100</f>
        <v>100</v>
      </c>
      <c r="G232" s="94"/>
      <c r="H232" s="94"/>
      <c r="I232" s="97">
        <f>I231/I229*100</f>
        <v>33.333333333333329</v>
      </c>
      <c r="J232" s="94"/>
      <c r="K232" s="28"/>
      <c r="L232" s="21"/>
    </row>
    <row r="233" spans="1:12" hidden="1" x14ac:dyDescent="0.25">
      <c r="A233" s="1313"/>
      <c r="B233" s="1220"/>
      <c r="C233" s="1117" t="s">
        <v>399</v>
      </c>
      <c r="D233" s="144" t="s">
        <v>251</v>
      </c>
      <c r="E233" s="94"/>
      <c r="F233" s="80">
        <v>440</v>
      </c>
      <c r="G233" s="80"/>
      <c r="H233" s="80"/>
      <c r="I233" s="80">
        <v>594</v>
      </c>
      <c r="J233" s="80"/>
      <c r="K233" s="28"/>
      <c r="L233" s="21"/>
    </row>
    <row r="234" spans="1:12" ht="14.85" hidden="1" customHeight="1" x14ac:dyDescent="0.25">
      <c r="A234" s="1313"/>
      <c r="B234" s="1220"/>
      <c r="C234" s="1117"/>
      <c r="D234" s="28" t="s">
        <v>257</v>
      </c>
      <c r="E234" s="94"/>
      <c r="F234" s="80">
        <v>330</v>
      </c>
      <c r="G234" s="80"/>
      <c r="H234" s="80"/>
      <c r="I234" s="80">
        <v>528</v>
      </c>
      <c r="J234" s="80"/>
      <c r="K234" s="28"/>
      <c r="L234" s="21"/>
    </row>
    <row r="235" spans="1:12" hidden="1" x14ac:dyDescent="0.25">
      <c r="A235" s="1313"/>
      <c r="B235" s="1220"/>
      <c r="C235" s="1117"/>
      <c r="D235" s="28" t="s">
        <v>263</v>
      </c>
      <c r="E235" s="94"/>
      <c r="F235" s="80">
        <v>110</v>
      </c>
      <c r="G235" s="80"/>
      <c r="H235" s="80"/>
      <c r="I235" s="80">
        <v>66</v>
      </c>
      <c r="J235" s="80"/>
      <c r="K235" s="28"/>
      <c r="L235" s="21"/>
    </row>
    <row r="236" spans="1:12" hidden="1" x14ac:dyDescent="0.25">
      <c r="A236" s="1313"/>
      <c r="B236" s="1220"/>
      <c r="C236" s="1117"/>
      <c r="D236" s="28" t="s">
        <v>357</v>
      </c>
      <c r="E236" s="94"/>
      <c r="F236" s="97">
        <f>(F235/F233)*100</f>
        <v>25</v>
      </c>
      <c r="G236" s="94"/>
      <c r="H236" s="94"/>
      <c r="I236" s="97">
        <f>I235/I233*100</f>
        <v>11.111111111111111</v>
      </c>
      <c r="J236" s="94"/>
      <c r="K236" s="28"/>
      <c r="L236" s="21"/>
    </row>
    <row r="237" spans="1:12" hidden="1" x14ac:dyDescent="0.25">
      <c r="A237" s="1313"/>
      <c r="B237" s="1220"/>
      <c r="C237" s="1117" t="s">
        <v>400</v>
      </c>
      <c r="D237" s="144" t="s">
        <v>251</v>
      </c>
      <c r="E237" s="94"/>
      <c r="F237" s="80">
        <v>475</v>
      </c>
      <c r="G237" s="80"/>
      <c r="H237" s="80"/>
      <c r="I237" s="80">
        <v>222</v>
      </c>
      <c r="J237" s="80"/>
      <c r="K237" s="28"/>
      <c r="L237" s="21"/>
    </row>
    <row r="238" spans="1:12" hidden="1" x14ac:dyDescent="0.25">
      <c r="A238" s="1313"/>
      <c r="B238" s="1220"/>
      <c r="C238" s="1117"/>
      <c r="D238" s="28" t="s">
        <v>257</v>
      </c>
      <c r="E238" s="94"/>
      <c r="F238" s="80">
        <v>370</v>
      </c>
      <c r="G238" s="80"/>
      <c r="H238" s="80"/>
      <c r="I238" s="80">
        <v>195</v>
      </c>
      <c r="J238" s="80"/>
      <c r="K238" s="28"/>
      <c r="L238" s="21"/>
    </row>
    <row r="239" spans="1:12" hidden="1" x14ac:dyDescent="0.25">
      <c r="A239" s="1313"/>
      <c r="B239" s="1220"/>
      <c r="C239" s="1117"/>
      <c r="D239" s="28" t="s">
        <v>263</v>
      </c>
      <c r="E239" s="94"/>
      <c r="F239" s="80">
        <v>100</v>
      </c>
      <c r="G239" s="80"/>
      <c r="H239" s="80"/>
      <c r="I239" s="80">
        <v>27</v>
      </c>
      <c r="J239" s="80"/>
      <c r="K239" s="28"/>
      <c r="L239" s="21"/>
    </row>
    <row r="240" spans="1:12" hidden="1" x14ac:dyDescent="0.25">
      <c r="A240" s="1313"/>
      <c r="B240" s="1220"/>
      <c r="C240" s="1117"/>
      <c r="D240" s="28" t="s">
        <v>357</v>
      </c>
      <c r="E240" s="94"/>
      <c r="F240" s="97">
        <f>(F239/F237)*100</f>
        <v>21.052631578947366</v>
      </c>
      <c r="G240" s="94"/>
      <c r="H240" s="94"/>
      <c r="I240" s="97">
        <f>I239/I237*100</f>
        <v>12.162162162162163</v>
      </c>
      <c r="J240" s="94"/>
      <c r="K240" s="28"/>
      <c r="L240" s="21"/>
    </row>
    <row r="241" spans="1:12" ht="14.85" hidden="1" customHeight="1" x14ac:dyDescent="0.25">
      <c r="A241" s="1313"/>
      <c r="B241" s="1220"/>
      <c r="C241" s="1117" t="s">
        <v>401</v>
      </c>
      <c r="D241" s="144" t="s">
        <v>251</v>
      </c>
      <c r="E241" s="94"/>
      <c r="F241" s="80">
        <v>315</v>
      </c>
      <c r="G241" s="80"/>
      <c r="H241" s="80"/>
      <c r="I241" s="80">
        <v>129</v>
      </c>
      <c r="J241" s="80"/>
      <c r="K241" s="28"/>
      <c r="L241" s="21"/>
    </row>
    <row r="242" spans="1:12" hidden="1" x14ac:dyDescent="0.25">
      <c r="A242" s="1313"/>
      <c r="B242" s="1220"/>
      <c r="C242" s="1117"/>
      <c r="D242" s="28" t="s">
        <v>257</v>
      </c>
      <c r="E242" s="94"/>
      <c r="F242" s="80">
        <v>240</v>
      </c>
      <c r="G242" s="80"/>
      <c r="H242" s="80"/>
      <c r="I242" s="80">
        <v>114</v>
      </c>
      <c r="J242" s="80"/>
      <c r="K242" s="28"/>
      <c r="L242" s="21"/>
    </row>
    <row r="243" spans="1:12" hidden="1" x14ac:dyDescent="0.25">
      <c r="A243" s="1313"/>
      <c r="B243" s="1220"/>
      <c r="C243" s="1117"/>
      <c r="D243" s="28" t="s">
        <v>263</v>
      </c>
      <c r="E243" s="94"/>
      <c r="F243" s="80">
        <v>75</v>
      </c>
      <c r="G243" s="80"/>
      <c r="H243" s="80"/>
      <c r="I243" s="80">
        <v>12</v>
      </c>
      <c r="J243" s="80"/>
      <c r="K243" s="28"/>
      <c r="L243" s="21"/>
    </row>
    <row r="244" spans="1:12" hidden="1" x14ac:dyDescent="0.25">
      <c r="A244" s="1313"/>
      <c r="B244" s="1220"/>
      <c r="C244" s="1117"/>
      <c r="D244" s="28" t="s">
        <v>357</v>
      </c>
      <c r="E244" s="94"/>
      <c r="F244" s="97">
        <f>(F243/F241)*100</f>
        <v>23.809523809523807</v>
      </c>
      <c r="G244" s="94"/>
      <c r="H244" s="94"/>
      <c r="I244" s="97">
        <f>I243/I241*100</f>
        <v>9.3023255813953494</v>
      </c>
      <c r="J244" s="94"/>
      <c r="K244" s="28"/>
      <c r="L244" s="21"/>
    </row>
    <row r="245" spans="1:12" hidden="1" x14ac:dyDescent="0.25">
      <c r="A245" s="1313"/>
      <c r="B245" s="1220"/>
      <c r="C245" s="1117" t="s">
        <v>402</v>
      </c>
      <c r="D245" s="144" t="s">
        <v>251</v>
      </c>
      <c r="E245" s="94"/>
      <c r="F245" s="80">
        <v>190</v>
      </c>
      <c r="G245" s="80"/>
      <c r="H245" s="80"/>
      <c r="I245" s="80">
        <v>270</v>
      </c>
      <c r="J245" s="94"/>
      <c r="K245" s="28"/>
      <c r="L245" s="21"/>
    </row>
    <row r="246" spans="1:12" hidden="1" x14ac:dyDescent="0.25">
      <c r="A246" s="1313"/>
      <c r="B246" s="1220"/>
      <c r="C246" s="1117"/>
      <c r="D246" s="28" t="s">
        <v>257</v>
      </c>
      <c r="E246" s="94"/>
      <c r="F246" s="80">
        <v>155</v>
      </c>
      <c r="G246" s="80"/>
      <c r="H246" s="80"/>
      <c r="I246" s="80">
        <v>249</v>
      </c>
      <c r="J246" s="94"/>
      <c r="K246" s="28"/>
      <c r="L246" s="21"/>
    </row>
    <row r="247" spans="1:12" hidden="1" x14ac:dyDescent="0.25">
      <c r="A247" s="1313"/>
      <c r="B247" s="1220"/>
      <c r="C247" s="1117"/>
      <c r="D247" s="28" t="s">
        <v>263</v>
      </c>
      <c r="E247" s="94"/>
      <c r="F247" s="80">
        <v>35</v>
      </c>
      <c r="G247" s="80"/>
      <c r="H247" s="80"/>
      <c r="I247" s="80">
        <v>18</v>
      </c>
      <c r="J247" s="94"/>
      <c r="K247" s="28"/>
      <c r="L247" s="21"/>
    </row>
    <row r="248" spans="1:12" hidden="1" x14ac:dyDescent="0.25">
      <c r="A248" s="1313"/>
      <c r="B248" s="1220"/>
      <c r="C248" s="1117"/>
      <c r="D248" s="28" t="s">
        <v>357</v>
      </c>
      <c r="E248" s="94"/>
      <c r="F248" s="97">
        <f>(F247/F245)*100</f>
        <v>18.421052631578945</v>
      </c>
      <c r="G248" s="94"/>
      <c r="H248" s="94"/>
      <c r="I248" s="97">
        <f>I247/I245*100</f>
        <v>6.666666666666667</v>
      </c>
      <c r="J248" s="94"/>
      <c r="K248" s="28"/>
      <c r="L248" s="21"/>
    </row>
    <row r="249" spans="1:12" hidden="1" x14ac:dyDescent="0.25">
      <c r="A249" s="1313"/>
      <c r="B249" s="1220"/>
      <c r="C249" s="1117" t="s">
        <v>403</v>
      </c>
      <c r="D249" s="144" t="s">
        <v>251</v>
      </c>
      <c r="E249" s="94"/>
      <c r="F249" s="80">
        <v>770</v>
      </c>
      <c r="G249" s="80"/>
      <c r="H249" s="80"/>
      <c r="I249" s="80">
        <v>504</v>
      </c>
      <c r="J249" s="94"/>
      <c r="K249" s="28"/>
      <c r="L249" s="21"/>
    </row>
    <row r="250" spans="1:12" hidden="1" x14ac:dyDescent="0.25">
      <c r="A250" s="1313"/>
      <c r="B250" s="1220"/>
      <c r="C250" s="1117"/>
      <c r="D250" s="28" t="s">
        <v>257</v>
      </c>
      <c r="E250" s="94"/>
      <c r="F250" s="80">
        <v>645</v>
      </c>
      <c r="G250" s="80"/>
      <c r="H250" s="80"/>
      <c r="I250" s="80">
        <v>435</v>
      </c>
      <c r="J250" s="94"/>
      <c r="K250" s="28"/>
      <c r="L250" s="21"/>
    </row>
    <row r="251" spans="1:12" hidden="1" x14ac:dyDescent="0.25">
      <c r="A251" s="1313"/>
      <c r="B251" s="1220"/>
      <c r="C251" s="1117"/>
      <c r="D251" s="28" t="s">
        <v>263</v>
      </c>
      <c r="E251" s="94"/>
      <c r="F251" s="80">
        <v>125</v>
      </c>
      <c r="G251" s="80"/>
      <c r="H251" s="80"/>
      <c r="I251" s="80">
        <v>69</v>
      </c>
      <c r="J251" s="94"/>
      <c r="K251" s="28"/>
      <c r="L251" s="21"/>
    </row>
    <row r="252" spans="1:12" hidden="1" x14ac:dyDescent="0.25">
      <c r="A252" s="1313"/>
      <c r="B252" s="1220"/>
      <c r="C252" s="1117"/>
      <c r="D252" s="28" t="s">
        <v>357</v>
      </c>
      <c r="E252" s="94"/>
      <c r="F252" s="97">
        <f>(F251/F249)*100</f>
        <v>16.233766233766232</v>
      </c>
      <c r="G252" s="94"/>
      <c r="H252" s="94"/>
      <c r="I252" s="97">
        <f>I251/I249*100</f>
        <v>13.690476190476192</v>
      </c>
      <c r="J252" s="94"/>
      <c r="K252" s="28"/>
      <c r="L252" s="21"/>
    </row>
    <row r="253" spans="1:12" hidden="1" x14ac:dyDescent="0.25">
      <c r="A253" s="1313"/>
      <c r="B253" s="1220"/>
      <c r="C253" s="1117" t="s">
        <v>404</v>
      </c>
      <c r="D253" s="144" t="s">
        <v>251</v>
      </c>
      <c r="E253" s="94"/>
      <c r="F253" s="80">
        <v>295</v>
      </c>
      <c r="G253" s="80"/>
      <c r="H253" s="80"/>
      <c r="I253" s="80">
        <v>135</v>
      </c>
      <c r="J253" s="80"/>
      <c r="K253" s="28"/>
      <c r="L253" s="21"/>
    </row>
    <row r="254" spans="1:12" ht="14.85" hidden="1" customHeight="1" x14ac:dyDescent="0.25">
      <c r="A254" s="1313"/>
      <c r="B254" s="1220"/>
      <c r="C254" s="1117"/>
      <c r="D254" s="28" t="s">
        <v>257</v>
      </c>
      <c r="E254" s="94"/>
      <c r="F254" s="80">
        <v>230</v>
      </c>
      <c r="G254" s="80"/>
      <c r="H254" s="80"/>
      <c r="I254" s="80">
        <v>96</v>
      </c>
      <c r="J254" s="80"/>
      <c r="K254" s="28"/>
      <c r="L254" s="21"/>
    </row>
    <row r="255" spans="1:12" hidden="1" x14ac:dyDescent="0.25">
      <c r="A255" s="1313"/>
      <c r="B255" s="1220"/>
      <c r="C255" s="1117"/>
      <c r="D255" s="28" t="s">
        <v>263</v>
      </c>
      <c r="E255" s="94"/>
      <c r="F255" s="80">
        <v>65</v>
      </c>
      <c r="G255" s="80"/>
      <c r="H255" s="80"/>
      <c r="I255" s="80">
        <v>39</v>
      </c>
      <c r="J255" s="80"/>
      <c r="K255" s="28"/>
      <c r="L255" s="21"/>
    </row>
    <row r="256" spans="1:12" hidden="1" x14ac:dyDescent="0.25">
      <c r="A256" s="1313"/>
      <c r="B256" s="1220"/>
      <c r="C256" s="1117"/>
      <c r="D256" s="28" t="s">
        <v>357</v>
      </c>
      <c r="E256" s="94"/>
      <c r="F256" s="97">
        <f>(F255/F253)*100</f>
        <v>22.033898305084744</v>
      </c>
      <c r="G256" s="94"/>
      <c r="H256" s="94"/>
      <c r="I256" s="97">
        <f>I255/I253*100</f>
        <v>28.888888888888886</v>
      </c>
      <c r="J256" s="94"/>
      <c r="K256" s="28"/>
      <c r="L256" s="21"/>
    </row>
    <row r="257" spans="1:12" hidden="1" x14ac:dyDescent="0.25">
      <c r="A257" s="1313"/>
      <c r="B257" s="1220"/>
      <c r="C257" s="1117" t="s">
        <v>405</v>
      </c>
      <c r="D257" s="144" t="s">
        <v>251</v>
      </c>
      <c r="E257" s="94"/>
      <c r="F257" s="80">
        <v>125</v>
      </c>
      <c r="G257" s="80"/>
      <c r="H257" s="80"/>
      <c r="I257" s="80">
        <v>87</v>
      </c>
      <c r="J257" s="94"/>
      <c r="K257" s="28"/>
      <c r="L257" s="21"/>
    </row>
    <row r="258" spans="1:12" hidden="1" x14ac:dyDescent="0.25">
      <c r="A258" s="1313"/>
      <c r="B258" s="1220"/>
      <c r="C258" s="1117"/>
      <c r="D258" s="28" t="s">
        <v>257</v>
      </c>
      <c r="E258" s="94"/>
      <c r="F258" s="80">
        <v>70</v>
      </c>
      <c r="G258" s="80"/>
      <c r="H258" s="80"/>
      <c r="I258" s="80">
        <v>60</v>
      </c>
      <c r="J258" s="94"/>
      <c r="K258" s="28"/>
      <c r="L258" s="21"/>
    </row>
    <row r="259" spans="1:12" hidden="1" x14ac:dyDescent="0.25">
      <c r="A259" s="1313"/>
      <c r="B259" s="1220"/>
      <c r="C259" s="1117"/>
      <c r="D259" s="28" t="s">
        <v>263</v>
      </c>
      <c r="E259" s="94"/>
      <c r="F259" s="80">
        <v>55</v>
      </c>
      <c r="G259" s="80"/>
      <c r="H259" s="80"/>
      <c r="I259" s="80">
        <v>27</v>
      </c>
      <c r="J259" s="94"/>
      <c r="K259" s="28"/>
      <c r="L259" s="21"/>
    </row>
    <row r="260" spans="1:12" hidden="1" x14ac:dyDescent="0.25">
      <c r="A260" s="1313"/>
      <c r="B260" s="1220"/>
      <c r="C260" s="1117"/>
      <c r="D260" s="28" t="s">
        <v>357</v>
      </c>
      <c r="E260" s="94"/>
      <c r="F260" s="98">
        <f>(F259/F257)*100</f>
        <v>44</v>
      </c>
      <c r="G260" s="94"/>
      <c r="H260" s="94"/>
      <c r="I260" s="97">
        <f>I259/I257*100</f>
        <v>31.03448275862069</v>
      </c>
      <c r="J260" s="94"/>
      <c r="K260" s="28"/>
      <c r="L260" s="21"/>
    </row>
    <row r="261" spans="1:12" hidden="1" x14ac:dyDescent="0.25">
      <c r="A261" s="1313"/>
      <c r="B261" s="1220"/>
      <c r="C261" s="1117" t="s">
        <v>406</v>
      </c>
      <c r="D261" s="144" t="s">
        <v>251</v>
      </c>
      <c r="E261" s="94"/>
      <c r="F261" s="80">
        <v>140</v>
      </c>
      <c r="G261" s="80"/>
      <c r="H261" s="80"/>
      <c r="I261" s="80">
        <v>159</v>
      </c>
      <c r="J261" s="94"/>
      <c r="K261" s="28"/>
      <c r="L261" s="21"/>
    </row>
    <row r="262" spans="1:12" hidden="1" x14ac:dyDescent="0.25">
      <c r="A262" s="1313"/>
      <c r="B262" s="1220"/>
      <c r="C262" s="1117"/>
      <c r="D262" s="28" t="s">
        <v>257</v>
      </c>
      <c r="E262" s="94"/>
      <c r="F262" s="80">
        <v>65</v>
      </c>
      <c r="G262" s="80"/>
      <c r="H262" s="80"/>
      <c r="I262" s="80">
        <v>99</v>
      </c>
      <c r="J262" s="94"/>
      <c r="K262" s="28"/>
      <c r="L262" s="21"/>
    </row>
    <row r="263" spans="1:12" hidden="1" x14ac:dyDescent="0.25">
      <c r="A263" s="1313"/>
      <c r="B263" s="1220"/>
      <c r="C263" s="1117"/>
      <c r="D263" s="28" t="s">
        <v>263</v>
      </c>
      <c r="E263" s="94"/>
      <c r="F263" s="80">
        <v>75</v>
      </c>
      <c r="G263" s="80"/>
      <c r="H263" s="80"/>
      <c r="I263" s="80">
        <v>57</v>
      </c>
      <c r="J263" s="94"/>
      <c r="K263" s="28"/>
      <c r="L263" s="21"/>
    </row>
    <row r="264" spans="1:12" hidden="1" x14ac:dyDescent="0.25">
      <c r="A264" s="1313"/>
      <c r="B264" s="1220"/>
      <c r="C264" s="1117"/>
      <c r="D264" s="28" t="s">
        <v>357</v>
      </c>
      <c r="E264" s="94"/>
      <c r="F264" s="98">
        <f>(F263/F261)*100</f>
        <v>53.571428571428569</v>
      </c>
      <c r="G264" s="94"/>
      <c r="H264" s="94"/>
      <c r="I264" s="97">
        <f>I263/I261*100</f>
        <v>35.849056603773583</v>
      </c>
      <c r="J264" s="94"/>
      <c r="K264" s="28"/>
      <c r="L264" s="21"/>
    </row>
    <row r="265" spans="1:12" hidden="1" x14ac:dyDescent="0.25">
      <c r="A265" s="1313"/>
      <c r="B265" s="1220"/>
      <c r="C265" s="1117" t="s">
        <v>407</v>
      </c>
      <c r="D265" s="144" t="s">
        <v>251</v>
      </c>
      <c r="E265" s="94"/>
      <c r="F265" s="80">
        <v>380</v>
      </c>
      <c r="G265" s="80"/>
      <c r="H265" s="80"/>
      <c r="I265" s="80">
        <v>138</v>
      </c>
      <c r="J265" s="94"/>
      <c r="K265" s="28"/>
      <c r="L265" s="21"/>
    </row>
    <row r="266" spans="1:12" hidden="1" x14ac:dyDescent="0.25">
      <c r="A266" s="1313"/>
      <c r="B266" s="1220"/>
      <c r="C266" s="1117"/>
      <c r="D266" s="28" t="s">
        <v>257</v>
      </c>
      <c r="E266" s="94"/>
      <c r="F266" s="80">
        <v>190</v>
      </c>
      <c r="G266" s="80"/>
      <c r="H266" s="80"/>
      <c r="I266" s="80">
        <v>114</v>
      </c>
      <c r="J266" s="94"/>
      <c r="K266" s="28"/>
      <c r="L266" s="21"/>
    </row>
    <row r="267" spans="1:12" hidden="1" x14ac:dyDescent="0.25">
      <c r="A267" s="1313"/>
      <c r="B267" s="1220"/>
      <c r="C267" s="1117"/>
      <c r="D267" s="28" t="s">
        <v>263</v>
      </c>
      <c r="E267" s="94"/>
      <c r="F267" s="80">
        <v>190</v>
      </c>
      <c r="G267" s="80"/>
      <c r="H267" s="80"/>
      <c r="I267" s="80">
        <v>24</v>
      </c>
      <c r="J267" s="94"/>
      <c r="K267" s="28"/>
      <c r="L267" s="21"/>
    </row>
    <row r="268" spans="1:12" hidden="1" x14ac:dyDescent="0.25">
      <c r="A268" s="1313"/>
      <c r="B268" s="1220"/>
      <c r="C268" s="1117"/>
      <c r="D268" s="28" t="s">
        <v>357</v>
      </c>
      <c r="E268" s="94"/>
      <c r="F268" s="98">
        <f>(F267/F265)*100</f>
        <v>50</v>
      </c>
      <c r="G268" s="94"/>
      <c r="H268" s="94"/>
      <c r="I268" s="97">
        <f>I267/I265*100</f>
        <v>17.391304347826086</v>
      </c>
      <c r="J268" s="94"/>
      <c r="K268" s="28"/>
      <c r="L268" s="21"/>
    </row>
    <row r="269" spans="1:12" hidden="1" x14ac:dyDescent="0.25">
      <c r="A269" s="1313"/>
      <c r="B269" s="1220"/>
      <c r="C269" s="1117" t="s">
        <v>408</v>
      </c>
      <c r="D269" s="144" t="s">
        <v>251</v>
      </c>
      <c r="E269" s="94"/>
      <c r="F269" s="80">
        <v>20</v>
      </c>
      <c r="G269" s="80"/>
      <c r="H269" s="80"/>
      <c r="I269" s="80">
        <v>87</v>
      </c>
      <c r="J269" s="94"/>
      <c r="K269" s="28"/>
      <c r="L269" s="21"/>
    </row>
    <row r="270" spans="1:12" hidden="1" x14ac:dyDescent="0.25">
      <c r="A270" s="1313"/>
      <c r="B270" s="1220"/>
      <c r="C270" s="1117"/>
      <c r="D270" s="28" t="s">
        <v>257</v>
      </c>
      <c r="E270" s="94"/>
      <c r="F270" s="80">
        <v>20</v>
      </c>
      <c r="G270" s="80"/>
      <c r="H270" s="80"/>
      <c r="I270" s="80">
        <v>72</v>
      </c>
      <c r="J270" s="94"/>
      <c r="K270" s="28"/>
      <c r="L270" s="21"/>
    </row>
    <row r="271" spans="1:12" hidden="1" x14ac:dyDescent="0.25">
      <c r="A271" s="1313"/>
      <c r="B271" s="1220"/>
      <c r="C271" s="1117"/>
      <c r="D271" s="28" t="s">
        <v>263</v>
      </c>
      <c r="E271" s="94"/>
      <c r="F271" s="80">
        <v>0</v>
      </c>
      <c r="G271" s="80"/>
      <c r="H271" s="80"/>
      <c r="I271" s="80">
        <v>18</v>
      </c>
      <c r="J271" s="94"/>
      <c r="K271" s="28"/>
      <c r="L271" s="21"/>
    </row>
    <row r="272" spans="1:12" hidden="1" x14ac:dyDescent="0.25">
      <c r="A272" s="1313"/>
      <c r="B272" s="1220"/>
      <c r="C272" s="1117"/>
      <c r="D272" s="28" t="s">
        <v>357</v>
      </c>
      <c r="E272" s="94"/>
      <c r="F272" s="97">
        <f>(F271/F269)*100</f>
        <v>0</v>
      </c>
      <c r="G272" s="94"/>
      <c r="H272" s="94"/>
      <c r="I272" s="97">
        <f>I271/I269*100</f>
        <v>20.689655172413794</v>
      </c>
      <c r="J272" s="94"/>
      <c r="K272" s="28"/>
      <c r="L272" s="21"/>
    </row>
    <row r="273" spans="1:12" ht="14.85" hidden="1" customHeight="1" x14ac:dyDescent="0.25">
      <c r="A273" s="1313"/>
      <c r="B273" s="1220"/>
      <c r="C273" s="1117" t="s">
        <v>409</v>
      </c>
      <c r="D273" s="144" t="s">
        <v>251</v>
      </c>
      <c r="E273" s="94"/>
      <c r="F273" s="80">
        <v>160</v>
      </c>
      <c r="G273" s="80"/>
      <c r="H273" s="80"/>
      <c r="I273" s="80">
        <v>114</v>
      </c>
      <c r="J273" s="94"/>
      <c r="K273" s="28"/>
      <c r="L273" s="21"/>
    </row>
    <row r="274" spans="1:12" ht="14.85" hidden="1" customHeight="1" x14ac:dyDescent="0.25">
      <c r="A274" s="1313"/>
      <c r="B274" s="1220"/>
      <c r="C274" s="1117"/>
      <c r="D274" s="28" t="s">
        <v>257</v>
      </c>
      <c r="E274" s="94"/>
      <c r="F274" s="80">
        <v>115</v>
      </c>
      <c r="G274" s="80"/>
      <c r="H274" s="80"/>
      <c r="I274" s="80">
        <v>105</v>
      </c>
      <c r="J274" s="94"/>
      <c r="K274" s="28"/>
      <c r="L274" s="21"/>
    </row>
    <row r="275" spans="1:12" hidden="1" x14ac:dyDescent="0.25">
      <c r="A275" s="1313"/>
      <c r="B275" s="1220"/>
      <c r="C275" s="1117"/>
      <c r="D275" s="28" t="s">
        <v>263</v>
      </c>
      <c r="E275" s="94"/>
      <c r="F275" s="80">
        <v>45</v>
      </c>
      <c r="G275" s="80"/>
      <c r="H275" s="80"/>
      <c r="I275" s="80">
        <v>12</v>
      </c>
      <c r="J275" s="94"/>
      <c r="K275" s="28"/>
      <c r="L275" s="21"/>
    </row>
    <row r="276" spans="1:12" hidden="1" x14ac:dyDescent="0.25">
      <c r="A276" s="1313"/>
      <c r="B276" s="1220"/>
      <c r="C276" s="1117"/>
      <c r="D276" s="28" t="s">
        <v>357</v>
      </c>
      <c r="E276" s="94"/>
      <c r="F276" s="97">
        <f>(F275/F273)*100</f>
        <v>28.125</v>
      </c>
      <c r="G276" s="94"/>
      <c r="H276" s="94"/>
      <c r="I276" s="97">
        <f>I275/I273*100</f>
        <v>10.526315789473683</v>
      </c>
      <c r="J276" s="94"/>
      <c r="K276" s="28"/>
      <c r="L276" s="21"/>
    </row>
    <row r="277" spans="1:12" hidden="1" x14ac:dyDescent="0.25">
      <c r="A277" s="1313"/>
      <c r="B277" s="1220"/>
      <c r="C277" s="1117" t="s">
        <v>410</v>
      </c>
      <c r="D277" s="144" t="s">
        <v>251</v>
      </c>
      <c r="E277" s="94"/>
      <c r="F277" s="80">
        <v>1395</v>
      </c>
      <c r="G277" s="80"/>
      <c r="H277" s="80"/>
      <c r="I277" s="80">
        <v>942</v>
      </c>
      <c r="J277" s="94"/>
      <c r="K277" s="28"/>
      <c r="L277" s="21"/>
    </row>
    <row r="278" spans="1:12" hidden="1" x14ac:dyDescent="0.25">
      <c r="A278" s="1313"/>
      <c r="B278" s="1220"/>
      <c r="C278" s="1117"/>
      <c r="D278" s="28" t="s">
        <v>257</v>
      </c>
      <c r="E278" s="94"/>
      <c r="F278" s="80">
        <v>1160</v>
      </c>
      <c r="G278" s="80"/>
      <c r="H278" s="80"/>
      <c r="I278" s="80">
        <v>861</v>
      </c>
      <c r="J278" s="94"/>
      <c r="K278" s="28"/>
      <c r="L278" s="21"/>
    </row>
    <row r="279" spans="1:12" hidden="1" x14ac:dyDescent="0.25">
      <c r="A279" s="1313"/>
      <c r="B279" s="1220"/>
      <c r="C279" s="1117"/>
      <c r="D279" s="28" t="s">
        <v>263</v>
      </c>
      <c r="E279" s="94"/>
      <c r="F279" s="80">
        <v>235</v>
      </c>
      <c r="G279" s="80"/>
      <c r="H279" s="80"/>
      <c r="I279" s="80">
        <v>81</v>
      </c>
      <c r="J279" s="94"/>
      <c r="K279" s="28"/>
      <c r="L279" s="21"/>
    </row>
    <row r="280" spans="1:12" hidden="1" x14ac:dyDescent="0.25">
      <c r="A280" s="1313"/>
      <c r="B280" s="1220"/>
      <c r="C280" s="1117"/>
      <c r="D280" s="28" t="s">
        <v>357</v>
      </c>
      <c r="E280" s="94"/>
      <c r="F280" s="97">
        <f>(F279/F277)*100</f>
        <v>16.845878136200717</v>
      </c>
      <c r="G280" s="94"/>
      <c r="H280" s="94"/>
      <c r="I280" s="97">
        <f>I279/I277*100</f>
        <v>8.598726114649681</v>
      </c>
      <c r="J280" s="94"/>
      <c r="K280" s="28"/>
      <c r="L280" s="21"/>
    </row>
    <row r="281" spans="1:12" hidden="1" x14ac:dyDescent="0.25">
      <c r="A281" s="1313"/>
      <c r="B281" s="1220"/>
      <c r="C281" s="1117" t="s">
        <v>411</v>
      </c>
      <c r="D281" s="144" t="s">
        <v>251</v>
      </c>
      <c r="E281" s="94"/>
      <c r="F281" s="80">
        <v>1450</v>
      </c>
      <c r="G281" s="80"/>
      <c r="H281" s="80"/>
      <c r="I281" s="80">
        <v>1455</v>
      </c>
      <c r="J281" s="94"/>
      <c r="K281" s="28"/>
      <c r="L281" s="21"/>
    </row>
    <row r="282" spans="1:12" hidden="1" x14ac:dyDescent="0.25">
      <c r="A282" s="1313"/>
      <c r="B282" s="1220"/>
      <c r="C282" s="1117"/>
      <c r="D282" s="28" t="s">
        <v>257</v>
      </c>
      <c r="E282" s="94"/>
      <c r="F282" s="80">
        <v>20</v>
      </c>
      <c r="G282" s="80"/>
      <c r="H282" s="80"/>
      <c r="I282" s="80">
        <v>63</v>
      </c>
      <c r="J282" s="94"/>
      <c r="K282" s="28"/>
      <c r="L282" s="21"/>
    </row>
    <row r="283" spans="1:12" hidden="1" x14ac:dyDescent="0.25">
      <c r="A283" s="1313"/>
      <c r="B283" s="1220"/>
      <c r="C283" s="1117"/>
      <c r="D283" s="28" t="s">
        <v>263</v>
      </c>
      <c r="E283" s="94"/>
      <c r="F283" s="80">
        <v>1430</v>
      </c>
      <c r="G283" s="80"/>
      <c r="H283" s="80"/>
      <c r="I283" s="80">
        <v>1392</v>
      </c>
      <c r="J283" s="94"/>
      <c r="K283" s="28"/>
      <c r="L283" s="21"/>
    </row>
    <row r="284" spans="1:12" hidden="1" x14ac:dyDescent="0.25">
      <c r="A284" s="1313"/>
      <c r="B284" s="1220"/>
      <c r="C284" s="1117"/>
      <c r="D284" s="28" t="s">
        <v>357</v>
      </c>
      <c r="E284" s="94"/>
      <c r="F284" s="99">
        <f>(F283/F281)*100</f>
        <v>98.620689655172413</v>
      </c>
      <c r="G284" s="94"/>
      <c r="H284" s="94"/>
      <c r="I284" s="99">
        <f>I283/I281*100</f>
        <v>95.670103092783506</v>
      </c>
      <c r="J284" s="94"/>
      <c r="K284" s="28"/>
      <c r="L284" s="21"/>
    </row>
    <row r="285" spans="1:12" hidden="1" x14ac:dyDescent="0.25">
      <c r="A285" s="1313"/>
      <c r="B285" s="1220"/>
      <c r="C285" s="1117" t="s">
        <v>412</v>
      </c>
      <c r="D285" s="144" t="s">
        <v>251</v>
      </c>
      <c r="E285" s="94"/>
      <c r="F285" s="80">
        <v>1365</v>
      </c>
      <c r="G285" s="80"/>
      <c r="H285" s="80"/>
      <c r="I285" s="80">
        <v>1254</v>
      </c>
      <c r="J285" s="94"/>
      <c r="K285" s="28"/>
      <c r="L285" s="21"/>
    </row>
    <row r="286" spans="1:12" hidden="1" x14ac:dyDescent="0.25">
      <c r="A286" s="1313"/>
      <c r="B286" s="1220"/>
      <c r="C286" s="1117"/>
      <c r="D286" s="28" t="s">
        <v>257</v>
      </c>
      <c r="E286" s="94"/>
      <c r="F286" s="80">
        <v>390</v>
      </c>
      <c r="G286" s="80"/>
      <c r="H286" s="80"/>
      <c r="I286" s="80">
        <v>339</v>
      </c>
      <c r="J286" s="94"/>
      <c r="K286" s="28"/>
      <c r="L286" s="21"/>
    </row>
    <row r="287" spans="1:12" hidden="1" x14ac:dyDescent="0.25">
      <c r="A287" s="1313"/>
      <c r="B287" s="1220"/>
      <c r="C287" s="1117"/>
      <c r="D287" s="28" t="s">
        <v>263</v>
      </c>
      <c r="E287" s="94"/>
      <c r="F287" s="80">
        <v>975</v>
      </c>
      <c r="G287" s="80"/>
      <c r="H287" s="80"/>
      <c r="I287" s="80">
        <v>915</v>
      </c>
      <c r="J287" s="94"/>
      <c r="K287" s="28"/>
      <c r="L287" s="21"/>
    </row>
    <row r="288" spans="1:12" hidden="1" x14ac:dyDescent="0.25">
      <c r="A288" s="1313"/>
      <c r="B288" s="1220"/>
      <c r="C288" s="1117"/>
      <c r="D288" s="28" t="s">
        <v>357</v>
      </c>
      <c r="E288" s="94"/>
      <c r="F288" s="99">
        <f>(F287/F285)*100</f>
        <v>71.428571428571431</v>
      </c>
      <c r="G288" s="94"/>
      <c r="H288" s="94"/>
      <c r="I288" s="99">
        <f>I287/I285*100</f>
        <v>72.966507177033492</v>
      </c>
      <c r="J288" s="94"/>
      <c r="K288" s="28"/>
      <c r="L288" s="21"/>
    </row>
    <row r="289" spans="1:12" hidden="1" x14ac:dyDescent="0.25">
      <c r="A289" s="1313"/>
      <c r="B289" s="1220"/>
      <c r="C289" s="1117" t="s">
        <v>413</v>
      </c>
      <c r="D289" s="144" t="s">
        <v>251</v>
      </c>
      <c r="E289" s="94"/>
      <c r="F289" s="80">
        <v>450</v>
      </c>
      <c r="G289" s="80"/>
      <c r="H289" s="80"/>
      <c r="I289" s="80">
        <v>237</v>
      </c>
      <c r="J289" s="94"/>
      <c r="K289" s="28"/>
      <c r="L289" s="21"/>
    </row>
    <row r="290" spans="1:12" ht="14.85" hidden="1" customHeight="1" x14ac:dyDescent="0.25">
      <c r="A290" s="1313"/>
      <c r="B290" s="1220"/>
      <c r="C290" s="1117"/>
      <c r="D290" s="28" t="s">
        <v>257</v>
      </c>
      <c r="E290" s="94"/>
      <c r="F290" s="80">
        <v>160</v>
      </c>
      <c r="G290" s="80"/>
      <c r="H290" s="80"/>
      <c r="I290" s="80">
        <v>138</v>
      </c>
      <c r="J290" s="94"/>
      <c r="K290" s="28"/>
      <c r="L290" s="21"/>
    </row>
    <row r="291" spans="1:12" hidden="1" x14ac:dyDescent="0.25">
      <c r="A291" s="1313"/>
      <c r="B291" s="1220"/>
      <c r="C291" s="1117"/>
      <c r="D291" s="28" t="s">
        <v>263</v>
      </c>
      <c r="E291" s="94"/>
      <c r="F291" s="80">
        <v>285</v>
      </c>
      <c r="G291" s="80"/>
      <c r="H291" s="80"/>
      <c r="I291" s="80">
        <v>99</v>
      </c>
      <c r="J291" s="94"/>
      <c r="K291" s="28"/>
      <c r="L291" s="21"/>
    </row>
    <row r="292" spans="1:12" hidden="1" x14ac:dyDescent="0.25">
      <c r="A292" s="1313"/>
      <c r="B292" s="1220"/>
      <c r="C292" s="1117"/>
      <c r="D292" s="28" t="s">
        <v>357</v>
      </c>
      <c r="E292" s="94"/>
      <c r="F292" s="99">
        <f>(F291/F289)*100</f>
        <v>63.333333333333329</v>
      </c>
      <c r="G292" s="94"/>
      <c r="H292" s="94"/>
      <c r="I292" s="98">
        <f>I291/I289*100</f>
        <v>41.77215189873418</v>
      </c>
      <c r="J292" s="94"/>
      <c r="K292" s="28"/>
      <c r="L292" s="21"/>
    </row>
    <row r="293" spans="1:12" ht="14.85" hidden="1" customHeight="1" x14ac:dyDescent="0.25">
      <c r="A293" s="1313"/>
      <c r="B293" s="1220"/>
      <c r="C293" s="1117" t="s">
        <v>414</v>
      </c>
      <c r="D293" s="144" t="s">
        <v>251</v>
      </c>
      <c r="E293" s="94"/>
      <c r="F293" s="80">
        <v>325</v>
      </c>
      <c r="G293" s="80"/>
      <c r="H293" s="80"/>
      <c r="I293" s="80">
        <v>432</v>
      </c>
      <c r="J293" s="94"/>
      <c r="K293" s="28"/>
      <c r="L293" s="21"/>
    </row>
    <row r="294" spans="1:12" ht="14.85" hidden="1" customHeight="1" x14ac:dyDescent="0.25">
      <c r="A294" s="1313"/>
      <c r="B294" s="1220"/>
      <c r="C294" s="1117"/>
      <c r="D294" s="28" t="s">
        <v>257</v>
      </c>
      <c r="E294" s="94"/>
      <c r="F294" s="80">
        <v>195</v>
      </c>
      <c r="G294" s="80"/>
      <c r="H294" s="80"/>
      <c r="I294" s="80">
        <v>297</v>
      </c>
      <c r="J294" s="94"/>
      <c r="K294" s="28"/>
      <c r="L294" s="21"/>
    </row>
    <row r="295" spans="1:12" hidden="1" x14ac:dyDescent="0.25">
      <c r="A295" s="1313"/>
      <c r="B295" s="1220"/>
      <c r="C295" s="1117"/>
      <c r="D295" s="28" t="s">
        <v>263</v>
      </c>
      <c r="E295" s="94"/>
      <c r="F295" s="80">
        <v>130</v>
      </c>
      <c r="G295" s="80"/>
      <c r="H295" s="80"/>
      <c r="I295" s="80">
        <v>141</v>
      </c>
      <c r="J295" s="94"/>
      <c r="K295" s="28"/>
      <c r="L295" s="21"/>
    </row>
    <row r="296" spans="1:12" hidden="1" x14ac:dyDescent="0.25">
      <c r="A296" s="1313"/>
      <c r="B296" s="1220"/>
      <c r="C296" s="1117"/>
      <c r="D296" s="28" t="s">
        <v>357</v>
      </c>
      <c r="E296" s="94"/>
      <c r="F296" s="98">
        <f>(F295/F293)*100</f>
        <v>40</v>
      </c>
      <c r="G296" s="94"/>
      <c r="H296" s="94"/>
      <c r="I296" s="97">
        <f>I295/I293*100</f>
        <v>32.638888888888893</v>
      </c>
      <c r="J296" s="94"/>
      <c r="K296" s="28"/>
      <c r="L296" s="21"/>
    </row>
    <row r="297" spans="1:12" hidden="1" x14ac:dyDescent="0.25">
      <c r="A297" s="1313"/>
      <c r="B297" s="1220"/>
      <c r="C297" s="1117" t="s">
        <v>415</v>
      </c>
      <c r="D297" s="144" t="s">
        <v>251</v>
      </c>
      <c r="E297" s="94"/>
      <c r="F297" s="80">
        <v>100</v>
      </c>
      <c r="G297" s="80"/>
      <c r="H297" s="80"/>
      <c r="I297" s="80">
        <v>87</v>
      </c>
      <c r="J297" s="94"/>
      <c r="K297" s="28"/>
      <c r="L297" s="21"/>
    </row>
    <row r="298" spans="1:12" hidden="1" x14ac:dyDescent="0.25">
      <c r="A298" s="1313"/>
      <c r="B298" s="1220"/>
      <c r="C298" s="1117"/>
      <c r="D298" s="28" t="s">
        <v>257</v>
      </c>
      <c r="E298" s="94"/>
      <c r="F298" s="80">
        <v>55</v>
      </c>
      <c r="G298" s="80"/>
      <c r="H298" s="80"/>
      <c r="I298" s="80">
        <v>72</v>
      </c>
      <c r="J298" s="94"/>
      <c r="K298" s="28"/>
      <c r="L298" s="21"/>
    </row>
    <row r="299" spans="1:12" hidden="1" x14ac:dyDescent="0.25">
      <c r="A299" s="1313"/>
      <c r="B299" s="1220"/>
      <c r="C299" s="1117"/>
      <c r="D299" s="28" t="s">
        <v>263</v>
      </c>
      <c r="E299" s="94"/>
      <c r="F299" s="80">
        <v>45</v>
      </c>
      <c r="G299" s="80"/>
      <c r="H299" s="80"/>
      <c r="I299" s="80">
        <v>18</v>
      </c>
      <c r="J299" s="94"/>
      <c r="K299" s="28"/>
      <c r="L299" s="21"/>
    </row>
    <row r="300" spans="1:12" hidden="1" x14ac:dyDescent="0.25">
      <c r="A300" s="1313"/>
      <c r="B300" s="1220"/>
      <c r="C300" s="1117"/>
      <c r="D300" s="28" t="s">
        <v>357</v>
      </c>
      <c r="E300" s="94"/>
      <c r="F300" s="98">
        <f>(F299/F297)*100</f>
        <v>45</v>
      </c>
      <c r="G300" s="94"/>
      <c r="H300" s="94"/>
      <c r="I300" s="97">
        <f>I299/I297*100</f>
        <v>20.689655172413794</v>
      </c>
      <c r="J300" s="94"/>
      <c r="K300" s="28"/>
      <c r="L300" s="21"/>
    </row>
    <row r="301" spans="1:12" hidden="1" x14ac:dyDescent="0.25">
      <c r="A301" s="1313"/>
      <c r="B301" s="1220"/>
      <c r="C301" s="1117" t="s">
        <v>416</v>
      </c>
      <c r="D301" s="144" t="s">
        <v>251</v>
      </c>
      <c r="E301" s="94"/>
      <c r="F301" s="80">
        <v>180</v>
      </c>
      <c r="G301" s="80"/>
      <c r="H301" s="80"/>
      <c r="I301" s="80">
        <v>78</v>
      </c>
      <c r="J301" s="94"/>
      <c r="K301" s="28"/>
      <c r="L301" s="21"/>
    </row>
    <row r="302" spans="1:12" hidden="1" x14ac:dyDescent="0.25">
      <c r="A302" s="1313"/>
      <c r="B302" s="1220"/>
      <c r="C302" s="1117"/>
      <c r="D302" s="28" t="s">
        <v>257</v>
      </c>
      <c r="E302" s="94"/>
      <c r="F302" s="80">
        <v>160</v>
      </c>
      <c r="G302" s="80"/>
      <c r="H302" s="80"/>
      <c r="I302" s="80">
        <v>69</v>
      </c>
      <c r="J302" s="94"/>
      <c r="K302" s="28"/>
      <c r="L302" s="21"/>
    </row>
    <row r="303" spans="1:12" hidden="1" x14ac:dyDescent="0.25">
      <c r="A303" s="1313"/>
      <c r="B303" s="1220"/>
      <c r="C303" s="1117"/>
      <c r="D303" s="28" t="s">
        <v>263</v>
      </c>
      <c r="E303" s="94"/>
      <c r="F303" s="80">
        <v>20</v>
      </c>
      <c r="G303" s="80"/>
      <c r="H303" s="80"/>
      <c r="I303" s="80">
        <v>9</v>
      </c>
      <c r="J303" s="94"/>
      <c r="K303" s="28"/>
      <c r="L303" s="21"/>
    </row>
    <row r="304" spans="1:12" hidden="1" x14ac:dyDescent="0.25">
      <c r="A304" s="1313"/>
      <c r="B304" s="1220"/>
      <c r="C304" s="1117"/>
      <c r="D304" s="28" t="s">
        <v>357</v>
      </c>
      <c r="E304" s="94"/>
      <c r="F304" s="97">
        <f>(F303/F301)*100</f>
        <v>11.111111111111111</v>
      </c>
      <c r="G304" s="94"/>
      <c r="H304" s="94"/>
      <c r="I304" s="97">
        <f>I303/I301*100</f>
        <v>11.538461538461538</v>
      </c>
      <c r="J304" s="94"/>
      <c r="K304" s="28"/>
      <c r="L304" s="21"/>
    </row>
    <row r="305" spans="1:12" hidden="1" x14ac:dyDescent="0.25">
      <c r="A305" s="1313"/>
      <c r="B305" s="1220"/>
      <c r="C305" s="1117" t="s">
        <v>417</v>
      </c>
      <c r="D305" s="144" t="s">
        <v>251</v>
      </c>
      <c r="E305" s="94"/>
      <c r="F305" s="80">
        <v>45</v>
      </c>
      <c r="G305" s="80"/>
      <c r="H305" s="80"/>
      <c r="I305" s="80">
        <v>285</v>
      </c>
      <c r="J305" s="94"/>
      <c r="K305" s="28"/>
      <c r="L305" s="21"/>
    </row>
    <row r="306" spans="1:12" hidden="1" x14ac:dyDescent="0.25">
      <c r="A306" s="1313"/>
      <c r="B306" s="1220"/>
      <c r="C306" s="1117"/>
      <c r="D306" s="28" t="s">
        <v>257</v>
      </c>
      <c r="E306" s="94"/>
      <c r="F306" s="80">
        <v>45</v>
      </c>
      <c r="G306" s="80"/>
      <c r="H306" s="80"/>
      <c r="I306" s="80">
        <v>180</v>
      </c>
      <c r="J306" s="94"/>
      <c r="K306" s="28"/>
      <c r="L306" s="21"/>
    </row>
    <row r="307" spans="1:12" hidden="1" x14ac:dyDescent="0.25">
      <c r="A307" s="1313"/>
      <c r="B307" s="1220"/>
      <c r="C307" s="1117"/>
      <c r="D307" s="28" t="s">
        <v>263</v>
      </c>
      <c r="E307" s="94"/>
      <c r="F307" s="80">
        <v>0</v>
      </c>
      <c r="G307" s="80"/>
      <c r="H307" s="80"/>
      <c r="I307" s="80">
        <v>102</v>
      </c>
      <c r="J307" s="94"/>
      <c r="K307" s="28"/>
      <c r="L307" s="21"/>
    </row>
    <row r="308" spans="1:12" hidden="1" x14ac:dyDescent="0.25">
      <c r="A308" s="1313"/>
      <c r="B308" s="1220"/>
      <c r="C308" s="1117"/>
      <c r="D308" s="28" t="s">
        <v>357</v>
      </c>
      <c r="E308" s="94"/>
      <c r="F308" s="97">
        <f>(F307/F305)*100</f>
        <v>0</v>
      </c>
      <c r="G308" s="94"/>
      <c r="H308" s="94"/>
      <c r="I308" s="97">
        <f>I307/I305*100</f>
        <v>35.789473684210527</v>
      </c>
      <c r="J308" s="94"/>
      <c r="K308" s="28"/>
      <c r="L308" s="21"/>
    </row>
    <row r="309" spans="1:12" hidden="1" x14ac:dyDescent="0.25">
      <c r="A309" s="1313"/>
      <c r="B309" s="1220"/>
      <c r="C309" s="1117" t="s">
        <v>418</v>
      </c>
      <c r="D309" s="144" t="s">
        <v>251</v>
      </c>
      <c r="E309" s="94"/>
      <c r="F309" s="80">
        <v>330</v>
      </c>
      <c r="G309" s="80"/>
      <c r="H309" s="80"/>
      <c r="I309" s="80">
        <v>555</v>
      </c>
      <c r="J309" s="94"/>
      <c r="K309" s="28"/>
      <c r="L309" s="21"/>
    </row>
    <row r="310" spans="1:12" hidden="1" x14ac:dyDescent="0.25">
      <c r="A310" s="1313"/>
      <c r="B310" s="1220"/>
      <c r="C310" s="1117"/>
      <c r="D310" s="28" t="s">
        <v>263</v>
      </c>
      <c r="E310" s="94"/>
      <c r="F310" s="80">
        <v>220</v>
      </c>
      <c r="G310" s="80"/>
      <c r="H310" s="80"/>
      <c r="I310" s="80">
        <v>444</v>
      </c>
      <c r="J310" s="94"/>
      <c r="K310" s="28"/>
      <c r="L310" s="21"/>
    </row>
    <row r="311" spans="1:12" ht="14.85" hidden="1" customHeight="1" x14ac:dyDescent="0.25">
      <c r="A311" s="1313"/>
      <c r="B311" s="1220"/>
      <c r="C311" s="1117"/>
      <c r="D311" s="28" t="s">
        <v>257</v>
      </c>
      <c r="E311" s="94"/>
      <c r="F311" s="80">
        <v>110</v>
      </c>
      <c r="G311" s="80"/>
      <c r="H311" s="80"/>
      <c r="I311" s="80">
        <v>108</v>
      </c>
      <c r="J311" s="94"/>
      <c r="K311" s="28"/>
      <c r="L311" s="21"/>
    </row>
    <row r="312" spans="1:12" hidden="1" x14ac:dyDescent="0.25">
      <c r="A312" s="1313"/>
      <c r="B312" s="1220"/>
      <c r="C312" s="1117"/>
      <c r="D312" s="28" t="s">
        <v>357</v>
      </c>
      <c r="E312" s="94"/>
      <c r="F312" s="97">
        <f>(F311/F309)*100</f>
        <v>33.333333333333329</v>
      </c>
      <c r="G312" s="94"/>
      <c r="H312" s="94"/>
      <c r="I312" s="97">
        <f>I311/I309*100</f>
        <v>19.45945945945946</v>
      </c>
      <c r="J312" s="94"/>
      <c r="K312" s="28"/>
      <c r="L312" s="21"/>
    </row>
    <row r="313" spans="1:12" x14ac:dyDescent="0.25">
      <c r="A313" s="1313"/>
      <c r="B313" s="1220"/>
      <c r="C313" s="1174" t="s">
        <v>419</v>
      </c>
      <c r="D313" s="1110"/>
      <c r="E313" s="94"/>
      <c r="F313" s="100">
        <f>28/60*100</f>
        <v>46.666666666666664</v>
      </c>
      <c r="G313" s="92"/>
      <c r="H313" s="92"/>
      <c r="I313" s="101">
        <f>30/61*100</f>
        <v>49.180327868852459</v>
      </c>
      <c r="J313" s="94"/>
      <c r="K313" s="28"/>
      <c r="L313" s="21"/>
    </row>
    <row r="314" spans="1:12" x14ac:dyDescent="0.25">
      <c r="A314" s="1313"/>
      <c r="B314" s="1220"/>
      <c r="C314" s="1174" t="s">
        <v>420</v>
      </c>
      <c r="D314" s="1110"/>
      <c r="E314" s="94"/>
      <c r="F314" s="102">
        <f>15/60*100</f>
        <v>25</v>
      </c>
      <c r="G314" s="92"/>
      <c r="H314" s="92"/>
      <c r="I314" s="102">
        <f>13/61*100</f>
        <v>21.311475409836063</v>
      </c>
      <c r="J314" s="94"/>
      <c r="K314" s="28"/>
      <c r="L314" s="21"/>
    </row>
    <row r="315" spans="1:12" ht="16.5" thickBot="1" x14ac:dyDescent="0.3">
      <c r="A315" s="1313"/>
      <c r="B315" s="1221"/>
      <c r="C315" s="1350" t="s">
        <v>421</v>
      </c>
      <c r="D315" s="1351"/>
      <c r="E315" s="104"/>
      <c r="F315" s="105">
        <f>17/60*100</f>
        <v>28.333333333333332</v>
      </c>
      <c r="G315" s="106"/>
      <c r="H315" s="106"/>
      <c r="I315" s="105">
        <f>18/61*100</f>
        <v>29.508196721311474</v>
      </c>
      <c r="J315" s="104"/>
      <c r="K315" s="33"/>
      <c r="L315" s="22"/>
    </row>
    <row r="316" spans="1:12" ht="16.5" thickBot="1" x14ac:dyDescent="0.3">
      <c r="A316" s="715" t="s">
        <v>248</v>
      </c>
      <c r="B316" s="951" t="s">
        <v>249</v>
      </c>
      <c r="C316" s="1337"/>
      <c r="D316" s="1337"/>
      <c r="E316" s="987">
        <v>2005</v>
      </c>
      <c r="F316" s="987">
        <v>2010</v>
      </c>
      <c r="G316" s="987">
        <v>2015</v>
      </c>
      <c r="H316" s="987">
        <v>2020</v>
      </c>
      <c r="I316" s="987">
        <v>2021</v>
      </c>
      <c r="J316" s="987">
        <v>2022</v>
      </c>
      <c r="K316" s="987">
        <v>2023</v>
      </c>
      <c r="L316" s="988">
        <v>2024</v>
      </c>
    </row>
    <row r="317" spans="1:12" ht="14.45" customHeight="1" x14ac:dyDescent="0.25">
      <c r="A317" s="1326" t="s">
        <v>422</v>
      </c>
      <c r="B317" s="1270" t="s">
        <v>164</v>
      </c>
      <c r="C317" s="1328" t="s">
        <v>424</v>
      </c>
      <c r="D317" s="1329"/>
      <c r="E317" s="24"/>
      <c r="F317" s="25">
        <v>988.72</v>
      </c>
      <c r="G317" s="25">
        <v>1168.8599999999999</v>
      </c>
      <c r="H317" s="25">
        <v>1311</v>
      </c>
      <c r="I317" s="25">
        <v>1355</v>
      </c>
      <c r="J317" s="25">
        <v>1389</v>
      </c>
      <c r="K317" s="26">
        <v>1572</v>
      </c>
      <c r="L317" s="27">
        <v>1587</v>
      </c>
    </row>
    <row r="318" spans="1:12" x14ac:dyDescent="0.25">
      <c r="A318" s="1326"/>
      <c r="B318" s="1270"/>
      <c r="C318" s="1330" t="s">
        <v>425</v>
      </c>
      <c r="D318" s="1331"/>
      <c r="E318" s="28"/>
      <c r="F318" s="29">
        <v>1298.26</v>
      </c>
      <c r="G318" s="29">
        <v>1442.18</v>
      </c>
      <c r="H318" s="29">
        <v>1594</v>
      </c>
      <c r="I318" s="29">
        <v>1646</v>
      </c>
      <c r="J318" s="29">
        <v>1678</v>
      </c>
      <c r="K318" s="29">
        <v>1883</v>
      </c>
      <c r="L318" s="30">
        <v>1895</v>
      </c>
    </row>
    <row r="319" spans="1:12" x14ac:dyDescent="0.25">
      <c r="A319" s="1326"/>
      <c r="B319" s="1270"/>
      <c r="C319" s="1330" t="s">
        <v>426</v>
      </c>
      <c r="D319" s="1331"/>
      <c r="E319" s="28"/>
      <c r="F319" s="29">
        <v>771.76</v>
      </c>
      <c r="G319" s="29">
        <v>978.19</v>
      </c>
      <c r="H319" s="29">
        <v>1116</v>
      </c>
      <c r="I319" s="29">
        <v>1159</v>
      </c>
      <c r="J319" s="29">
        <v>1194</v>
      </c>
      <c r="K319" s="29">
        <v>1359</v>
      </c>
      <c r="L319" s="30">
        <v>1377</v>
      </c>
    </row>
    <row r="320" spans="1:12" x14ac:dyDescent="0.25">
      <c r="A320" s="1326"/>
      <c r="B320" s="1270"/>
      <c r="C320" s="1332" t="s">
        <v>427</v>
      </c>
      <c r="D320" s="1333"/>
      <c r="E320" s="28"/>
      <c r="F320" s="31">
        <f t="shared" ref="F320:L320" si="17">+F319-F318</f>
        <v>-526.5</v>
      </c>
      <c r="G320" s="31">
        <f t="shared" si="17"/>
        <v>-463.99</v>
      </c>
      <c r="H320" s="31">
        <f t="shared" si="17"/>
        <v>-478</v>
      </c>
      <c r="I320" s="31">
        <f t="shared" si="17"/>
        <v>-487</v>
      </c>
      <c r="J320" s="31">
        <f t="shared" si="17"/>
        <v>-484</v>
      </c>
      <c r="K320" s="31">
        <f t="shared" si="17"/>
        <v>-524</v>
      </c>
      <c r="L320" s="32">
        <f t="shared" si="17"/>
        <v>-518</v>
      </c>
    </row>
    <row r="321" spans="1:12" ht="16.5" thickBot="1" x14ac:dyDescent="0.3">
      <c r="A321" s="1326"/>
      <c r="B321" s="1327"/>
      <c r="C321" s="1334" t="s">
        <v>428</v>
      </c>
      <c r="D321" s="1335"/>
      <c r="E321" s="33"/>
      <c r="F321" s="34">
        <f t="shared" ref="F321:L321" si="18">(F319-F318)/F318*100</f>
        <v>-40.554280344461048</v>
      </c>
      <c r="G321" s="34">
        <f t="shared" si="18"/>
        <v>-32.172821700481215</v>
      </c>
      <c r="H321" s="34">
        <f t="shared" si="18"/>
        <v>-29.987452948557092</v>
      </c>
      <c r="I321" s="34">
        <f t="shared" si="18"/>
        <v>-29.586877278250306</v>
      </c>
      <c r="J321" s="34">
        <f t="shared" si="18"/>
        <v>-28.843861740166865</v>
      </c>
      <c r="K321" s="34">
        <f t="shared" si="18"/>
        <v>-27.82793414763675</v>
      </c>
      <c r="L321" s="35">
        <f t="shared" si="18"/>
        <v>-27.335092348284963</v>
      </c>
    </row>
    <row r="322" spans="1:12" ht="15" customHeight="1" x14ac:dyDescent="0.25">
      <c r="A322" s="1326"/>
      <c r="B322" s="1357" t="s">
        <v>429</v>
      </c>
      <c r="C322" s="1306" t="s">
        <v>430</v>
      </c>
      <c r="D322" s="1147"/>
      <c r="E322" s="36"/>
      <c r="F322" s="36"/>
      <c r="G322" s="37">
        <v>41.965382467895026</v>
      </c>
      <c r="H322" s="37">
        <v>41.125851559698816</v>
      </c>
      <c r="I322" s="37">
        <v>42.379679144385022</v>
      </c>
      <c r="J322" s="37">
        <v>48.784530386740329</v>
      </c>
      <c r="K322" s="37">
        <v>48.728892187789938</v>
      </c>
      <c r="L322" s="38">
        <v>50.1</v>
      </c>
    </row>
    <row r="323" spans="1:12" x14ac:dyDescent="0.25">
      <c r="A323" s="1326"/>
      <c r="B323" s="1326"/>
      <c r="C323" s="1123" t="s">
        <v>431</v>
      </c>
      <c r="D323" s="1124"/>
      <c r="E323" s="28"/>
      <c r="F323" s="28"/>
      <c r="G323" s="29">
        <v>44.19222410045883</v>
      </c>
      <c r="H323" s="29">
        <v>43.393234672304438</v>
      </c>
      <c r="I323" s="29">
        <v>44.748249416472156</v>
      </c>
      <c r="J323" s="29">
        <v>51.490630323679731</v>
      </c>
      <c r="K323" s="29">
        <v>51.554621848739487</v>
      </c>
      <c r="L323" s="39">
        <v>53</v>
      </c>
    </row>
    <row r="324" spans="1:12" x14ac:dyDescent="0.25">
      <c r="A324" s="1326"/>
      <c r="B324" s="1326"/>
      <c r="C324" s="1123" t="s">
        <v>432</v>
      </c>
      <c r="D324" s="1124"/>
      <c r="E324" s="28"/>
      <c r="F324" s="28"/>
      <c r="G324" s="29">
        <v>40.049854590776903</v>
      </c>
      <c r="H324" s="29">
        <v>39.253763910102549</v>
      </c>
      <c r="I324" s="29">
        <v>40.476828288240021</v>
      </c>
      <c r="J324" s="29">
        <v>46.722907203114858</v>
      </c>
      <c r="K324" s="29">
        <v>46.493851777999332</v>
      </c>
      <c r="L324" s="39">
        <v>47.9</v>
      </c>
    </row>
    <row r="325" spans="1:12" ht="16.5" thickBot="1" x14ac:dyDescent="0.3">
      <c r="A325" s="1326"/>
      <c r="B325" s="1358"/>
      <c r="C325" s="1359" t="s">
        <v>354</v>
      </c>
      <c r="D325" s="1225"/>
      <c r="E325" s="33"/>
      <c r="F325" s="33"/>
      <c r="G325" s="34">
        <f t="shared" ref="G325:L325" si="19">+G324-G323</f>
        <v>-4.1423695096819273</v>
      </c>
      <c r="H325" s="34">
        <f t="shared" si="19"/>
        <v>-4.1394707622018885</v>
      </c>
      <c r="I325" s="34">
        <f t="shared" si="19"/>
        <v>-4.2714211282321344</v>
      </c>
      <c r="J325" s="34">
        <f t="shared" si="19"/>
        <v>-4.7677231205648738</v>
      </c>
      <c r="K325" s="34">
        <f t="shared" si="19"/>
        <v>-5.0607700707401548</v>
      </c>
      <c r="L325" s="35">
        <f t="shared" si="19"/>
        <v>-5.1000000000000014</v>
      </c>
    </row>
    <row r="326" spans="1:12" ht="18.75" x14ac:dyDescent="0.25">
      <c r="A326" s="1326"/>
      <c r="B326" s="1143" t="s">
        <v>521</v>
      </c>
      <c r="C326" s="1265" t="s">
        <v>434</v>
      </c>
      <c r="D326" s="146" t="s">
        <v>435</v>
      </c>
      <c r="E326" s="36"/>
      <c r="F326" s="36"/>
      <c r="G326" s="36"/>
      <c r="H326" s="36"/>
      <c r="I326" s="40">
        <v>85</v>
      </c>
      <c r="J326" s="40">
        <v>30</v>
      </c>
      <c r="K326" s="40">
        <v>21</v>
      </c>
      <c r="L326" s="1059">
        <v>10</v>
      </c>
    </row>
    <row r="327" spans="1:12" ht="18.75" x14ac:dyDescent="0.25">
      <c r="A327" s="1326"/>
      <c r="B327" s="1144"/>
      <c r="C327" s="1360"/>
      <c r="D327" s="147" t="s">
        <v>436</v>
      </c>
      <c r="E327" s="28"/>
      <c r="F327" s="28"/>
      <c r="G327" s="28"/>
      <c r="H327" s="28"/>
      <c r="I327" s="28">
        <v>28</v>
      </c>
      <c r="J327" s="28">
        <v>14</v>
      </c>
      <c r="K327" s="28">
        <v>8</v>
      </c>
      <c r="L327" s="1059">
        <v>7</v>
      </c>
    </row>
    <row r="328" spans="1:12" ht="18.75" x14ac:dyDescent="0.25">
      <c r="A328" s="1326"/>
      <c r="B328" s="1144"/>
      <c r="C328" s="1360"/>
      <c r="D328" s="28" t="s">
        <v>437</v>
      </c>
      <c r="E328" s="28"/>
      <c r="F328" s="28"/>
      <c r="G328" s="28"/>
      <c r="H328" s="28"/>
      <c r="I328" s="28">
        <v>57</v>
      </c>
      <c r="J328" s="28">
        <v>16</v>
      </c>
      <c r="K328" s="28">
        <v>13</v>
      </c>
      <c r="L328" s="1059">
        <v>3</v>
      </c>
    </row>
    <row r="329" spans="1:12" x14ac:dyDescent="0.25">
      <c r="A329" s="1326"/>
      <c r="B329" s="1144"/>
      <c r="C329" s="1360"/>
      <c r="D329" s="148" t="s">
        <v>353</v>
      </c>
      <c r="E329" s="28"/>
      <c r="F329" s="28"/>
      <c r="G329" s="28"/>
      <c r="H329" s="28"/>
      <c r="I329" s="41">
        <f>I328-I327</f>
        <v>29</v>
      </c>
      <c r="J329" s="41">
        <f>J328-J327</f>
        <v>2</v>
      </c>
      <c r="K329" s="42">
        <f>K328-K327</f>
        <v>5</v>
      </c>
      <c r="L329" s="42">
        <f>L328-L327</f>
        <v>-4</v>
      </c>
    </row>
    <row r="330" spans="1:12" ht="16.5" thickBot="1" x14ac:dyDescent="0.3">
      <c r="A330" s="1326"/>
      <c r="B330" s="1144"/>
      <c r="C330" s="1361"/>
      <c r="D330" s="217" t="s">
        <v>270</v>
      </c>
      <c r="E330" s="33"/>
      <c r="F330" s="33"/>
      <c r="G330" s="33"/>
      <c r="H330" s="33"/>
      <c r="I330" s="45">
        <f>I328/I326*100</f>
        <v>67.058823529411754</v>
      </c>
      <c r="J330" s="45">
        <f>J328/J326*100</f>
        <v>53.333333333333336</v>
      </c>
      <c r="K330" s="45">
        <f>K328/K326*100</f>
        <v>61.904761904761905</v>
      </c>
      <c r="L330" s="45">
        <f>L328/L326*100</f>
        <v>30</v>
      </c>
    </row>
    <row r="331" spans="1:12" ht="18.75" x14ac:dyDescent="0.25">
      <c r="A331" s="1326"/>
      <c r="B331" s="1144"/>
      <c r="C331" s="1227" t="s">
        <v>438</v>
      </c>
      <c r="D331" s="214" t="s">
        <v>435</v>
      </c>
      <c r="E331" s="122"/>
      <c r="F331" s="122"/>
      <c r="G331" s="122"/>
      <c r="H331" s="122"/>
      <c r="I331" s="202">
        <v>136</v>
      </c>
      <c r="J331" s="202">
        <v>57</v>
      </c>
      <c r="K331" s="202">
        <v>29</v>
      </c>
      <c r="L331" s="1059">
        <v>31</v>
      </c>
    </row>
    <row r="332" spans="1:12" ht="18.75" x14ac:dyDescent="0.25">
      <c r="A332" s="1326"/>
      <c r="B332" s="1144"/>
      <c r="C332" s="1268"/>
      <c r="D332" s="147" t="s">
        <v>436</v>
      </c>
      <c r="E332" s="28"/>
      <c r="F332" s="28"/>
      <c r="G332" s="28"/>
      <c r="H332" s="28"/>
      <c r="I332" s="28">
        <v>62</v>
      </c>
      <c r="J332" s="28">
        <v>23</v>
      </c>
      <c r="K332" s="28">
        <v>11</v>
      </c>
      <c r="L332" s="1059">
        <v>15</v>
      </c>
    </row>
    <row r="333" spans="1:12" ht="18.75" x14ac:dyDescent="0.25">
      <c r="A333" s="1326"/>
      <c r="B333" s="1144"/>
      <c r="C333" s="1268"/>
      <c r="D333" s="28" t="s">
        <v>437</v>
      </c>
      <c r="E333" s="28"/>
      <c r="F333" s="28"/>
      <c r="G333" s="28"/>
      <c r="H333" s="28"/>
      <c r="I333" s="28">
        <v>74</v>
      </c>
      <c r="J333" s="28">
        <v>34</v>
      </c>
      <c r="K333" s="28">
        <v>18</v>
      </c>
      <c r="L333" s="1059">
        <v>16</v>
      </c>
    </row>
    <row r="334" spans="1:12" x14ac:dyDescent="0.25">
      <c r="A334" s="1326"/>
      <c r="B334" s="1144"/>
      <c r="C334" s="1268"/>
      <c r="D334" s="148" t="s">
        <v>353</v>
      </c>
      <c r="E334" s="28"/>
      <c r="F334" s="28"/>
      <c r="G334" s="28"/>
      <c r="H334" s="28"/>
      <c r="I334" s="41">
        <f>I333-I332</f>
        <v>12</v>
      </c>
      <c r="J334" s="41">
        <f>J333-J332</f>
        <v>11</v>
      </c>
      <c r="K334" s="41">
        <f>K333-K332</f>
        <v>7</v>
      </c>
      <c r="L334" s="41">
        <f>L333-L332</f>
        <v>1</v>
      </c>
    </row>
    <row r="335" spans="1:12" ht="16.5" thickBot="1" x14ac:dyDescent="0.3">
      <c r="A335" s="1326"/>
      <c r="B335" s="1145"/>
      <c r="C335" s="1362"/>
      <c r="D335" s="150" t="s">
        <v>270</v>
      </c>
      <c r="E335" s="110"/>
      <c r="F335" s="110"/>
      <c r="G335" s="110"/>
      <c r="H335" s="110"/>
      <c r="I335" s="111">
        <f>I333/I331*100</f>
        <v>54.411764705882348</v>
      </c>
      <c r="J335" s="111">
        <f>J333/J331*100</f>
        <v>59.649122807017541</v>
      </c>
      <c r="K335" s="111">
        <f>K333/K331*100</f>
        <v>62.068965517241381</v>
      </c>
      <c r="L335" s="111">
        <f>L333/L331*100</f>
        <v>51.612903225806448</v>
      </c>
    </row>
    <row r="336" spans="1:12" x14ac:dyDescent="0.25">
      <c r="A336" s="1326"/>
      <c r="B336" s="1357" t="s">
        <v>180</v>
      </c>
      <c r="C336" s="1147" t="s">
        <v>435</v>
      </c>
      <c r="D336" s="1147"/>
      <c r="E336" s="46"/>
      <c r="F336" s="23"/>
      <c r="G336" s="23"/>
      <c r="H336" s="13">
        <v>14168</v>
      </c>
      <c r="I336" s="13">
        <v>13823</v>
      </c>
      <c r="J336" s="13">
        <v>13900</v>
      </c>
      <c r="K336" s="47">
        <v>14329</v>
      </c>
      <c r="L336" s="275"/>
    </row>
    <row r="337" spans="1:15" x14ac:dyDescent="0.25">
      <c r="A337" s="1326"/>
      <c r="B337" s="1326"/>
      <c r="C337" s="1124" t="s">
        <v>436</v>
      </c>
      <c r="D337" s="1124"/>
      <c r="E337" s="17"/>
      <c r="F337" s="18"/>
      <c r="G337" s="18"/>
      <c r="H337" s="14">
        <v>4944</v>
      </c>
      <c r="I337" s="14">
        <v>4820</v>
      </c>
      <c r="J337" s="14">
        <v>4855</v>
      </c>
      <c r="K337" s="48">
        <v>5034</v>
      </c>
      <c r="L337" s="276"/>
    </row>
    <row r="338" spans="1:15" x14ac:dyDescent="0.25">
      <c r="A338" s="1326"/>
      <c r="B338" s="1326"/>
      <c r="C338" s="1124" t="s">
        <v>437</v>
      </c>
      <c r="D338" s="1124"/>
      <c r="E338" s="17"/>
      <c r="F338" s="18"/>
      <c r="G338" s="18"/>
      <c r="H338" s="14">
        <v>9224</v>
      </c>
      <c r="I338" s="14">
        <v>9003</v>
      </c>
      <c r="J338" s="14">
        <v>9045</v>
      </c>
      <c r="K338" s="48">
        <v>9295</v>
      </c>
      <c r="L338" s="276"/>
    </row>
    <row r="339" spans="1:15" x14ac:dyDescent="0.25">
      <c r="A339" s="1326"/>
      <c r="B339" s="1326"/>
      <c r="C339" s="1112" t="s">
        <v>353</v>
      </c>
      <c r="D339" s="1112"/>
      <c r="E339" s="17"/>
      <c r="F339" s="18"/>
      <c r="G339" s="18"/>
      <c r="H339" s="16">
        <f>H338-H337</f>
        <v>4280</v>
      </c>
      <c r="I339" s="16">
        <f>I338-I337</f>
        <v>4183</v>
      </c>
      <c r="J339" s="16">
        <f>J338-J337</f>
        <v>4190</v>
      </c>
      <c r="K339" s="49">
        <f>K338-K337</f>
        <v>4261</v>
      </c>
      <c r="L339" s="276"/>
    </row>
    <row r="340" spans="1:15" ht="16.5" thickBot="1" x14ac:dyDescent="0.3">
      <c r="A340" s="1326"/>
      <c r="B340" s="1326"/>
      <c r="C340" s="1178" t="s">
        <v>270</v>
      </c>
      <c r="D340" s="1178"/>
      <c r="E340" s="50"/>
      <c r="F340" s="51"/>
      <c r="G340" s="51"/>
      <c r="H340" s="19">
        <f>H338/H336*100</f>
        <v>65.10446075663468</v>
      </c>
      <c r="I340" s="19">
        <f>I338/I336*100</f>
        <v>65.130579469000935</v>
      </c>
      <c r="J340" s="19">
        <f>J338/J336*100</f>
        <v>65.071942446043167</v>
      </c>
      <c r="K340" s="52">
        <f>K338/K336*100</f>
        <v>64.868448600739754</v>
      </c>
      <c r="L340" s="277"/>
    </row>
    <row r="341" spans="1:15" ht="16.5" thickBot="1" x14ac:dyDescent="0.3">
      <c r="A341" s="151" t="s">
        <v>248</v>
      </c>
      <c r="B341" s="694" t="s">
        <v>249</v>
      </c>
      <c r="C341" s="1176"/>
      <c r="D341" s="1176"/>
      <c r="E341" s="695">
        <v>2005</v>
      </c>
      <c r="F341" s="695">
        <v>2010</v>
      </c>
      <c r="G341" s="695">
        <v>2015</v>
      </c>
      <c r="H341" s="695">
        <v>2020</v>
      </c>
      <c r="I341" s="695">
        <v>2021</v>
      </c>
      <c r="J341" s="695">
        <v>2022</v>
      </c>
      <c r="K341" s="695">
        <v>2023</v>
      </c>
      <c r="L341" s="696">
        <v>2024</v>
      </c>
    </row>
    <row r="342" spans="1:15" ht="16.5" thickBot="1" x14ac:dyDescent="0.3">
      <c r="A342" s="1385" t="s">
        <v>439</v>
      </c>
      <c r="B342" s="1364" t="s">
        <v>440</v>
      </c>
      <c r="C342" s="1366" t="s">
        <v>251</v>
      </c>
      <c r="D342" s="1366"/>
      <c r="E342" s="123">
        <v>82.1</v>
      </c>
      <c r="F342" s="124">
        <v>84.4</v>
      </c>
      <c r="G342" s="124">
        <v>84.6</v>
      </c>
      <c r="H342" s="124">
        <v>82.4</v>
      </c>
      <c r="I342" s="124">
        <v>85.1</v>
      </c>
      <c r="J342" s="598">
        <v>85.654471832866122</v>
      </c>
      <c r="K342" s="967">
        <v>85.9</v>
      </c>
      <c r="L342" s="600"/>
      <c r="M342" s="326"/>
    </row>
    <row r="343" spans="1:15" ht="16.5" thickBot="1" x14ac:dyDescent="0.3">
      <c r="A343" s="1385"/>
      <c r="B343" s="1364"/>
      <c r="C343" s="1367" t="s">
        <v>257</v>
      </c>
      <c r="D343" s="1367"/>
      <c r="E343" s="57">
        <v>78.7</v>
      </c>
      <c r="F343" s="58">
        <v>81</v>
      </c>
      <c r="G343" s="58">
        <v>81.400000000000006</v>
      </c>
      <c r="H343" s="58">
        <v>79</v>
      </c>
      <c r="I343" s="58">
        <v>82.2</v>
      </c>
      <c r="J343" s="599">
        <v>83.258099166307048</v>
      </c>
      <c r="K343" s="759">
        <v>83.3</v>
      </c>
      <c r="L343" s="601"/>
    </row>
    <row r="344" spans="1:15" ht="16.5" thickBot="1" x14ac:dyDescent="0.3">
      <c r="A344" s="1385"/>
      <c r="B344" s="1364"/>
      <c r="C344" s="1368" t="s">
        <v>263</v>
      </c>
      <c r="D344" s="1368"/>
      <c r="E344" s="57">
        <v>84.8</v>
      </c>
      <c r="F344" s="58">
        <v>87</v>
      </c>
      <c r="G344" s="58">
        <v>87.2</v>
      </c>
      <c r="H344" s="58">
        <v>85.5</v>
      </c>
      <c r="I344" s="58">
        <v>87.4</v>
      </c>
      <c r="J344" s="599">
        <v>87.456629178327901</v>
      </c>
      <c r="K344" s="759">
        <v>87.8</v>
      </c>
      <c r="L344" s="601"/>
    </row>
    <row r="345" spans="1:15" ht="16.5" thickBot="1" x14ac:dyDescent="0.3">
      <c r="A345" s="1385"/>
      <c r="B345" s="1365"/>
      <c r="C345" s="1369" t="s">
        <v>441</v>
      </c>
      <c r="D345" s="1369"/>
      <c r="E345" s="109">
        <f t="shared" ref="E345:K345" si="20">+E344-E343</f>
        <v>6.0999999999999943</v>
      </c>
      <c r="F345" s="109">
        <f t="shared" si="20"/>
        <v>6</v>
      </c>
      <c r="G345" s="109">
        <f t="shared" si="20"/>
        <v>5.7999999999999972</v>
      </c>
      <c r="H345" s="109">
        <f t="shared" si="20"/>
        <v>6.5</v>
      </c>
      <c r="I345" s="109">
        <f t="shared" si="20"/>
        <v>5.2000000000000028</v>
      </c>
      <c r="J345" s="109">
        <f t="shared" si="20"/>
        <v>4.1985300120208535</v>
      </c>
      <c r="K345" s="602">
        <f t="shared" si="20"/>
        <v>4.5</v>
      </c>
      <c r="L345" s="22"/>
    </row>
    <row r="346" spans="1:15" s="10" customFormat="1" ht="16.5" thickBot="1" x14ac:dyDescent="0.3">
      <c r="A346" s="1385"/>
      <c r="B346" s="1370" t="s">
        <v>192</v>
      </c>
      <c r="C346" s="1366" t="s">
        <v>251</v>
      </c>
      <c r="D346" s="1366"/>
      <c r="E346" s="60"/>
      <c r="F346" s="61"/>
      <c r="G346" s="62">
        <v>9032</v>
      </c>
      <c r="H346" s="62">
        <v>9891</v>
      </c>
      <c r="I346" s="62">
        <v>9917</v>
      </c>
      <c r="J346" s="63">
        <v>10452</v>
      </c>
      <c r="K346" s="63">
        <v>12152</v>
      </c>
      <c r="L346" s="108"/>
      <c r="M346" s="64"/>
      <c r="N346" s="64"/>
      <c r="O346" s="64"/>
    </row>
    <row r="347" spans="1:15" ht="16.5" thickBot="1" x14ac:dyDescent="0.3">
      <c r="A347" s="1385"/>
      <c r="B347" s="1370"/>
      <c r="C347" s="1367" t="s">
        <v>257</v>
      </c>
      <c r="D347" s="1367"/>
      <c r="E347" s="65"/>
      <c r="F347" s="66"/>
      <c r="G347" s="67">
        <v>4253</v>
      </c>
      <c r="H347" s="67">
        <v>4419</v>
      </c>
      <c r="I347" s="67">
        <v>4422</v>
      </c>
      <c r="J347" s="14">
        <v>4659</v>
      </c>
      <c r="K347" s="14">
        <v>5809</v>
      </c>
      <c r="L347" s="21"/>
    </row>
    <row r="348" spans="1:15" ht="16.5" thickBot="1" x14ac:dyDescent="0.3">
      <c r="A348" s="1385"/>
      <c r="B348" s="1370"/>
      <c r="C348" s="1368" t="s">
        <v>263</v>
      </c>
      <c r="D348" s="1368"/>
      <c r="E348" s="65"/>
      <c r="F348" s="66"/>
      <c r="G348" s="67">
        <v>4779</v>
      </c>
      <c r="H348" s="67">
        <v>5472</v>
      </c>
      <c r="I348" s="67">
        <v>5495</v>
      </c>
      <c r="J348" s="14">
        <v>5793</v>
      </c>
      <c r="K348" s="14">
        <v>6343</v>
      </c>
      <c r="L348" s="21"/>
    </row>
    <row r="349" spans="1:15" ht="16.5" thickBot="1" x14ac:dyDescent="0.3">
      <c r="A349" s="1385"/>
      <c r="B349" s="1370"/>
      <c r="C349" s="1371" t="s">
        <v>270</v>
      </c>
      <c r="D349" s="1372"/>
      <c r="E349" s="117"/>
      <c r="F349" s="118"/>
      <c r="G349" s="119">
        <f>G348/G346*100</f>
        <v>52.911868910540306</v>
      </c>
      <c r="H349" s="119">
        <f>H348/H346*100</f>
        <v>55.32302092811647</v>
      </c>
      <c r="I349" s="119">
        <f>I348/I346*100</f>
        <v>55.409902188161745</v>
      </c>
      <c r="J349" s="119">
        <f>J348/J346*100</f>
        <v>55.424799081515495</v>
      </c>
      <c r="K349" s="119">
        <f>K348/K346*100</f>
        <v>52.197169190256744</v>
      </c>
      <c r="L349" s="53"/>
    </row>
    <row r="350" spans="1:15" ht="16.5" thickBot="1" x14ac:dyDescent="0.3">
      <c r="A350" s="151" t="s">
        <v>248</v>
      </c>
      <c r="B350" s="694" t="s">
        <v>249</v>
      </c>
      <c r="C350" s="1176"/>
      <c r="D350" s="1176"/>
      <c r="E350" s="695"/>
      <c r="F350" s="695" t="s">
        <v>443</v>
      </c>
      <c r="G350" s="695" t="s">
        <v>444</v>
      </c>
      <c r="H350" s="695" t="s">
        <v>445</v>
      </c>
      <c r="I350" s="695" t="s">
        <v>446</v>
      </c>
      <c r="J350" s="695" t="s">
        <v>447</v>
      </c>
      <c r="K350" s="695" t="s">
        <v>448</v>
      </c>
      <c r="L350" s="696" t="s">
        <v>449</v>
      </c>
    </row>
    <row r="351" spans="1:15" ht="15" customHeight="1" x14ac:dyDescent="0.25">
      <c r="A351" s="1386" t="s">
        <v>450</v>
      </c>
      <c r="B351" s="1346" t="s">
        <v>199</v>
      </c>
      <c r="C351" s="1343" t="s">
        <v>451</v>
      </c>
      <c r="D351" s="238" t="s">
        <v>435</v>
      </c>
      <c r="E351" s="192"/>
      <c r="F351" s="192">
        <f t="shared" ref="F351:K351" si="21">SUM(F353+F352)</f>
        <v>9499</v>
      </c>
      <c r="G351" s="192">
        <f t="shared" si="21"/>
        <v>9333</v>
      </c>
      <c r="H351" s="192">
        <f t="shared" si="21"/>
        <v>8303</v>
      </c>
      <c r="I351" s="192">
        <f t="shared" si="21"/>
        <v>7836</v>
      </c>
      <c r="J351" s="192">
        <f t="shared" si="21"/>
        <v>7494</v>
      </c>
      <c r="K351" s="192">
        <f t="shared" si="21"/>
        <v>7245</v>
      </c>
      <c r="L351" s="716"/>
    </row>
    <row r="352" spans="1:15" x14ac:dyDescent="0.25">
      <c r="A352" s="1386"/>
      <c r="B352" s="1346"/>
      <c r="C352" s="1344"/>
      <c r="D352" s="227" t="s">
        <v>436</v>
      </c>
      <c r="E352" s="96"/>
      <c r="F352" s="96">
        <v>4689</v>
      </c>
      <c r="G352" s="96">
        <v>4800</v>
      </c>
      <c r="H352" s="96">
        <v>4293</v>
      </c>
      <c r="I352" s="96">
        <v>4056</v>
      </c>
      <c r="J352" s="96">
        <v>3876</v>
      </c>
      <c r="K352" s="157">
        <v>3759</v>
      </c>
      <c r="L352" s="276"/>
    </row>
    <row r="353" spans="1:15" ht="16.5" thickBot="1" x14ac:dyDescent="0.3">
      <c r="A353" s="1386"/>
      <c r="B353" s="1346"/>
      <c r="C353" s="1345"/>
      <c r="D353" s="239" t="s">
        <v>437</v>
      </c>
      <c r="E353" s="190"/>
      <c r="F353" s="190">
        <v>4810</v>
      </c>
      <c r="G353" s="190">
        <v>4533</v>
      </c>
      <c r="H353" s="190">
        <v>4010</v>
      </c>
      <c r="I353" s="190">
        <v>3780</v>
      </c>
      <c r="J353" s="190">
        <v>3618</v>
      </c>
      <c r="K353" s="197">
        <v>3486</v>
      </c>
      <c r="L353" s="279"/>
    </row>
    <row r="354" spans="1:15" s="10" customFormat="1" ht="15" customHeight="1" x14ac:dyDescent="0.25">
      <c r="A354" s="1386"/>
      <c r="B354" s="1346"/>
      <c r="C354" s="1347" t="s">
        <v>452</v>
      </c>
      <c r="D354" s="229" t="s">
        <v>435</v>
      </c>
      <c r="E354" s="195"/>
      <c r="F354" s="195">
        <v>4991</v>
      </c>
      <c r="G354" s="195">
        <v>5225</v>
      </c>
      <c r="H354" s="195">
        <v>4719</v>
      </c>
      <c r="I354" s="195">
        <v>4632</v>
      </c>
      <c r="J354" s="195">
        <v>4575</v>
      </c>
      <c r="K354" s="195">
        <v>4452</v>
      </c>
      <c r="L354" s="275"/>
      <c r="M354" s="64"/>
      <c r="N354" s="64"/>
      <c r="O354" s="64"/>
    </row>
    <row r="355" spans="1:15" x14ac:dyDescent="0.25">
      <c r="A355" s="1386"/>
      <c r="B355" s="1346"/>
      <c r="C355" s="1348"/>
      <c r="D355" s="227" t="s">
        <v>436</v>
      </c>
      <c r="E355" s="96"/>
      <c r="F355" s="96">
        <v>2434</v>
      </c>
      <c r="G355" s="96">
        <v>2655</v>
      </c>
      <c r="H355" s="96">
        <v>2444</v>
      </c>
      <c r="I355" s="96">
        <v>2384</v>
      </c>
      <c r="J355" s="96">
        <v>2410</v>
      </c>
      <c r="K355" s="157">
        <v>2361</v>
      </c>
      <c r="L355" s="282"/>
    </row>
    <row r="356" spans="1:15" ht="16.5" thickBot="1" x14ac:dyDescent="0.3">
      <c r="A356" s="1386"/>
      <c r="B356" s="1346"/>
      <c r="C356" s="1349"/>
      <c r="D356" s="239" t="s">
        <v>437</v>
      </c>
      <c r="E356" s="190"/>
      <c r="F356" s="190">
        <v>2557</v>
      </c>
      <c r="G356" s="190">
        <v>2570</v>
      </c>
      <c r="H356" s="190">
        <v>2275</v>
      </c>
      <c r="I356" s="190">
        <v>2248</v>
      </c>
      <c r="J356" s="190">
        <v>2165</v>
      </c>
      <c r="K356" s="197">
        <v>2091</v>
      </c>
      <c r="L356" s="279"/>
    </row>
    <row r="357" spans="1:15" x14ac:dyDescent="0.25">
      <c r="A357" s="1386"/>
      <c r="B357" s="1346"/>
      <c r="C357" s="1352" t="s">
        <v>453</v>
      </c>
      <c r="D357" s="1250"/>
      <c r="E357" s="195"/>
      <c r="F357" s="37">
        <f>+(F354/F351)*100</f>
        <v>52.542372881355938</v>
      </c>
      <c r="G357" s="37">
        <f t="shared" ref="G357:J357" si="22">+(G354/G351)*100</f>
        <v>55.9841422907961</v>
      </c>
      <c r="H357" s="37">
        <f t="shared" si="22"/>
        <v>56.834878959412258</v>
      </c>
      <c r="I357" s="37">
        <f t="shared" si="22"/>
        <v>59.111791730474728</v>
      </c>
      <c r="J357" s="37">
        <f t="shared" si="22"/>
        <v>61.048839071257014</v>
      </c>
      <c r="K357" s="37">
        <f>+(K354/K351)*100</f>
        <v>61.449275362318843</v>
      </c>
      <c r="L357" s="275"/>
    </row>
    <row r="358" spans="1:15" x14ac:dyDescent="0.25">
      <c r="A358" s="1386"/>
      <c r="B358" s="1346"/>
      <c r="C358" s="1363" t="s">
        <v>454</v>
      </c>
      <c r="D358" s="1236"/>
      <c r="E358" s="28"/>
      <c r="F358" s="187">
        <v>51.908722542119854</v>
      </c>
      <c r="G358" s="187">
        <v>55.3125</v>
      </c>
      <c r="H358" s="187">
        <v>56.929885860703465</v>
      </c>
      <c r="I358" s="187">
        <v>58.777120315581854</v>
      </c>
      <c r="J358" s="187">
        <v>62.177502579979361</v>
      </c>
      <c r="K358" s="187">
        <v>62.177502579979361</v>
      </c>
      <c r="L358" s="276"/>
    </row>
    <row r="359" spans="1:15" x14ac:dyDescent="0.25">
      <c r="A359" s="1386"/>
      <c r="B359" s="1346"/>
      <c r="C359" s="1363" t="s">
        <v>455</v>
      </c>
      <c r="D359" s="1236"/>
      <c r="E359" s="28"/>
      <c r="F359" s="187">
        <v>53.160083160083161</v>
      </c>
      <c r="G359" s="187">
        <v>56.695345245973968</v>
      </c>
      <c r="H359" s="187">
        <v>56.733167082294266</v>
      </c>
      <c r="I359" s="187">
        <v>59.470899470899475</v>
      </c>
      <c r="J359" s="187">
        <v>59.839690436705361</v>
      </c>
      <c r="K359" s="187">
        <v>59.839690436705361</v>
      </c>
      <c r="L359" s="282"/>
    </row>
    <row r="360" spans="1:15" ht="16.5" thickBot="1" x14ac:dyDescent="0.3">
      <c r="A360" s="1386"/>
      <c r="B360" s="1346"/>
      <c r="C360" s="1383" t="s">
        <v>354</v>
      </c>
      <c r="D360" s="1384"/>
      <c r="E360" s="110"/>
      <c r="F360" s="717">
        <f t="shared" ref="F360:K360" si="23">F359-F358</f>
        <v>1.2513606179633072</v>
      </c>
      <c r="G360" s="718">
        <f t="shared" si="23"/>
        <v>1.382845245973968</v>
      </c>
      <c r="H360" s="349">
        <f t="shared" si="23"/>
        <v>-0.19671877840919905</v>
      </c>
      <c r="I360" s="718">
        <f t="shared" si="23"/>
        <v>0.69377915531762113</v>
      </c>
      <c r="J360" s="349">
        <f t="shared" si="23"/>
        <v>-2.3378121432740002</v>
      </c>
      <c r="K360" s="349">
        <f t="shared" si="23"/>
        <v>-2.3378121432740002</v>
      </c>
      <c r="L360" s="277"/>
    </row>
    <row r="361" spans="1:15" ht="16.5" thickBot="1" x14ac:dyDescent="0.3">
      <c r="A361" s="151" t="s">
        <v>248</v>
      </c>
      <c r="B361" s="694" t="s">
        <v>249</v>
      </c>
      <c r="C361" s="1176"/>
      <c r="D361" s="1176"/>
      <c r="E361" s="695" t="s">
        <v>442</v>
      </c>
      <c r="F361" s="695" t="s">
        <v>443</v>
      </c>
      <c r="G361" s="695" t="s">
        <v>444</v>
      </c>
      <c r="H361" s="695" t="s">
        <v>445</v>
      </c>
      <c r="I361" s="695" t="s">
        <v>446</v>
      </c>
      <c r="J361" s="695" t="s">
        <v>447</v>
      </c>
      <c r="K361" s="695" t="s">
        <v>448</v>
      </c>
      <c r="L361" s="696" t="s">
        <v>449</v>
      </c>
    </row>
    <row r="362" spans="1:15" s="10" customFormat="1" ht="15" customHeight="1" x14ac:dyDescent="0.25">
      <c r="A362" s="1382" t="s">
        <v>456</v>
      </c>
      <c r="B362" s="1387" t="s">
        <v>457</v>
      </c>
      <c r="C362" s="1388" t="s">
        <v>458</v>
      </c>
      <c r="D362" s="238" t="s">
        <v>459</v>
      </c>
      <c r="E362" s="192" t="s">
        <v>460</v>
      </c>
      <c r="F362" s="192">
        <v>1048</v>
      </c>
      <c r="G362" s="192">
        <v>1115</v>
      </c>
      <c r="H362" s="192">
        <v>1158</v>
      </c>
      <c r="I362" s="192">
        <v>1125</v>
      </c>
      <c r="J362" s="192">
        <v>1093</v>
      </c>
      <c r="K362" s="962">
        <v>1147</v>
      </c>
      <c r="L362" s="275"/>
      <c r="M362" s="64"/>
      <c r="N362" s="64"/>
      <c r="O362" s="64"/>
    </row>
    <row r="363" spans="1:15" ht="14.1" customHeight="1" x14ac:dyDescent="0.25">
      <c r="A363" s="1382"/>
      <c r="B363" s="1387"/>
      <c r="C363" s="1348"/>
      <c r="D363" s="227" t="s">
        <v>436</v>
      </c>
      <c r="E363" s="96"/>
      <c r="F363" s="96">
        <v>582</v>
      </c>
      <c r="G363" s="96">
        <v>575</v>
      </c>
      <c r="H363" s="96">
        <v>593</v>
      </c>
      <c r="I363" s="96">
        <v>566</v>
      </c>
      <c r="J363" s="96">
        <v>552</v>
      </c>
      <c r="K363" s="963">
        <v>583</v>
      </c>
      <c r="L363" s="282"/>
    </row>
    <row r="364" spans="1:15" ht="16.5" thickBot="1" x14ac:dyDescent="0.3">
      <c r="A364" s="1382"/>
      <c r="B364" s="1387"/>
      <c r="C364" s="1349"/>
      <c r="D364" s="239" t="s">
        <v>437</v>
      </c>
      <c r="E364" s="190"/>
      <c r="F364" s="190">
        <v>466</v>
      </c>
      <c r="G364" s="190">
        <v>540</v>
      </c>
      <c r="H364" s="190">
        <v>565</v>
      </c>
      <c r="I364" s="190">
        <v>559</v>
      </c>
      <c r="J364" s="190">
        <v>541</v>
      </c>
      <c r="K364" s="964">
        <v>564</v>
      </c>
      <c r="L364" s="279"/>
    </row>
    <row r="365" spans="1:15" s="10" customFormat="1" x14ac:dyDescent="0.25">
      <c r="A365" s="1382"/>
      <c r="B365" s="1387"/>
      <c r="C365" s="1347" t="s">
        <v>461</v>
      </c>
      <c r="D365" s="229" t="s">
        <v>459</v>
      </c>
      <c r="E365" s="195"/>
      <c r="F365" s="195">
        <v>610</v>
      </c>
      <c r="G365" s="195">
        <v>618</v>
      </c>
      <c r="H365" s="195">
        <v>706</v>
      </c>
      <c r="I365" s="195">
        <v>667</v>
      </c>
      <c r="J365" s="195">
        <f>322+295</f>
        <v>617</v>
      </c>
      <c r="K365" s="965">
        <v>649</v>
      </c>
      <c r="L365" s="275"/>
      <c r="M365" s="64"/>
      <c r="N365" s="64"/>
      <c r="O365" s="64"/>
    </row>
    <row r="366" spans="1:15" x14ac:dyDescent="0.25">
      <c r="A366" s="1382"/>
      <c r="B366" s="1387"/>
      <c r="C366" s="1348"/>
      <c r="D366" s="227" t="s">
        <v>436</v>
      </c>
      <c r="E366" s="96"/>
      <c r="F366" s="96">
        <v>368</v>
      </c>
      <c r="G366" s="96">
        <v>357</v>
      </c>
      <c r="H366" s="96">
        <v>397</v>
      </c>
      <c r="I366" s="96">
        <v>371</v>
      </c>
      <c r="J366" s="96">
        <f>170+171</f>
        <v>341</v>
      </c>
      <c r="K366" s="963">
        <v>352</v>
      </c>
      <c r="L366" s="282"/>
    </row>
    <row r="367" spans="1:15" ht="16.5" thickBot="1" x14ac:dyDescent="0.3">
      <c r="A367" s="1382"/>
      <c r="B367" s="1387"/>
      <c r="C367" s="1349"/>
      <c r="D367" s="239" t="s">
        <v>437</v>
      </c>
      <c r="E367" s="190"/>
      <c r="F367" s="190">
        <v>242</v>
      </c>
      <c r="G367" s="190">
        <v>261</v>
      </c>
      <c r="H367" s="190">
        <v>309</v>
      </c>
      <c r="I367" s="190">
        <v>296</v>
      </c>
      <c r="J367" s="190">
        <f>152+124</f>
        <v>276</v>
      </c>
      <c r="K367" s="197">
        <v>297</v>
      </c>
      <c r="L367" s="279"/>
    </row>
    <row r="368" spans="1:15" x14ac:dyDescent="0.25">
      <c r="A368" s="1382"/>
      <c r="B368" s="1387"/>
      <c r="C368" s="1389" t="s">
        <v>462</v>
      </c>
      <c r="D368" s="1390"/>
      <c r="E368" s="225"/>
      <c r="F368" s="283">
        <f>F366/F363*100</f>
        <v>63.230240549828174</v>
      </c>
      <c r="G368" s="283">
        <f t="shared" ref="G368:I369" si="24">G366/G363*100</f>
        <v>62.086956521739133</v>
      </c>
      <c r="H368" s="283">
        <f t="shared" si="24"/>
        <v>66.947723440134908</v>
      </c>
      <c r="I368" s="283">
        <f t="shared" si="24"/>
        <v>65.547703180212011</v>
      </c>
      <c r="J368" s="283">
        <f>J366/J363*100</f>
        <v>61.775362318840578</v>
      </c>
      <c r="K368" s="283">
        <f>K366/K363*100</f>
        <v>60.377358490566039</v>
      </c>
      <c r="L368" s="275"/>
    </row>
    <row r="369" spans="1:18" x14ac:dyDescent="0.25">
      <c r="A369" s="1382"/>
      <c r="B369" s="1387"/>
      <c r="C369" s="1123" t="s">
        <v>463</v>
      </c>
      <c r="D369" s="1124"/>
      <c r="E369" s="96"/>
      <c r="F369" s="29">
        <f>F367/F364*100</f>
        <v>51.931330472102999</v>
      </c>
      <c r="G369" s="29">
        <f t="shared" si="24"/>
        <v>48.333333333333336</v>
      </c>
      <c r="H369" s="29">
        <f t="shared" si="24"/>
        <v>54.690265486725664</v>
      </c>
      <c r="I369" s="29">
        <f t="shared" si="24"/>
        <v>52.951699463327373</v>
      </c>
      <c r="J369" s="29">
        <f>J367/J364*100</f>
        <v>51.016635859519411</v>
      </c>
      <c r="K369" s="29">
        <f>K367/K364*100</f>
        <v>52.659574468085104</v>
      </c>
      <c r="L369" s="282"/>
    </row>
    <row r="370" spans="1:18" ht="16.5" thickBot="1" x14ac:dyDescent="0.3">
      <c r="A370" s="1382"/>
      <c r="B370" s="1387"/>
      <c r="C370" s="1353" t="s">
        <v>354</v>
      </c>
      <c r="D370" s="1178"/>
      <c r="E370" s="110"/>
      <c r="F370" s="165">
        <f>+F369-F368</f>
        <v>-11.298910077725175</v>
      </c>
      <c r="G370" s="165">
        <f t="shared" ref="G370:I370" si="25">+G369-G368</f>
        <v>-13.753623188405797</v>
      </c>
      <c r="H370" s="165">
        <f t="shared" si="25"/>
        <v>-12.257457953409244</v>
      </c>
      <c r="I370" s="165">
        <f t="shared" si="25"/>
        <v>-12.596003716884638</v>
      </c>
      <c r="J370" s="165">
        <f>+J369-J368</f>
        <v>-10.758726459321167</v>
      </c>
      <c r="K370" s="165">
        <f>+K369-K368</f>
        <v>-7.7177840224809344</v>
      </c>
      <c r="L370" s="279"/>
      <c r="R370" s="10"/>
    </row>
    <row r="371" spans="1:18" ht="16.5" thickBot="1" x14ac:dyDescent="0.3">
      <c r="A371" s="1382"/>
      <c r="B371" s="697" t="s">
        <v>249</v>
      </c>
      <c r="C371" s="1176"/>
      <c r="D371" s="1176"/>
      <c r="E371" s="695" t="s">
        <v>442</v>
      </c>
      <c r="F371" s="695" t="s">
        <v>443</v>
      </c>
      <c r="G371" s="695" t="s">
        <v>444</v>
      </c>
      <c r="H371" s="695" t="s">
        <v>445</v>
      </c>
      <c r="I371" s="695" t="s">
        <v>446</v>
      </c>
      <c r="J371" s="695" t="s">
        <v>447</v>
      </c>
      <c r="K371" s="695" t="s">
        <v>448</v>
      </c>
      <c r="L371" s="696" t="s">
        <v>449</v>
      </c>
    </row>
    <row r="372" spans="1:18" s="10" customFormat="1" ht="15" customHeight="1" x14ac:dyDescent="0.25">
      <c r="A372" s="1382"/>
      <c r="B372" s="1378" t="s">
        <v>464</v>
      </c>
      <c r="C372" s="1121" t="s">
        <v>459</v>
      </c>
      <c r="D372" s="1122"/>
      <c r="E372" s="202"/>
      <c r="F372" s="192">
        <v>552</v>
      </c>
      <c r="G372" s="192">
        <v>611</v>
      </c>
      <c r="H372" s="192">
        <v>1027</v>
      </c>
      <c r="I372" s="192">
        <v>1035</v>
      </c>
      <c r="J372" s="192">
        <v>1096</v>
      </c>
      <c r="K372" s="202">
        <v>897</v>
      </c>
      <c r="L372" s="278"/>
      <c r="M372" s="11"/>
      <c r="N372" s="64"/>
      <c r="O372" s="64"/>
    </row>
    <row r="373" spans="1:18" x14ac:dyDescent="0.25">
      <c r="A373" s="1382"/>
      <c r="B373" s="1378"/>
      <c r="C373" s="1123" t="s">
        <v>436</v>
      </c>
      <c r="D373" s="1124"/>
      <c r="E373" s="96"/>
      <c r="F373" s="96">
        <v>500</v>
      </c>
      <c r="G373" s="96">
        <v>557</v>
      </c>
      <c r="H373" s="96">
        <v>665</v>
      </c>
      <c r="I373" s="96">
        <v>665</v>
      </c>
      <c r="J373" s="96">
        <v>717</v>
      </c>
      <c r="K373" s="96">
        <v>634</v>
      </c>
      <c r="L373" s="276"/>
    </row>
    <row r="374" spans="1:18" x14ac:dyDescent="0.25">
      <c r="A374" s="1382"/>
      <c r="B374" s="1378"/>
      <c r="C374" s="1123" t="s">
        <v>437</v>
      </c>
      <c r="D374" s="1124"/>
      <c r="E374" s="96"/>
      <c r="F374" s="96">
        <v>52</v>
      </c>
      <c r="G374" s="96">
        <v>54</v>
      </c>
      <c r="H374" s="96">
        <v>362</v>
      </c>
      <c r="I374" s="96">
        <v>370</v>
      </c>
      <c r="J374" s="96">
        <v>379</v>
      </c>
      <c r="K374" s="96">
        <v>263</v>
      </c>
      <c r="L374" s="276"/>
    </row>
    <row r="375" spans="1:18" s="10" customFormat="1" ht="16.5" thickBot="1" x14ac:dyDescent="0.3">
      <c r="A375" s="1382"/>
      <c r="B375" s="1378"/>
      <c r="C375" s="1170" t="s">
        <v>270</v>
      </c>
      <c r="D375" s="1155"/>
      <c r="E375" s="197"/>
      <c r="F375" s="285">
        <f t="shared" ref="F375" si="26">F374/F372*100</f>
        <v>9.4202898550724647</v>
      </c>
      <c r="G375" s="285">
        <f t="shared" ref="G375" si="27">G374/G372*100</f>
        <v>8.8379705400981994</v>
      </c>
      <c r="H375" s="285">
        <f t="shared" ref="H375" si="28">H374/H372*100</f>
        <v>35.248296007789683</v>
      </c>
      <c r="I375" s="285">
        <f t="shared" ref="I375" si="29">I374/I372*100</f>
        <v>35.748792270531396</v>
      </c>
      <c r="J375" s="285">
        <f t="shared" ref="J375:K375" si="30">J374/J372*100</f>
        <v>34.580291970802918</v>
      </c>
      <c r="K375" s="285">
        <f t="shared" si="30"/>
        <v>29.31995540691193</v>
      </c>
      <c r="L375" s="286"/>
      <c r="M375" s="64"/>
      <c r="N375" s="64"/>
      <c r="O375" s="64"/>
    </row>
    <row r="376" spans="1:18" x14ac:dyDescent="0.25">
      <c r="A376" s="1382"/>
      <c r="B376" s="1355"/>
      <c r="C376" s="1281" t="s">
        <v>522</v>
      </c>
      <c r="D376" s="287" t="s">
        <v>251</v>
      </c>
      <c r="E376" s="288"/>
      <c r="F376" s="15">
        <v>155</v>
      </c>
      <c r="G376" s="15">
        <v>176</v>
      </c>
      <c r="H376" s="15">
        <v>223</v>
      </c>
      <c r="I376" s="15">
        <v>216</v>
      </c>
      <c r="J376" s="15">
        <v>206</v>
      </c>
      <c r="K376" s="114">
        <v>183</v>
      </c>
      <c r="L376" s="275"/>
    </row>
    <row r="377" spans="1:18" x14ac:dyDescent="0.25">
      <c r="A377" s="1382"/>
      <c r="B377" s="1355"/>
      <c r="C377" s="1282"/>
      <c r="D377" s="152" t="s">
        <v>257</v>
      </c>
      <c r="E377" s="70"/>
      <c r="F377" s="14">
        <v>149</v>
      </c>
      <c r="G377" s="14">
        <v>168</v>
      </c>
      <c r="H377" s="14">
        <v>212</v>
      </c>
      <c r="I377" s="14">
        <v>201</v>
      </c>
      <c r="J377" s="14">
        <v>189</v>
      </c>
      <c r="K377" s="48">
        <v>169</v>
      </c>
      <c r="L377" s="276"/>
    </row>
    <row r="378" spans="1:18" x14ac:dyDescent="0.25">
      <c r="A378" s="1382"/>
      <c r="B378" s="1355"/>
      <c r="C378" s="1282"/>
      <c r="D378" s="152" t="s">
        <v>263</v>
      </c>
      <c r="E378" s="70"/>
      <c r="F378" s="14">
        <v>6</v>
      </c>
      <c r="G378" s="14">
        <v>8</v>
      </c>
      <c r="H378" s="14">
        <v>11</v>
      </c>
      <c r="I378" s="14">
        <v>15</v>
      </c>
      <c r="J378" s="14">
        <v>17</v>
      </c>
      <c r="K378" s="48">
        <v>14</v>
      </c>
      <c r="L378" s="276"/>
    </row>
    <row r="379" spans="1:18" ht="16.5" thickBot="1" x14ac:dyDescent="0.3">
      <c r="A379" s="1382"/>
      <c r="B379" s="1355"/>
      <c r="C379" s="1283"/>
      <c r="D379" s="289" t="s">
        <v>270</v>
      </c>
      <c r="E379" s="290"/>
      <c r="F379" s="291">
        <f>(F378*100)/F376</f>
        <v>3.870967741935484</v>
      </c>
      <c r="G379" s="291">
        <f t="shared" ref="G379:J379" si="31">(G378*100)/G376</f>
        <v>4.5454545454545459</v>
      </c>
      <c r="H379" s="291">
        <f t="shared" si="31"/>
        <v>4.9327354260089686</v>
      </c>
      <c r="I379" s="291">
        <f>(I378*100)/I376</f>
        <v>6.9444444444444446</v>
      </c>
      <c r="J379" s="291">
        <f t="shared" si="31"/>
        <v>8.2524271844660202</v>
      </c>
      <c r="K379" s="292">
        <f>(K378*100)/K376</f>
        <v>7.6502732240437155</v>
      </c>
      <c r="L379" s="286"/>
    </row>
    <row r="380" spans="1:18" x14ac:dyDescent="0.25">
      <c r="A380" s="1382"/>
      <c r="B380" s="1355"/>
      <c r="C380" s="1281" t="s">
        <v>523</v>
      </c>
      <c r="D380" s="287" t="s">
        <v>251</v>
      </c>
      <c r="E380" s="288"/>
      <c r="F380" s="293"/>
      <c r="G380" s="293"/>
      <c r="H380" s="293"/>
      <c r="I380" s="293">
        <v>28</v>
      </c>
      <c r="J380" s="293">
        <v>25</v>
      </c>
      <c r="K380" s="294">
        <v>34</v>
      </c>
      <c r="L380" s="275"/>
    </row>
    <row r="381" spans="1:18" x14ac:dyDescent="0.25">
      <c r="A381" s="1382"/>
      <c r="B381" s="1355"/>
      <c r="C381" s="1282"/>
      <c r="D381" s="152" t="s">
        <v>257</v>
      </c>
      <c r="E381" s="70"/>
      <c r="F381" s="12"/>
      <c r="G381" s="12"/>
      <c r="H381" s="12"/>
      <c r="I381" s="12">
        <v>15</v>
      </c>
      <c r="J381" s="12">
        <v>9</v>
      </c>
      <c r="K381" s="115">
        <v>16</v>
      </c>
      <c r="L381" s="276"/>
    </row>
    <row r="382" spans="1:18" x14ac:dyDescent="0.25">
      <c r="A382" s="1382"/>
      <c r="B382" s="1355"/>
      <c r="C382" s="1282"/>
      <c r="D382" s="152" t="s">
        <v>263</v>
      </c>
      <c r="E382" s="70"/>
      <c r="F382" s="12"/>
      <c r="G382" s="12"/>
      <c r="H382" s="12"/>
      <c r="I382" s="12">
        <v>13</v>
      </c>
      <c r="J382" s="12">
        <v>16</v>
      </c>
      <c r="K382" s="115">
        <v>18</v>
      </c>
      <c r="L382" s="276"/>
    </row>
    <row r="383" spans="1:18" ht="16.5" thickBot="1" x14ac:dyDescent="0.3">
      <c r="A383" s="1382"/>
      <c r="B383" s="1355"/>
      <c r="C383" s="1283"/>
      <c r="D383" s="289" t="s">
        <v>270</v>
      </c>
      <c r="E383" s="290"/>
      <c r="F383" s="290"/>
      <c r="G383" s="290"/>
      <c r="H383" s="290"/>
      <c r="I383" s="295">
        <f>(I382*100)/I380</f>
        <v>46.428571428571431</v>
      </c>
      <c r="J383" s="296">
        <f>(J382*100)/J380</f>
        <v>64</v>
      </c>
      <c r="K383" s="297">
        <f>(K382*100)/K380</f>
        <v>52.941176470588232</v>
      </c>
      <c r="L383" s="286"/>
    </row>
    <row r="384" spans="1:18" x14ac:dyDescent="0.25">
      <c r="A384" s="1382"/>
      <c r="B384" s="1355"/>
      <c r="C384" s="1281" t="s">
        <v>524</v>
      </c>
      <c r="D384" s="287" t="s">
        <v>251</v>
      </c>
      <c r="E384" s="288"/>
      <c r="F384" s="293">
        <v>131</v>
      </c>
      <c r="G384" s="293">
        <v>141</v>
      </c>
      <c r="H384" s="293">
        <v>126</v>
      </c>
      <c r="I384" s="293">
        <v>159</v>
      </c>
      <c r="J384" s="293">
        <v>240</v>
      </c>
      <c r="K384" s="114">
        <v>221</v>
      </c>
      <c r="L384" s="275"/>
    </row>
    <row r="385" spans="1:12" x14ac:dyDescent="0.25">
      <c r="A385" s="1382"/>
      <c r="B385" s="1355"/>
      <c r="C385" s="1282"/>
      <c r="D385" s="152" t="s">
        <v>257</v>
      </c>
      <c r="E385" s="70"/>
      <c r="F385" s="12">
        <v>111</v>
      </c>
      <c r="G385" s="12">
        <v>122</v>
      </c>
      <c r="H385" s="12">
        <v>116</v>
      </c>
      <c r="I385" s="12">
        <v>142</v>
      </c>
      <c r="J385" s="12">
        <v>213</v>
      </c>
      <c r="K385" s="48">
        <v>192</v>
      </c>
      <c r="L385" s="276"/>
    </row>
    <row r="386" spans="1:12" x14ac:dyDescent="0.25">
      <c r="A386" s="1382"/>
      <c r="B386" s="1355"/>
      <c r="C386" s="1282"/>
      <c r="D386" s="152" t="s">
        <v>263</v>
      </c>
      <c r="E386" s="70"/>
      <c r="F386" s="12">
        <v>20</v>
      </c>
      <c r="G386" s="12">
        <v>19</v>
      </c>
      <c r="H386" s="12">
        <v>10</v>
      </c>
      <c r="I386" s="12">
        <v>17</v>
      </c>
      <c r="J386" s="12">
        <v>27</v>
      </c>
      <c r="K386" s="48">
        <v>29</v>
      </c>
      <c r="L386" s="276"/>
    </row>
    <row r="387" spans="1:12" ht="16.5" thickBot="1" x14ac:dyDescent="0.3">
      <c r="A387" s="1382"/>
      <c r="B387" s="1355"/>
      <c r="C387" s="1283"/>
      <c r="D387" s="289" t="s">
        <v>270</v>
      </c>
      <c r="E387" s="290"/>
      <c r="F387" s="291">
        <f>(F386*100)/F384</f>
        <v>15.267175572519085</v>
      </c>
      <c r="G387" s="291">
        <f t="shared" ref="G387:J387" si="32">(G386*100)/G384</f>
        <v>13.475177304964539</v>
      </c>
      <c r="H387" s="291">
        <f t="shared" si="32"/>
        <v>7.9365079365079367</v>
      </c>
      <c r="I387" s="291">
        <f t="shared" si="32"/>
        <v>10.691823899371069</v>
      </c>
      <c r="J387" s="291">
        <f t="shared" si="32"/>
        <v>11.25</v>
      </c>
      <c r="K387" s="292">
        <f>(K386*100)/K384</f>
        <v>13.122171945701357</v>
      </c>
      <c r="L387" s="286"/>
    </row>
    <row r="388" spans="1:12" ht="14.85" customHeight="1" x14ac:dyDescent="0.25">
      <c r="A388" s="1382"/>
      <c r="B388" s="1355"/>
      <c r="C388" s="1281" t="s">
        <v>525</v>
      </c>
      <c r="D388" s="287" t="s">
        <v>251</v>
      </c>
      <c r="E388" s="288"/>
      <c r="F388" s="293">
        <v>128</v>
      </c>
      <c r="G388" s="293">
        <v>140</v>
      </c>
      <c r="H388" s="293">
        <v>100</v>
      </c>
      <c r="I388" s="293">
        <v>84</v>
      </c>
      <c r="J388" s="293">
        <v>86</v>
      </c>
      <c r="K388" s="294">
        <v>84</v>
      </c>
      <c r="L388" s="275"/>
    </row>
    <row r="389" spans="1:12" ht="14.85" customHeight="1" x14ac:dyDescent="0.25">
      <c r="A389" s="1382"/>
      <c r="B389" s="1355"/>
      <c r="C389" s="1282"/>
      <c r="D389" s="152" t="s">
        <v>257</v>
      </c>
      <c r="E389" s="70"/>
      <c r="F389" s="12">
        <v>127</v>
      </c>
      <c r="G389" s="12">
        <v>138</v>
      </c>
      <c r="H389" s="12">
        <v>98</v>
      </c>
      <c r="I389" s="12">
        <v>83</v>
      </c>
      <c r="J389" s="12">
        <v>85</v>
      </c>
      <c r="K389" s="115">
        <v>83</v>
      </c>
      <c r="L389" s="276"/>
    </row>
    <row r="390" spans="1:12" x14ac:dyDescent="0.25">
      <c r="A390" s="1382"/>
      <c r="B390" s="1355"/>
      <c r="C390" s="1282"/>
      <c r="D390" s="152" t="s">
        <v>263</v>
      </c>
      <c r="E390" s="70"/>
      <c r="F390" s="12">
        <v>1</v>
      </c>
      <c r="G390" s="12">
        <v>2</v>
      </c>
      <c r="H390" s="12">
        <v>2</v>
      </c>
      <c r="I390" s="12">
        <v>1</v>
      </c>
      <c r="J390" s="12">
        <v>1</v>
      </c>
      <c r="K390" s="48">
        <v>1</v>
      </c>
      <c r="L390" s="276"/>
    </row>
    <row r="391" spans="1:12" ht="16.5" thickBot="1" x14ac:dyDescent="0.3">
      <c r="A391" s="1382"/>
      <c r="B391" s="1355"/>
      <c r="C391" s="1283"/>
      <c r="D391" s="289" t="s">
        <v>270</v>
      </c>
      <c r="E391" s="290"/>
      <c r="F391" s="291">
        <f>(F390*100)/F388</f>
        <v>0.78125</v>
      </c>
      <c r="G391" s="291">
        <f t="shared" ref="G391:K391" si="33">(G390*100)/G388</f>
        <v>1.4285714285714286</v>
      </c>
      <c r="H391" s="291">
        <f t="shared" si="33"/>
        <v>2</v>
      </c>
      <c r="I391" s="291">
        <f t="shared" si="33"/>
        <v>1.1904761904761905</v>
      </c>
      <c r="J391" s="291">
        <f t="shared" si="33"/>
        <v>1.1627906976744187</v>
      </c>
      <c r="K391" s="292">
        <f t="shared" si="33"/>
        <v>1.1904761904761905</v>
      </c>
      <c r="L391" s="286"/>
    </row>
    <row r="392" spans="1:12" ht="14.85" customHeight="1" x14ac:dyDescent="0.25">
      <c r="A392" s="1382"/>
      <c r="B392" s="1355"/>
      <c r="C392" s="1281" t="s">
        <v>526</v>
      </c>
      <c r="D392" s="287" t="s">
        <v>251</v>
      </c>
      <c r="E392" s="288"/>
      <c r="F392" s="298">
        <v>87</v>
      </c>
      <c r="G392" s="293">
        <v>88</v>
      </c>
      <c r="H392" s="293">
        <v>97</v>
      </c>
      <c r="I392" s="293">
        <v>89</v>
      </c>
      <c r="J392" s="293">
        <v>87</v>
      </c>
      <c r="K392" s="966">
        <v>79</v>
      </c>
      <c r="L392" s="275"/>
    </row>
    <row r="393" spans="1:12" ht="14.85" customHeight="1" x14ac:dyDescent="0.25">
      <c r="A393" s="1382"/>
      <c r="B393" s="1355"/>
      <c r="C393" s="1282"/>
      <c r="D393" s="152" t="s">
        <v>257</v>
      </c>
      <c r="E393" s="70"/>
      <c r="F393" s="71">
        <v>62</v>
      </c>
      <c r="G393" s="12">
        <v>63</v>
      </c>
      <c r="H393" s="12">
        <v>62</v>
      </c>
      <c r="I393" s="12">
        <v>56</v>
      </c>
      <c r="J393" s="12">
        <v>47</v>
      </c>
      <c r="K393" s="956">
        <v>36</v>
      </c>
      <c r="L393" s="276"/>
    </row>
    <row r="394" spans="1:12" x14ac:dyDescent="0.25">
      <c r="A394" s="1382"/>
      <c r="B394" s="1355"/>
      <c r="C394" s="1282"/>
      <c r="D394" s="152" t="s">
        <v>263</v>
      </c>
      <c r="E394" s="70"/>
      <c r="F394" s="71">
        <v>25</v>
      </c>
      <c r="G394" s="12">
        <v>25</v>
      </c>
      <c r="H394" s="12">
        <v>35</v>
      </c>
      <c r="I394" s="12">
        <v>33</v>
      </c>
      <c r="J394" s="12">
        <v>40</v>
      </c>
      <c r="K394" s="956">
        <v>43</v>
      </c>
      <c r="L394" s="276"/>
    </row>
    <row r="395" spans="1:12" ht="16.5" thickBot="1" x14ac:dyDescent="0.3">
      <c r="A395" s="1382"/>
      <c r="B395" s="1355"/>
      <c r="C395" s="1283"/>
      <c r="D395" s="289" t="s">
        <v>270</v>
      </c>
      <c r="E395" s="290"/>
      <c r="F395" s="291">
        <f>(F394*100)/F392</f>
        <v>28.735632183908045</v>
      </c>
      <c r="G395" s="291">
        <f t="shared" ref="G395:K395" si="34">(G394*100)/G392</f>
        <v>28.40909090909091</v>
      </c>
      <c r="H395" s="291">
        <f t="shared" si="34"/>
        <v>36.082474226804123</v>
      </c>
      <c r="I395" s="291">
        <f t="shared" si="34"/>
        <v>37.078651685393261</v>
      </c>
      <c r="J395" s="295">
        <f t="shared" si="34"/>
        <v>45.977011494252871</v>
      </c>
      <c r="K395" s="299">
        <f t="shared" si="34"/>
        <v>54.430379746835442</v>
      </c>
      <c r="L395" s="286"/>
    </row>
    <row r="396" spans="1:12" ht="14.85" customHeight="1" x14ac:dyDescent="0.25">
      <c r="A396" s="1382"/>
      <c r="B396" s="1355"/>
      <c r="C396" s="1281" t="s">
        <v>527</v>
      </c>
      <c r="D396" s="287" t="s">
        <v>251</v>
      </c>
      <c r="E396" s="288"/>
      <c r="F396" s="293">
        <v>51</v>
      </c>
      <c r="G396" s="293">
        <v>66</v>
      </c>
      <c r="H396" s="293">
        <v>58</v>
      </c>
      <c r="I396" s="293">
        <v>53</v>
      </c>
      <c r="J396" s="293">
        <v>49</v>
      </c>
      <c r="K396" s="294">
        <v>50</v>
      </c>
      <c r="L396" s="275"/>
    </row>
    <row r="397" spans="1:12" ht="14.85" customHeight="1" x14ac:dyDescent="0.25">
      <c r="A397" s="1382"/>
      <c r="B397" s="1355"/>
      <c r="C397" s="1282"/>
      <c r="D397" s="152" t="s">
        <v>257</v>
      </c>
      <c r="E397" s="70"/>
      <c r="F397" s="12">
        <v>51</v>
      </c>
      <c r="G397" s="12">
        <v>66</v>
      </c>
      <c r="H397" s="12">
        <v>57</v>
      </c>
      <c r="I397" s="12">
        <v>49</v>
      </c>
      <c r="J397" s="12">
        <v>47</v>
      </c>
      <c r="K397" s="115">
        <v>50</v>
      </c>
      <c r="L397" s="276"/>
    </row>
    <row r="398" spans="1:12" x14ac:dyDescent="0.25">
      <c r="A398" s="1382"/>
      <c r="B398" s="1355"/>
      <c r="C398" s="1282"/>
      <c r="D398" s="152" t="s">
        <v>263</v>
      </c>
      <c r="E398" s="70"/>
      <c r="F398" s="12">
        <v>0</v>
      </c>
      <c r="G398" s="12">
        <v>0</v>
      </c>
      <c r="H398" s="12">
        <v>1</v>
      </c>
      <c r="I398" s="12">
        <v>4</v>
      </c>
      <c r="J398" s="12">
        <v>2</v>
      </c>
      <c r="K398" s="115">
        <v>0</v>
      </c>
      <c r="L398" s="276"/>
    </row>
    <row r="399" spans="1:12" ht="16.5" thickBot="1" x14ac:dyDescent="0.3">
      <c r="A399" s="1382"/>
      <c r="B399" s="1355"/>
      <c r="C399" s="1283"/>
      <c r="D399" s="289" t="s">
        <v>270</v>
      </c>
      <c r="E399" s="290"/>
      <c r="F399" s="291">
        <f>(F398*100)/F396</f>
        <v>0</v>
      </c>
      <c r="G399" s="291">
        <f t="shared" ref="G399:K399" si="35">(G398*100)/G396</f>
        <v>0</v>
      </c>
      <c r="H399" s="291">
        <f t="shared" si="35"/>
        <v>1.7241379310344827</v>
      </c>
      <c r="I399" s="291">
        <f t="shared" si="35"/>
        <v>7.5471698113207548</v>
      </c>
      <c r="J399" s="291">
        <f t="shared" si="35"/>
        <v>4.0816326530612246</v>
      </c>
      <c r="K399" s="292">
        <f t="shared" si="35"/>
        <v>0</v>
      </c>
      <c r="L399" s="286"/>
    </row>
    <row r="400" spans="1:12" ht="14.85" customHeight="1" x14ac:dyDescent="0.25">
      <c r="A400" s="1382"/>
      <c r="B400" s="1355"/>
      <c r="C400" s="1281" t="s">
        <v>482</v>
      </c>
      <c r="D400" s="287" t="s">
        <v>251</v>
      </c>
      <c r="E400" s="288"/>
      <c r="F400" s="288"/>
      <c r="G400" s="288"/>
      <c r="H400" s="293">
        <v>78</v>
      </c>
      <c r="I400" s="293">
        <v>61</v>
      </c>
      <c r="J400" s="293">
        <v>61</v>
      </c>
      <c r="K400" s="966">
        <v>68</v>
      </c>
      <c r="L400" s="275"/>
    </row>
    <row r="401" spans="1:15" ht="14.85" customHeight="1" x14ac:dyDescent="0.25">
      <c r="A401" s="1382"/>
      <c r="B401" s="1355"/>
      <c r="C401" s="1282"/>
      <c r="D401" s="152" t="s">
        <v>257</v>
      </c>
      <c r="E401" s="70"/>
      <c r="F401" s="70"/>
      <c r="G401" s="70"/>
      <c r="H401" s="12">
        <v>58</v>
      </c>
      <c r="I401" s="12">
        <v>42</v>
      </c>
      <c r="J401" s="12">
        <v>45</v>
      </c>
      <c r="K401" s="956">
        <v>47</v>
      </c>
      <c r="L401" s="276"/>
    </row>
    <row r="402" spans="1:15" x14ac:dyDescent="0.25">
      <c r="A402" s="1382"/>
      <c r="B402" s="1355"/>
      <c r="C402" s="1282"/>
      <c r="D402" s="152" t="s">
        <v>263</v>
      </c>
      <c r="E402" s="70"/>
      <c r="F402" s="70"/>
      <c r="G402" s="70"/>
      <c r="H402" s="12">
        <v>20</v>
      </c>
      <c r="I402" s="12">
        <v>19</v>
      </c>
      <c r="J402" s="12">
        <v>16</v>
      </c>
      <c r="K402" s="956">
        <v>21</v>
      </c>
      <c r="L402" s="276"/>
    </row>
    <row r="403" spans="1:15" s="10" customFormat="1" ht="16.5" thickBot="1" x14ac:dyDescent="0.3">
      <c r="A403" s="1382"/>
      <c r="B403" s="1355"/>
      <c r="C403" s="1283"/>
      <c r="D403" s="289" t="s">
        <v>270</v>
      </c>
      <c r="E403" s="300"/>
      <c r="F403" s="290"/>
      <c r="G403" s="290"/>
      <c r="H403" s="291">
        <f>(H402*100)/H400</f>
        <v>25.641025641025642</v>
      </c>
      <c r="I403" s="291">
        <f t="shared" ref="I403:K403" si="36">(I402*100)/I400</f>
        <v>31.147540983606557</v>
      </c>
      <c r="J403" s="291">
        <f t="shared" si="36"/>
        <v>26.229508196721312</v>
      </c>
      <c r="K403" s="292">
        <f t="shared" si="36"/>
        <v>30.882352941176471</v>
      </c>
      <c r="L403" s="286"/>
      <c r="M403" s="64"/>
      <c r="N403" s="64"/>
      <c r="O403" s="64"/>
    </row>
    <row r="404" spans="1:15" ht="14.85" customHeight="1" x14ac:dyDescent="0.25">
      <c r="A404" s="1382"/>
      <c r="B404" s="1355"/>
      <c r="C404" s="1281" t="s">
        <v>528</v>
      </c>
      <c r="D404" s="287" t="s">
        <v>251</v>
      </c>
      <c r="E404" s="133"/>
      <c r="F404" s="301"/>
      <c r="G404" s="301"/>
      <c r="H404" s="301">
        <v>38</v>
      </c>
      <c r="I404" s="301">
        <v>35</v>
      </c>
      <c r="J404" s="301">
        <v>35</v>
      </c>
      <c r="K404" s="134">
        <v>40</v>
      </c>
      <c r="L404" s="275"/>
    </row>
    <row r="405" spans="1:15" ht="14.85" customHeight="1" x14ac:dyDescent="0.25">
      <c r="A405" s="1382"/>
      <c r="B405" s="1355"/>
      <c r="C405" s="1282"/>
      <c r="D405" s="152" t="s">
        <v>257</v>
      </c>
      <c r="E405" s="69"/>
      <c r="F405" s="68"/>
      <c r="G405" s="68"/>
      <c r="H405" s="68">
        <v>6</v>
      </c>
      <c r="I405" s="68">
        <v>11</v>
      </c>
      <c r="J405" s="68">
        <v>10</v>
      </c>
      <c r="K405" s="86">
        <v>12</v>
      </c>
      <c r="L405" s="276"/>
    </row>
    <row r="406" spans="1:15" x14ac:dyDescent="0.25">
      <c r="A406" s="1382"/>
      <c r="B406" s="1355"/>
      <c r="C406" s="1282"/>
      <c r="D406" s="152" t="s">
        <v>263</v>
      </c>
      <c r="E406" s="72"/>
      <c r="F406" s="73"/>
      <c r="G406" s="73"/>
      <c r="H406" s="73">
        <v>32</v>
      </c>
      <c r="I406" s="73">
        <v>24</v>
      </c>
      <c r="J406" s="73">
        <v>25</v>
      </c>
      <c r="K406" s="116">
        <v>28</v>
      </c>
      <c r="L406" s="276"/>
    </row>
    <row r="407" spans="1:15" s="10" customFormat="1" ht="16.5" thickBot="1" x14ac:dyDescent="0.3">
      <c r="A407" s="1382"/>
      <c r="B407" s="1355"/>
      <c r="C407" s="1283"/>
      <c r="D407" s="289" t="s">
        <v>270</v>
      </c>
      <c r="E407" s="302"/>
      <c r="F407" s="303"/>
      <c r="G407" s="303"/>
      <c r="H407" s="304">
        <f>(H406*100)/H404</f>
        <v>84.21052631578948</v>
      </c>
      <c r="I407" s="304">
        <f t="shared" ref="I407:K407" si="37">(I406*100)/I404</f>
        <v>68.571428571428569</v>
      </c>
      <c r="J407" s="304">
        <f t="shared" si="37"/>
        <v>71.428571428571431</v>
      </c>
      <c r="K407" s="305">
        <f t="shared" si="37"/>
        <v>70</v>
      </c>
      <c r="L407" s="286"/>
      <c r="M407" s="64"/>
      <c r="N407" s="64"/>
      <c r="O407" s="64"/>
    </row>
    <row r="408" spans="1:15" ht="14.85" customHeight="1" x14ac:dyDescent="0.25">
      <c r="A408" s="1382"/>
      <c r="B408" s="1355"/>
      <c r="C408" s="1281" t="s">
        <v>465</v>
      </c>
      <c r="D408" s="287" t="s">
        <v>251</v>
      </c>
      <c r="E408" s="288"/>
      <c r="F408" s="293"/>
      <c r="G408" s="293"/>
      <c r="H408" s="293">
        <v>307</v>
      </c>
      <c r="I408" s="293">
        <v>310</v>
      </c>
      <c r="J408" s="293">
        <v>307</v>
      </c>
      <c r="K408" s="114">
        <v>138</v>
      </c>
      <c r="L408" s="275"/>
    </row>
    <row r="409" spans="1:15" ht="14.85" customHeight="1" x14ac:dyDescent="0.25">
      <c r="A409" s="1382"/>
      <c r="B409" s="1355"/>
      <c r="C409" s="1282"/>
      <c r="D409" s="152" t="s">
        <v>257</v>
      </c>
      <c r="E409" s="70"/>
      <c r="F409" s="74"/>
      <c r="G409" s="74"/>
      <c r="H409" s="74">
        <v>56</v>
      </c>
      <c r="I409" s="74">
        <v>66</v>
      </c>
      <c r="J409" s="74">
        <v>72</v>
      </c>
      <c r="K409" s="48">
        <v>29</v>
      </c>
      <c r="L409" s="276"/>
    </row>
    <row r="410" spans="1:15" x14ac:dyDescent="0.25">
      <c r="A410" s="1382"/>
      <c r="B410" s="1355"/>
      <c r="C410" s="1282"/>
      <c r="D410" s="152" t="s">
        <v>263</v>
      </c>
      <c r="E410" s="70"/>
      <c r="F410" s="74"/>
      <c r="G410" s="74"/>
      <c r="H410" s="74">
        <v>251</v>
      </c>
      <c r="I410" s="74">
        <v>244</v>
      </c>
      <c r="J410" s="74">
        <v>235</v>
      </c>
      <c r="K410" s="48">
        <v>109</v>
      </c>
      <c r="L410" s="276"/>
    </row>
    <row r="411" spans="1:15" s="10" customFormat="1" ht="16.5" thickBot="1" x14ac:dyDescent="0.3">
      <c r="A411" s="1382"/>
      <c r="B411" s="1355"/>
      <c r="C411" s="1287"/>
      <c r="D411" s="153" t="s">
        <v>270</v>
      </c>
      <c r="E411" s="139"/>
      <c r="F411" s="155"/>
      <c r="G411" s="155"/>
      <c r="H411" s="306">
        <f>(H410*100)/H408</f>
        <v>81.758957654723133</v>
      </c>
      <c r="I411" s="306">
        <f t="shared" ref="I411:K411" si="38">(I410*100)/I408</f>
        <v>78.709677419354833</v>
      </c>
      <c r="J411" s="306">
        <f t="shared" si="38"/>
        <v>76.54723127035831</v>
      </c>
      <c r="K411" s="307">
        <f t="shared" si="38"/>
        <v>78.985507246376812</v>
      </c>
      <c r="L411" s="277"/>
      <c r="M411" s="64"/>
      <c r="N411" s="64"/>
      <c r="O411" s="64"/>
    </row>
    <row r="412" spans="1:15" x14ac:dyDescent="0.25">
      <c r="A412" s="1382"/>
      <c r="B412" s="1378"/>
      <c r="C412" s="1166" t="s">
        <v>529</v>
      </c>
      <c r="D412" s="308" t="s">
        <v>473</v>
      </c>
      <c r="E412" s="249"/>
      <c r="F412" s="309">
        <f>5/5*100</f>
        <v>100</v>
      </c>
      <c r="G412" s="309">
        <f>5/5*100</f>
        <v>100</v>
      </c>
      <c r="H412" s="261">
        <f>6/8*100</f>
        <v>75</v>
      </c>
      <c r="I412" s="310">
        <f>6/9*100</f>
        <v>66.666666666666657</v>
      </c>
      <c r="J412" s="261">
        <f>5/9*100</f>
        <v>55.555555555555557</v>
      </c>
      <c r="K412" s="261">
        <f>5/9*100</f>
        <v>55.555555555555557</v>
      </c>
      <c r="L412" s="281"/>
    </row>
    <row r="413" spans="1:15" x14ac:dyDescent="0.25">
      <c r="A413" s="1382"/>
      <c r="B413" s="1378"/>
      <c r="C413" s="1167"/>
      <c r="D413" s="232" t="s">
        <v>474</v>
      </c>
      <c r="E413" s="94"/>
      <c r="F413" s="233">
        <v>0</v>
      </c>
      <c r="G413" s="233">
        <v>0</v>
      </c>
      <c r="H413" s="235">
        <f>2/8*100</f>
        <v>25</v>
      </c>
      <c r="I413" s="234">
        <f>2/9*100</f>
        <v>22.222222222222221</v>
      </c>
      <c r="J413" s="235">
        <f>3/9*100</f>
        <v>33.333333333333329</v>
      </c>
      <c r="K413" s="235">
        <f>3/9*100</f>
        <v>33.333333333333329</v>
      </c>
      <c r="L413" s="276"/>
    </row>
    <row r="414" spans="1:15" ht="16.5" thickBot="1" x14ac:dyDescent="0.3">
      <c r="A414" s="1382"/>
      <c r="B414" s="1378"/>
      <c r="C414" s="1168"/>
      <c r="D414" s="357" t="s">
        <v>475</v>
      </c>
      <c r="E414" s="126"/>
      <c r="F414" s="355">
        <v>0</v>
      </c>
      <c r="G414" s="355">
        <v>0</v>
      </c>
      <c r="H414" s="356">
        <v>0</v>
      </c>
      <c r="I414" s="355">
        <f>1/9*100</f>
        <v>11.111111111111111</v>
      </c>
      <c r="J414" s="356">
        <f>1/9*100</f>
        <v>11.111111111111111</v>
      </c>
      <c r="K414" s="356">
        <f>1/9*100</f>
        <v>11.111111111111111</v>
      </c>
      <c r="L414" s="277"/>
    </row>
    <row r="415" spans="1:15" ht="16.5" thickBot="1" x14ac:dyDescent="0.3">
      <c r="A415" s="1382"/>
      <c r="B415" s="697" t="s">
        <v>249</v>
      </c>
      <c r="C415" s="1280"/>
      <c r="D415" s="1280"/>
      <c r="E415" s="724" t="s">
        <v>442</v>
      </c>
      <c r="F415" s="724" t="s">
        <v>443</v>
      </c>
      <c r="G415" s="724" t="s">
        <v>444</v>
      </c>
      <c r="H415" s="724" t="s">
        <v>445</v>
      </c>
      <c r="I415" s="724" t="s">
        <v>446</v>
      </c>
      <c r="J415" s="724" t="s">
        <v>447</v>
      </c>
      <c r="K415" s="724" t="s">
        <v>448</v>
      </c>
      <c r="L415" s="729" t="s">
        <v>449</v>
      </c>
      <c r="N415"/>
      <c r="O415"/>
    </row>
    <row r="416" spans="1:15" s="10" customFormat="1" ht="15" customHeight="1" x14ac:dyDescent="0.25">
      <c r="A416" s="1382"/>
      <c r="B416" s="1378" t="s">
        <v>476</v>
      </c>
      <c r="C416" s="1251" t="s">
        <v>459</v>
      </c>
      <c r="D416" s="1206"/>
      <c r="E416" s="40"/>
      <c r="F416" s="195">
        <v>800</v>
      </c>
      <c r="G416" s="195">
        <v>1047</v>
      </c>
      <c r="H416" s="195">
        <v>2230</v>
      </c>
      <c r="I416" s="195">
        <v>2310</v>
      </c>
      <c r="J416" s="195">
        <v>2423</v>
      </c>
      <c r="K416" s="157">
        <v>2398</v>
      </c>
      <c r="L416" s="275"/>
      <c r="M416" s="64"/>
    </row>
    <row r="417" spans="1:15" x14ac:dyDescent="0.25">
      <c r="A417" s="1382"/>
      <c r="B417" s="1378"/>
      <c r="C417" s="1123" t="s">
        <v>436</v>
      </c>
      <c r="D417" s="1124"/>
      <c r="E417" s="96"/>
      <c r="F417" s="96">
        <v>672</v>
      </c>
      <c r="G417" s="96">
        <v>809</v>
      </c>
      <c r="H417" s="96">
        <v>1633</v>
      </c>
      <c r="I417" s="96">
        <v>1710</v>
      </c>
      <c r="J417" s="96">
        <v>1674</v>
      </c>
      <c r="K417" s="96">
        <v>1533</v>
      </c>
      <c r="L417" s="276"/>
      <c r="N417"/>
      <c r="O417"/>
    </row>
    <row r="418" spans="1:15" x14ac:dyDescent="0.25">
      <c r="A418" s="1382"/>
      <c r="B418" s="1378"/>
      <c r="C418" s="1123" t="s">
        <v>437</v>
      </c>
      <c r="D418" s="1124"/>
      <c r="E418" s="96"/>
      <c r="F418" s="96">
        <v>128</v>
      </c>
      <c r="G418" s="96">
        <v>238</v>
      </c>
      <c r="H418" s="96">
        <v>597</v>
      </c>
      <c r="I418" s="96">
        <v>600</v>
      </c>
      <c r="J418" s="96">
        <v>749</v>
      </c>
      <c r="K418" s="96">
        <v>865</v>
      </c>
      <c r="L418" s="276"/>
      <c r="N418"/>
      <c r="O418"/>
    </row>
    <row r="419" spans="1:15" ht="16.5" thickBot="1" x14ac:dyDescent="0.3">
      <c r="A419" s="1382"/>
      <c r="B419" s="1378"/>
      <c r="C419" s="1170" t="s">
        <v>270</v>
      </c>
      <c r="D419" s="1288"/>
      <c r="E419" s="190"/>
      <c r="F419" s="285">
        <f t="shared" ref="F419" si="39">F418/F416*100</f>
        <v>16</v>
      </c>
      <c r="G419" s="285">
        <f t="shared" ref="G419" si="40">G418/G416*100</f>
        <v>22.731614135625598</v>
      </c>
      <c r="H419" s="285">
        <f t="shared" ref="H419" si="41">H418/H416*100</f>
        <v>26.771300448430491</v>
      </c>
      <c r="I419" s="285">
        <f t="shared" ref="I419" si="42">I418/I416*100</f>
        <v>25.97402597402597</v>
      </c>
      <c r="J419" s="285">
        <f t="shared" ref="J419:K419" si="43">J418/J416*100</f>
        <v>30.91209244737928</v>
      </c>
      <c r="K419" s="285">
        <f t="shared" si="43"/>
        <v>36.071726438698917</v>
      </c>
      <c r="L419" s="286"/>
      <c r="N419"/>
      <c r="O419"/>
    </row>
    <row r="420" spans="1:15" x14ac:dyDescent="0.25">
      <c r="A420" s="1382"/>
      <c r="B420" s="1355"/>
      <c r="C420" s="1281" t="s">
        <v>522</v>
      </c>
      <c r="D420" s="287" t="s">
        <v>251</v>
      </c>
      <c r="E420" s="288"/>
      <c r="F420" s="15">
        <v>257</v>
      </c>
      <c r="G420" s="15">
        <v>265</v>
      </c>
      <c r="H420" s="15">
        <v>371</v>
      </c>
      <c r="I420" s="15">
        <v>336</v>
      </c>
      <c r="J420" s="15">
        <v>303</v>
      </c>
      <c r="K420" s="294">
        <v>303</v>
      </c>
      <c r="L420" s="275"/>
      <c r="N420"/>
      <c r="O420"/>
    </row>
    <row r="421" spans="1:15" x14ac:dyDescent="0.25">
      <c r="A421" s="1382"/>
      <c r="B421" s="1355"/>
      <c r="C421" s="1282"/>
      <c r="D421" s="152" t="s">
        <v>257</v>
      </c>
      <c r="E421" s="70"/>
      <c r="F421" s="14">
        <v>242</v>
      </c>
      <c r="G421" s="14">
        <v>251</v>
      </c>
      <c r="H421" s="14">
        <v>342</v>
      </c>
      <c r="I421" s="14">
        <v>312</v>
      </c>
      <c r="J421" s="14">
        <v>284</v>
      </c>
      <c r="K421" s="115">
        <v>278</v>
      </c>
      <c r="L421" s="276"/>
      <c r="N421"/>
      <c r="O421"/>
    </row>
    <row r="422" spans="1:15" x14ac:dyDescent="0.25">
      <c r="A422" s="1382"/>
      <c r="B422" s="1355"/>
      <c r="C422" s="1282"/>
      <c r="D422" s="152" t="s">
        <v>263</v>
      </c>
      <c r="E422" s="70"/>
      <c r="F422" s="14">
        <v>15</v>
      </c>
      <c r="G422" s="14">
        <v>14</v>
      </c>
      <c r="H422" s="14">
        <v>29</v>
      </c>
      <c r="I422" s="14">
        <v>24</v>
      </c>
      <c r="J422" s="14">
        <v>19</v>
      </c>
      <c r="K422" s="115">
        <v>25</v>
      </c>
      <c r="L422" s="276"/>
      <c r="N422"/>
      <c r="O422"/>
    </row>
    <row r="423" spans="1:15" s="10" customFormat="1" ht="16.5" thickBot="1" x14ac:dyDescent="0.3">
      <c r="A423" s="1382"/>
      <c r="B423" s="1355"/>
      <c r="C423" s="1283"/>
      <c r="D423" s="289" t="s">
        <v>270</v>
      </c>
      <c r="E423" s="290"/>
      <c r="F423" s="833">
        <f>(F422*100)/F420</f>
        <v>5.836575875486381</v>
      </c>
      <c r="G423" s="833">
        <f t="shared" ref="G423:K423" si="44">(G422*100)/G420</f>
        <v>5.283018867924528</v>
      </c>
      <c r="H423" s="833">
        <f t="shared" si="44"/>
        <v>7.8167115902964959</v>
      </c>
      <c r="I423" s="833">
        <f t="shared" si="44"/>
        <v>7.1428571428571432</v>
      </c>
      <c r="J423" s="833">
        <f t="shared" si="44"/>
        <v>6.2706270627062706</v>
      </c>
      <c r="K423" s="833">
        <f t="shared" si="44"/>
        <v>8.2508250825082516</v>
      </c>
      <c r="L423" s="286"/>
      <c r="M423" s="64"/>
    </row>
    <row r="424" spans="1:15" x14ac:dyDescent="0.25">
      <c r="A424" s="1382"/>
      <c r="B424" s="1355"/>
      <c r="C424" s="1281" t="s">
        <v>465</v>
      </c>
      <c r="D424" s="287" t="s">
        <v>251</v>
      </c>
      <c r="E424" s="288"/>
      <c r="F424" s="15"/>
      <c r="G424" s="15">
        <v>79</v>
      </c>
      <c r="H424" s="15">
        <v>196</v>
      </c>
      <c r="I424" s="15">
        <v>190</v>
      </c>
      <c r="J424" s="15">
        <v>322</v>
      </c>
      <c r="K424" s="294">
        <v>422</v>
      </c>
      <c r="L424" s="275"/>
      <c r="N424"/>
      <c r="O424"/>
    </row>
    <row r="425" spans="1:15" x14ac:dyDescent="0.25">
      <c r="A425" s="1382"/>
      <c r="B425" s="1355"/>
      <c r="C425" s="1282"/>
      <c r="D425" s="152" t="s">
        <v>257</v>
      </c>
      <c r="E425" s="70"/>
      <c r="F425" s="14"/>
      <c r="G425" s="14">
        <v>28</v>
      </c>
      <c r="H425" s="14">
        <v>54</v>
      </c>
      <c r="I425" s="14">
        <v>55</v>
      </c>
      <c r="J425" s="14">
        <v>94</v>
      </c>
      <c r="K425" s="115">
        <v>105</v>
      </c>
      <c r="L425" s="276"/>
      <c r="N425"/>
      <c r="O425"/>
    </row>
    <row r="426" spans="1:15" x14ac:dyDescent="0.25">
      <c r="A426" s="1382"/>
      <c r="B426" s="1355"/>
      <c r="C426" s="1282"/>
      <c r="D426" s="152" t="s">
        <v>263</v>
      </c>
      <c r="E426" s="70"/>
      <c r="F426" s="14"/>
      <c r="G426" s="14">
        <v>51</v>
      </c>
      <c r="H426" s="14">
        <v>142</v>
      </c>
      <c r="I426" s="14">
        <v>135</v>
      </c>
      <c r="J426" s="14">
        <v>228</v>
      </c>
      <c r="K426" s="115">
        <v>317</v>
      </c>
      <c r="L426" s="276"/>
      <c r="N426"/>
      <c r="O426"/>
    </row>
    <row r="427" spans="1:15" s="10" customFormat="1" ht="16.5" thickBot="1" x14ac:dyDescent="0.3">
      <c r="A427" s="1382"/>
      <c r="B427" s="1355"/>
      <c r="C427" s="1283"/>
      <c r="D427" s="289" t="s">
        <v>270</v>
      </c>
      <c r="E427" s="290"/>
      <c r="F427" s="834"/>
      <c r="G427" s="835">
        <f>(G426*100)/G424</f>
        <v>64.556962025316452</v>
      </c>
      <c r="H427" s="835">
        <f t="shared" ref="H427:K427" si="45">(H426*100)/H424</f>
        <v>72.448979591836732</v>
      </c>
      <c r="I427" s="835">
        <f t="shared" si="45"/>
        <v>71.05263157894737</v>
      </c>
      <c r="J427" s="835">
        <f t="shared" si="45"/>
        <v>70.807453416149073</v>
      </c>
      <c r="K427" s="835">
        <f t="shared" si="45"/>
        <v>75.118483412322277</v>
      </c>
      <c r="L427" s="286"/>
      <c r="M427" s="64"/>
    </row>
    <row r="428" spans="1:15" x14ac:dyDescent="0.25">
      <c r="A428" s="1382"/>
      <c r="B428" s="1378"/>
      <c r="C428" s="1281" t="s">
        <v>524</v>
      </c>
      <c r="D428" s="287" t="s">
        <v>251</v>
      </c>
      <c r="E428" s="288"/>
      <c r="F428" s="15">
        <v>225</v>
      </c>
      <c r="G428" s="15">
        <v>295</v>
      </c>
      <c r="H428" s="15">
        <v>846</v>
      </c>
      <c r="I428" s="15">
        <v>931</v>
      </c>
      <c r="J428" s="15">
        <v>961</v>
      </c>
      <c r="K428" s="294">
        <v>801</v>
      </c>
      <c r="L428" s="275"/>
      <c r="N428"/>
      <c r="O428"/>
    </row>
    <row r="429" spans="1:15" x14ac:dyDescent="0.25">
      <c r="A429" s="1382"/>
      <c r="B429" s="1378"/>
      <c r="C429" s="1282"/>
      <c r="D429" s="152" t="s">
        <v>257</v>
      </c>
      <c r="E429" s="70"/>
      <c r="F429" s="14">
        <v>192</v>
      </c>
      <c r="G429" s="14">
        <v>252</v>
      </c>
      <c r="H429" s="14">
        <v>723</v>
      </c>
      <c r="I429" s="14">
        <v>807</v>
      </c>
      <c r="J429" s="14">
        <v>801</v>
      </c>
      <c r="K429" s="115">
        <v>654</v>
      </c>
      <c r="L429" s="276"/>
      <c r="N429"/>
      <c r="O429"/>
    </row>
    <row r="430" spans="1:15" x14ac:dyDescent="0.25">
      <c r="A430" s="1382"/>
      <c r="B430" s="1378"/>
      <c r="C430" s="1282"/>
      <c r="D430" s="152" t="s">
        <v>263</v>
      </c>
      <c r="E430" s="70"/>
      <c r="F430" s="14">
        <v>33</v>
      </c>
      <c r="G430" s="14">
        <v>43</v>
      </c>
      <c r="H430" s="14">
        <v>123</v>
      </c>
      <c r="I430" s="14">
        <v>124</v>
      </c>
      <c r="J430" s="14">
        <v>160</v>
      </c>
      <c r="K430" s="115">
        <v>147</v>
      </c>
      <c r="L430" s="276"/>
      <c r="N430"/>
      <c r="O430"/>
    </row>
    <row r="431" spans="1:15" s="10" customFormat="1" ht="16.5" thickBot="1" x14ac:dyDescent="0.3">
      <c r="A431" s="1382"/>
      <c r="B431" s="1378"/>
      <c r="C431" s="1283"/>
      <c r="D431" s="289" t="s">
        <v>270</v>
      </c>
      <c r="E431" s="290"/>
      <c r="F431" s="833">
        <f>(F430*100)/F428</f>
        <v>14.666666666666666</v>
      </c>
      <c r="G431" s="833">
        <f t="shared" ref="G431:K431" si="46">(G430*100)/G428</f>
        <v>14.576271186440678</v>
      </c>
      <c r="H431" s="833">
        <f t="shared" si="46"/>
        <v>14.539007092198581</v>
      </c>
      <c r="I431" s="833">
        <f t="shared" si="46"/>
        <v>13.319011815252416</v>
      </c>
      <c r="J431" s="833">
        <f t="shared" si="46"/>
        <v>16.649323621227886</v>
      </c>
      <c r="K431" s="833">
        <f t="shared" si="46"/>
        <v>18.352059925093634</v>
      </c>
      <c r="L431" s="286"/>
      <c r="M431" s="64"/>
    </row>
    <row r="432" spans="1:15" ht="14.85" customHeight="1" x14ac:dyDescent="0.25">
      <c r="A432" s="1382"/>
      <c r="B432" s="1378"/>
      <c r="C432" s="1281" t="s">
        <v>525</v>
      </c>
      <c r="D432" s="287" t="s">
        <v>251</v>
      </c>
      <c r="E432" s="288"/>
      <c r="F432" s="15">
        <v>72</v>
      </c>
      <c r="G432" s="15">
        <v>88</v>
      </c>
      <c r="H432" s="15">
        <v>131</v>
      </c>
      <c r="I432" s="15">
        <v>106</v>
      </c>
      <c r="J432" s="15">
        <v>89</v>
      </c>
      <c r="K432" s="294">
        <v>84</v>
      </c>
      <c r="L432" s="275"/>
      <c r="N432"/>
      <c r="O432"/>
    </row>
    <row r="433" spans="1:15" ht="14.85" customHeight="1" x14ac:dyDescent="0.25">
      <c r="A433" s="1382"/>
      <c r="B433" s="1378"/>
      <c r="C433" s="1282"/>
      <c r="D433" s="152" t="s">
        <v>257</v>
      </c>
      <c r="E433" s="70"/>
      <c r="F433" s="14">
        <v>71</v>
      </c>
      <c r="G433" s="14">
        <v>82</v>
      </c>
      <c r="H433" s="14">
        <v>121</v>
      </c>
      <c r="I433" s="14">
        <v>105</v>
      </c>
      <c r="J433" s="14">
        <v>85</v>
      </c>
      <c r="K433" s="115">
        <v>78</v>
      </c>
      <c r="L433" s="276"/>
      <c r="N433"/>
      <c r="O433"/>
    </row>
    <row r="434" spans="1:15" x14ac:dyDescent="0.25">
      <c r="A434" s="1382"/>
      <c r="B434" s="1378"/>
      <c r="C434" s="1282"/>
      <c r="D434" s="152" t="s">
        <v>263</v>
      </c>
      <c r="E434" s="70"/>
      <c r="F434" s="14">
        <v>1</v>
      </c>
      <c r="G434" s="14">
        <v>6</v>
      </c>
      <c r="H434" s="14">
        <v>10</v>
      </c>
      <c r="I434" s="14">
        <v>1</v>
      </c>
      <c r="J434" s="14">
        <v>4</v>
      </c>
      <c r="K434" s="115">
        <v>6</v>
      </c>
      <c r="L434" s="276"/>
      <c r="N434"/>
      <c r="O434"/>
    </row>
    <row r="435" spans="1:15" s="10" customFormat="1" ht="16.5" thickBot="1" x14ac:dyDescent="0.3">
      <c r="A435" s="1382"/>
      <c r="B435" s="1378"/>
      <c r="C435" s="1283"/>
      <c r="D435" s="289" t="s">
        <v>270</v>
      </c>
      <c r="E435" s="290"/>
      <c r="F435" s="833">
        <f>(F434*100)/F432</f>
        <v>1.3888888888888888</v>
      </c>
      <c r="G435" s="833">
        <f t="shared" ref="G435:K435" si="47">(G434*100)/G432</f>
        <v>6.8181818181818183</v>
      </c>
      <c r="H435" s="833">
        <f t="shared" si="47"/>
        <v>7.6335877862595423</v>
      </c>
      <c r="I435" s="833">
        <f t="shared" si="47"/>
        <v>0.94339622641509435</v>
      </c>
      <c r="J435" s="833">
        <f t="shared" si="47"/>
        <v>4.4943820224719104</v>
      </c>
      <c r="K435" s="833">
        <f t="shared" si="47"/>
        <v>7.1428571428571432</v>
      </c>
      <c r="L435" s="286"/>
      <c r="M435" s="64"/>
    </row>
    <row r="436" spans="1:15" ht="14.85" customHeight="1" x14ac:dyDescent="0.25">
      <c r="A436" s="1382"/>
      <c r="B436" s="1378"/>
      <c r="C436" s="1281" t="s">
        <v>526</v>
      </c>
      <c r="D436" s="287" t="s">
        <v>251</v>
      </c>
      <c r="E436" s="288"/>
      <c r="F436" s="46">
        <v>50</v>
      </c>
      <c r="G436" s="15">
        <v>60</v>
      </c>
      <c r="H436" s="15">
        <v>67</v>
      </c>
      <c r="I436" s="15">
        <v>61</v>
      </c>
      <c r="J436" s="15">
        <v>53</v>
      </c>
      <c r="K436" s="294">
        <v>59</v>
      </c>
      <c r="L436" s="275"/>
      <c r="N436"/>
      <c r="O436"/>
    </row>
    <row r="437" spans="1:15" ht="14.85" customHeight="1" x14ac:dyDescent="0.25">
      <c r="A437" s="1382"/>
      <c r="B437" s="1378"/>
      <c r="C437" s="1282"/>
      <c r="D437" s="152" t="s">
        <v>257</v>
      </c>
      <c r="E437" s="70"/>
      <c r="F437" s="17">
        <v>32</v>
      </c>
      <c r="G437" s="14">
        <v>28</v>
      </c>
      <c r="H437" s="14">
        <v>37</v>
      </c>
      <c r="I437" s="14">
        <v>29</v>
      </c>
      <c r="J437" s="14">
        <v>18</v>
      </c>
      <c r="K437" s="115">
        <v>24</v>
      </c>
      <c r="L437" s="276"/>
      <c r="N437"/>
      <c r="O437"/>
    </row>
    <row r="438" spans="1:15" x14ac:dyDescent="0.25">
      <c r="A438" s="1382"/>
      <c r="B438" s="1378"/>
      <c r="C438" s="1282"/>
      <c r="D438" s="152" t="s">
        <v>263</v>
      </c>
      <c r="E438" s="70"/>
      <c r="F438" s="17">
        <v>18</v>
      </c>
      <c r="G438" s="14">
        <v>32</v>
      </c>
      <c r="H438" s="14">
        <v>30</v>
      </c>
      <c r="I438" s="14">
        <v>32</v>
      </c>
      <c r="J438" s="14">
        <v>35</v>
      </c>
      <c r="K438" s="115">
        <v>35</v>
      </c>
      <c r="L438" s="276"/>
      <c r="N438"/>
      <c r="O438"/>
    </row>
    <row r="439" spans="1:15" ht="16.5" thickBot="1" x14ac:dyDescent="0.3">
      <c r="A439" s="1382"/>
      <c r="B439" s="1378"/>
      <c r="C439" s="1283"/>
      <c r="D439" s="289" t="s">
        <v>270</v>
      </c>
      <c r="E439" s="290"/>
      <c r="F439" s="833">
        <f>(F438*100)/F436</f>
        <v>36</v>
      </c>
      <c r="G439" s="974">
        <f t="shared" ref="G439:K439" si="48">(G438*100)/G436</f>
        <v>53.333333333333336</v>
      </c>
      <c r="H439" s="974">
        <f t="shared" si="48"/>
        <v>44.776119402985074</v>
      </c>
      <c r="I439" s="974">
        <f t="shared" si="48"/>
        <v>52.459016393442624</v>
      </c>
      <c r="J439" s="835">
        <f t="shared" si="48"/>
        <v>66.037735849056602</v>
      </c>
      <c r="K439" s="974">
        <f t="shared" si="48"/>
        <v>59.322033898305087</v>
      </c>
      <c r="L439" s="286"/>
      <c r="N439"/>
      <c r="O439"/>
    </row>
    <row r="440" spans="1:15" ht="14.85" customHeight="1" x14ac:dyDescent="0.25">
      <c r="A440" s="1382"/>
      <c r="B440" s="1378"/>
      <c r="C440" s="1281" t="s">
        <v>527</v>
      </c>
      <c r="D440" s="287" t="s">
        <v>251</v>
      </c>
      <c r="E440" s="288"/>
      <c r="F440" s="15">
        <v>49</v>
      </c>
      <c r="G440" s="15">
        <v>54</v>
      </c>
      <c r="H440" s="15">
        <v>66</v>
      </c>
      <c r="I440" s="15">
        <v>62</v>
      </c>
      <c r="J440" s="15">
        <v>59</v>
      </c>
      <c r="K440" s="294">
        <v>63</v>
      </c>
      <c r="L440" s="275"/>
      <c r="N440"/>
      <c r="O440"/>
    </row>
    <row r="441" spans="1:15" ht="14.85" customHeight="1" x14ac:dyDescent="0.25">
      <c r="A441" s="1382"/>
      <c r="B441" s="1378"/>
      <c r="C441" s="1282"/>
      <c r="D441" s="152" t="s">
        <v>257</v>
      </c>
      <c r="E441" s="70"/>
      <c r="F441" s="14">
        <v>48</v>
      </c>
      <c r="G441" s="14">
        <v>53</v>
      </c>
      <c r="H441" s="14">
        <v>63</v>
      </c>
      <c r="I441" s="14">
        <v>59</v>
      </c>
      <c r="J441" s="14">
        <v>57</v>
      </c>
      <c r="K441" s="115">
        <v>60</v>
      </c>
      <c r="L441" s="276"/>
      <c r="N441"/>
      <c r="O441"/>
    </row>
    <row r="442" spans="1:15" x14ac:dyDescent="0.25">
      <c r="A442" s="1382"/>
      <c r="B442" s="1378"/>
      <c r="C442" s="1282"/>
      <c r="D442" s="152" t="s">
        <v>263</v>
      </c>
      <c r="E442" s="70"/>
      <c r="F442" s="14">
        <v>1</v>
      </c>
      <c r="G442" s="14">
        <v>1</v>
      </c>
      <c r="H442" s="14">
        <v>3</v>
      </c>
      <c r="I442" s="14">
        <v>3</v>
      </c>
      <c r="J442" s="14">
        <v>2</v>
      </c>
      <c r="K442" s="115">
        <v>3</v>
      </c>
      <c r="L442" s="276"/>
      <c r="N442"/>
      <c r="O442"/>
    </row>
    <row r="443" spans="1:15" s="10" customFormat="1" ht="16.5" thickBot="1" x14ac:dyDescent="0.3">
      <c r="A443" s="1382"/>
      <c r="B443" s="1378"/>
      <c r="C443" s="1283"/>
      <c r="D443" s="289" t="s">
        <v>270</v>
      </c>
      <c r="E443" s="290"/>
      <c r="F443" s="833">
        <f>(F442*100)/F440</f>
        <v>2.0408163265306123</v>
      </c>
      <c r="G443" s="833">
        <f t="shared" ref="G443:K443" si="49">(G442*100)/G440</f>
        <v>1.8518518518518519</v>
      </c>
      <c r="H443" s="833">
        <f t="shared" si="49"/>
        <v>4.5454545454545459</v>
      </c>
      <c r="I443" s="833">
        <f t="shared" si="49"/>
        <v>4.838709677419355</v>
      </c>
      <c r="J443" s="833">
        <f t="shared" si="49"/>
        <v>3.3898305084745761</v>
      </c>
      <c r="K443" s="833">
        <f t="shared" si="49"/>
        <v>4.7619047619047619</v>
      </c>
      <c r="L443" s="286"/>
      <c r="M443" s="64"/>
    </row>
    <row r="444" spans="1:15" ht="14.85" customHeight="1" x14ac:dyDescent="0.25">
      <c r="A444" s="1382"/>
      <c r="B444" s="1378"/>
      <c r="C444" s="1295" t="s">
        <v>482</v>
      </c>
      <c r="D444" s="287" t="s">
        <v>251</v>
      </c>
      <c r="E444" s="288"/>
      <c r="F444" s="46">
        <v>55</v>
      </c>
      <c r="G444" s="46">
        <v>124</v>
      </c>
      <c r="H444" s="15">
        <v>233</v>
      </c>
      <c r="I444" s="15">
        <v>208</v>
      </c>
      <c r="J444" s="15">
        <v>171</v>
      </c>
      <c r="K444" s="294">
        <v>205</v>
      </c>
      <c r="L444" s="275"/>
      <c r="N444"/>
      <c r="O444"/>
    </row>
    <row r="445" spans="1:15" ht="14.85" customHeight="1" x14ac:dyDescent="0.25">
      <c r="A445" s="1382"/>
      <c r="B445" s="1378"/>
      <c r="C445" s="1296"/>
      <c r="D445" s="152" t="s">
        <v>257</v>
      </c>
      <c r="E445" s="70"/>
      <c r="F445" s="17">
        <v>32</v>
      </c>
      <c r="G445" s="17">
        <v>75</v>
      </c>
      <c r="H445" s="14">
        <v>135</v>
      </c>
      <c r="I445" s="14">
        <v>135</v>
      </c>
      <c r="J445" s="14">
        <v>117</v>
      </c>
      <c r="K445" s="115">
        <v>137</v>
      </c>
      <c r="L445" s="276"/>
      <c r="N445"/>
      <c r="O445"/>
    </row>
    <row r="446" spans="1:15" x14ac:dyDescent="0.25">
      <c r="A446" s="1382"/>
      <c r="B446" s="1378"/>
      <c r="C446" s="1296"/>
      <c r="D446" s="152" t="s">
        <v>263</v>
      </c>
      <c r="E446" s="70"/>
      <c r="F446" s="17">
        <v>23</v>
      </c>
      <c r="G446" s="17">
        <v>49</v>
      </c>
      <c r="H446" s="14">
        <v>98</v>
      </c>
      <c r="I446" s="14">
        <v>73</v>
      </c>
      <c r="J446" s="14">
        <v>54</v>
      </c>
      <c r="K446" s="115">
        <v>68</v>
      </c>
      <c r="L446" s="276"/>
      <c r="N446"/>
      <c r="O446"/>
    </row>
    <row r="447" spans="1:15" s="10" customFormat="1" ht="16.5" thickBot="1" x14ac:dyDescent="0.3">
      <c r="A447" s="1382"/>
      <c r="B447" s="1378"/>
      <c r="C447" s="1297"/>
      <c r="D447" s="289" t="s">
        <v>270</v>
      </c>
      <c r="E447" s="300"/>
      <c r="F447" s="974">
        <f>(F446*100)/F444</f>
        <v>41.81818181818182</v>
      </c>
      <c r="G447" s="833">
        <f t="shared" ref="G447:K447" si="50">(G446*100)/G444</f>
        <v>39.516129032258064</v>
      </c>
      <c r="H447" s="974">
        <f t="shared" si="50"/>
        <v>42.06008583690987</v>
      </c>
      <c r="I447" s="833">
        <f t="shared" si="50"/>
        <v>35.096153846153847</v>
      </c>
      <c r="J447" s="833">
        <f t="shared" si="50"/>
        <v>31.578947368421051</v>
      </c>
      <c r="K447" s="833">
        <f t="shared" si="50"/>
        <v>33.170731707317074</v>
      </c>
      <c r="L447" s="286"/>
      <c r="M447" s="64"/>
    </row>
    <row r="448" spans="1:15" ht="14.85" customHeight="1" x14ac:dyDescent="0.25">
      <c r="A448" s="1382"/>
      <c r="B448" s="1378"/>
      <c r="C448" s="1281" t="s">
        <v>530</v>
      </c>
      <c r="D448" s="287" t="s">
        <v>251</v>
      </c>
      <c r="E448" s="133"/>
      <c r="F448" s="301">
        <v>43</v>
      </c>
      <c r="G448" s="301">
        <v>24</v>
      </c>
      <c r="H448" s="301">
        <v>64</v>
      </c>
      <c r="I448" s="301">
        <v>61</v>
      </c>
      <c r="J448" s="301">
        <v>65</v>
      </c>
      <c r="K448" s="134">
        <v>64</v>
      </c>
      <c r="L448" s="275"/>
      <c r="N448"/>
      <c r="O448"/>
    </row>
    <row r="449" spans="1:15" ht="14.85" customHeight="1" x14ac:dyDescent="0.25">
      <c r="A449" s="1382"/>
      <c r="B449" s="1378"/>
      <c r="C449" s="1282"/>
      <c r="D449" s="152" t="s">
        <v>257</v>
      </c>
      <c r="E449" s="69"/>
      <c r="F449" s="68">
        <v>35</v>
      </c>
      <c r="G449" s="68">
        <v>20</v>
      </c>
      <c r="H449" s="68">
        <v>49</v>
      </c>
      <c r="I449" s="68">
        <v>29</v>
      </c>
      <c r="J449" s="68">
        <v>44</v>
      </c>
      <c r="K449" s="86">
        <v>44</v>
      </c>
      <c r="L449" s="276"/>
      <c r="N449"/>
      <c r="O449"/>
    </row>
    <row r="450" spans="1:15" x14ac:dyDescent="0.25">
      <c r="A450" s="1382"/>
      <c r="B450" s="1378"/>
      <c r="C450" s="1282"/>
      <c r="D450" s="152" t="s">
        <v>263</v>
      </c>
      <c r="E450" s="72"/>
      <c r="F450" s="73">
        <v>8</v>
      </c>
      <c r="G450" s="73">
        <v>4</v>
      </c>
      <c r="H450" s="73">
        <v>15</v>
      </c>
      <c r="I450" s="73">
        <v>32</v>
      </c>
      <c r="J450" s="73">
        <v>21</v>
      </c>
      <c r="K450" s="116">
        <v>20</v>
      </c>
      <c r="L450" s="276"/>
      <c r="N450"/>
      <c r="O450"/>
    </row>
    <row r="451" spans="1:15" s="10" customFormat="1" ht="16.5" thickBot="1" x14ac:dyDescent="0.3">
      <c r="A451" s="1382"/>
      <c r="B451" s="1378"/>
      <c r="C451" s="1283"/>
      <c r="D451" s="289" t="s">
        <v>270</v>
      </c>
      <c r="E451" s="302"/>
      <c r="F451" s="833">
        <f>(F450*100)/F448</f>
        <v>18.604651162790699</v>
      </c>
      <c r="G451" s="833">
        <f t="shared" ref="G451:K451" si="51">(G450*100)/G448</f>
        <v>16.666666666666668</v>
      </c>
      <c r="H451" s="833">
        <f t="shared" si="51"/>
        <v>23.4375</v>
      </c>
      <c r="I451" s="974">
        <f t="shared" si="51"/>
        <v>52.459016393442624</v>
      </c>
      <c r="J451" s="833">
        <f t="shared" si="51"/>
        <v>32.307692307692307</v>
      </c>
      <c r="K451" s="833">
        <f t="shared" si="51"/>
        <v>31.25</v>
      </c>
      <c r="L451" s="286"/>
      <c r="M451" s="64"/>
    </row>
    <row r="452" spans="1:15" ht="14.85" customHeight="1" x14ac:dyDescent="0.25">
      <c r="A452" s="1382"/>
      <c r="B452" s="1378"/>
      <c r="C452" s="1281" t="s">
        <v>531</v>
      </c>
      <c r="D452" s="287" t="s">
        <v>251</v>
      </c>
      <c r="E452" s="288"/>
      <c r="F452" s="301">
        <v>49</v>
      </c>
      <c r="G452" s="301">
        <v>58</v>
      </c>
      <c r="H452" s="301">
        <v>65</v>
      </c>
      <c r="I452" s="301">
        <v>64</v>
      </c>
      <c r="J452" s="301">
        <v>70</v>
      </c>
      <c r="K452" s="294">
        <v>97</v>
      </c>
      <c r="L452" s="275"/>
      <c r="N452"/>
      <c r="O452"/>
    </row>
    <row r="453" spans="1:15" ht="14.85" customHeight="1" x14ac:dyDescent="0.25">
      <c r="A453" s="1382"/>
      <c r="B453" s="1378"/>
      <c r="C453" s="1282"/>
      <c r="D453" s="152" t="s">
        <v>257</v>
      </c>
      <c r="E453" s="70"/>
      <c r="F453" s="68">
        <v>20</v>
      </c>
      <c r="G453" s="68">
        <v>20</v>
      </c>
      <c r="H453" s="68">
        <v>17</v>
      </c>
      <c r="I453" s="68">
        <v>16</v>
      </c>
      <c r="J453" s="68">
        <v>13</v>
      </c>
      <c r="K453" s="115">
        <v>18</v>
      </c>
      <c r="L453" s="276"/>
      <c r="N453"/>
      <c r="O453"/>
    </row>
    <row r="454" spans="1:15" x14ac:dyDescent="0.25">
      <c r="A454" s="1382"/>
      <c r="B454" s="1378"/>
      <c r="C454" s="1282"/>
      <c r="D454" s="152" t="s">
        <v>263</v>
      </c>
      <c r="E454" s="70"/>
      <c r="F454" s="73">
        <v>29</v>
      </c>
      <c r="G454" s="73">
        <v>38</v>
      </c>
      <c r="H454" s="73">
        <v>48</v>
      </c>
      <c r="I454" s="73">
        <v>48</v>
      </c>
      <c r="J454" s="73">
        <v>57</v>
      </c>
      <c r="K454" s="115">
        <v>79</v>
      </c>
      <c r="L454" s="276"/>
      <c r="N454"/>
      <c r="O454"/>
    </row>
    <row r="455" spans="1:15" s="10" customFormat="1" ht="16.5" thickBot="1" x14ac:dyDescent="0.3">
      <c r="A455" s="1382"/>
      <c r="B455" s="1378"/>
      <c r="C455" s="1283"/>
      <c r="D455" s="289" t="s">
        <v>270</v>
      </c>
      <c r="E455" s="290"/>
      <c r="F455" s="974">
        <f>(F454*100)/F452</f>
        <v>59.183673469387756</v>
      </c>
      <c r="G455" s="835">
        <f t="shared" ref="G455:K455" si="52">(G454*100)/G452</f>
        <v>65.517241379310349</v>
      </c>
      <c r="H455" s="835">
        <f t="shared" si="52"/>
        <v>73.84615384615384</v>
      </c>
      <c r="I455" s="835">
        <f t="shared" si="52"/>
        <v>75</v>
      </c>
      <c r="J455" s="835">
        <f t="shared" si="52"/>
        <v>81.428571428571431</v>
      </c>
      <c r="K455" s="835">
        <f t="shared" si="52"/>
        <v>81.44329896907216</v>
      </c>
      <c r="L455" s="286"/>
      <c r="M455" s="64"/>
    </row>
    <row r="456" spans="1:15" ht="14.85" customHeight="1" x14ac:dyDescent="0.25">
      <c r="A456" s="1382"/>
      <c r="B456" s="1378"/>
      <c r="C456" s="1281" t="s">
        <v>528</v>
      </c>
      <c r="D456" s="287" t="s">
        <v>251</v>
      </c>
      <c r="E456" s="288"/>
      <c r="F456" s="15"/>
      <c r="G456" s="15"/>
      <c r="H456" s="15">
        <v>20</v>
      </c>
      <c r="I456" s="15">
        <v>37</v>
      </c>
      <c r="J456" s="15">
        <v>37</v>
      </c>
      <c r="K456" s="294">
        <v>38</v>
      </c>
      <c r="L456" s="275"/>
      <c r="N456"/>
      <c r="O456"/>
    </row>
    <row r="457" spans="1:15" ht="14.85" customHeight="1" x14ac:dyDescent="0.25">
      <c r="A457" s="1382"/>
      <c r="B457" s="1378"/>
      <c r="C457" s="1282"/>
      <c r="D457" s="152" t="s">
        <v>257</v>
      </c>
      <c r="E457" s="70"/>
      <c r="F457" s="78"/>
      <c r="G457" s="78"/>
      <c r="H457" s="78">
        <v>3</v>
      </c>
      <c r="I457" s="78">
        <v>9</v>
      </c>
      <c r="J457" s="78">
        <v>9</v>
      </c>
      <c r="K457" s="115">
        <v>10</v>
      </c>
      <c r="L457" s="276"/>
      <c r="N457"/>
      <c r="O457"/>
    </row>
    <row r="458" spans="1:15" x14ac:dyDescent="0.25">
      <c r="A458" s="1382"/>
      <c r="B458" s="1378"/>
      <c r="C458" s="1282"/>
      <c r="D458" s="152" t="s">
        <v>263</v>
      </c>
      <c r="E458" s="70"/>
      <c r="F458" s="78"/>
      <c r="G458" s="78"/>
      <c r="H458" s="78">
        <v>17</v>
      </c>
      <c r="I458" s="78">
        <v>28</v>
      </c>
      <c r="J458" s="78">
        <v>28</v>
      </c>
      <c r="K458" s="115">
        <v>28</v>
      </c>
      <c r="L458" s="276"/>
      <c r="N458"/>
      <c r="O458"/>
    </row>
    <row r="459" spans="1:15" s="10" customFormat="1" ht="16.5" thickBot="1" x14ac:dyDescent="0.3">
      <c r="A459" s="1382"/>
      <c r="B459" s="1378"/>
      <c r="C459" s="1283"/>
      <c r="D459" s="289" t="s">
        <v>270</v>
      </c>
      <c r="E459" s="290"/>
      <c r="F459" s="906"/>
      <c r="G459" s="906"/>
      <c r="H459" s="975">
        <f>(H458*100)/H456</f>
        <v>85</v>
      </c>
      <c r="I459" s="975">
        <f t="shared" ref="I459" si="53">(I458*100)/I456</f>
        <v>75.675675675675677</v>
      </c>
      <c r="J459" s="975">
        <f t="shared" ref="J459:K459" si="54">(J458*100)/J456</f>
        <v>75.675675675675677</v>
      </c>
      <c r="K459" s="975">
        <f t="shared" si="54"/>
        <v>73.684210526315795</v>
      </c>
      <c r="L459" s="286"/>
      <c r="M459" s="64"/>
    </row>
    <row r="460" spans="1:15" ht="14.85" customHeight="1" x14ac:dyDescent="0.25">
      <c r="A460" s="1382"/>
      <c r="B460" s="1378"/>
      <c r="C460" s="1284" t="s">
        <v>523</v>
      </c>
      <c r="D460" s="287" t="s">
        <v>251</v>
      </c>
      <c r="E460" s="288"/>
      <c r="F460" s="15"/>
      <c r="G460" s="15"/>
      <c r="H460" s="15">
        <v>75</v>
      </c>
      <c r="I460" s="15">
        <v>105</v>
      </c>
      <c r="J460" s="15">
        <v>135</v>
      </c>
      <c r="K460" s="294">
        <v>121</v>
      </c>
      <c r="L460" s="275"/>
      <c r="N460"/>
      <c r="O460"/>
    </row>
    <row r="461" spans="1:15" ht="14.85" customHeight="1" x14ac:dyDescent="0.25">
      <c r="A461" s="1382"/>
      <c r="B461" s="1378"/>
      <c r="C461" s="1285"/>
      <c r="D461" s="152" t="s">
        <v>257</v>
      </c>
      <c r="E461" s="70"/>
      <c r="F461" s="14"/>
      <c r="G461" s="14"/>
      <c r="H461" s="14">
        <v>37</v>
      </c>
      <c r="I461" s="14">
        <v>56</v>
      </c>
      <c r="J461" s="14">
        <v>76</v>
      </c>
      <c r="K461" s="115">
        <v>58</v>
      </c>
      <c r="L461" s="276"/>
      <c r="N461"/>
      <c r="O461"/>
    </row>
    <row r="462" spans="1:15" x14ac:dyDescent="0.25">
      <c r="A462" s="1382"/>
      <c r="B462" s="1378"/>
      <c r="C462" s="1285"/>
      <c r="D462" s="152" t="s">
        <v>263</v>
      </c>
      <c r="E462" s="70"/>
      <c r="F462" s="14"/>
      <c r="G462" s="14"/>
      <c r="H462" s="14">
        <v>38</v>
      </c>
      <c r="I462" s="14">
        <v>49</v>
      </c>
      <c r="J462" s="14">
        <v>59</v>
      </c>
      <c r="K462" s="115">
        <v>63</v>
      </c>
      <c r="L462" s="276"/>
      <c r="N462"/>
      <c r="O462"/>
    </row>
    <row r="463" spans="1:15" s="10" customFormat="1" ht="16.5" thickBot="1" x14ac:dyDescent="0.3">
      <c r="A463" s="1382"/>
      <c r="B463" s="1378"/>
      <c r="C463" s="1286"/>
      <c r="D463" s="289" t="s">
        <v>270</v>
      </c>
      <c r="E463" s="290"/>
      <c r="F463" s="834"/>
      <c r="G463" s="834"/>
      <c r="H463" s="974">
        <f>(H462*100)/H460</f>
        <v>50.666666666666664</v>
      </c>
      <c r="I463" s="974">
        <f t="shared" ref="I463" si="55">(I462*100)/I460</f>
        <v>46.666666666666664</v>
      </c>
      <c r="J463" s="974">
        <f t="shared" ref="J463:K463" si="56">(J462*100)/J460</f>
        <v>43.703703703703702</v>
      </c>
      <c r="K463" s="974">
        <f t="shared" si="56"/>
        <v>52.066115702479337</v>
      </c>
      <c r="L463" s="286"/>
      <c r="M463" s="64"/>
    </row>
    <row r="464" spans="1:15" ht="14.85" customHeight="1" x14ac:dyDescent="0.25">
      <c r="A464" s="1382"/>
      <c r="B464" s="1378"/>
      <c r="C464" s="1281" t="s">
        <v>532</v>
      </c>
      <c r="D464" s="287" t="s">
        <v>251</v>
      </c>
      <c r="E464" s="288"/>
      <c r="F464" s="15"/>
      <c r="G464" s="15"/>
      <c r="H464" s="15">
        <v>96</v>
      </c>
      <c r="I464" s="15">
        <v>149</v>
      </c>
      <c r="J464" s="15">
        <v>158</v>
      </c>
      <c r="K464" s="294">
        <v>141</v>
      </c>
      <c r="L464" s="275"/>
      <c r="N464"/>
      <c r="O464"/>
    </row>
    <row r="465" spans="1:15" ht="14.85" customHeight="1" x14ac:dyDescent="0.25">
      <c r="A465" s="1382"/>
      <c r="B465" s="1378"/>
      <c r="C465" s="1282"/>
      <c r="D465" s="152" t="s">
        <v>257</v>
      </c>
      <c r="E465" s="70"/>
      <c r="F465" s="14"/>
      <c r="G465" s="14"/>
      <c r="H465" s="14">
        <v>52</v>
      </c>
      <c r="I465" s="14">
        <v>83</v>
      </c>
      <c r="J465" s="14">
        <v>76</v>
      </c>
      <c r="K465" s="115">
        <v>67</v>
      </c>
      <c r="L465" s="276"/>
      <c r="N465"/>
      <c r="O465"/>
    </row>
    <row r="466" spans="1:15" x14ac:dyDescent="0.25">
      <c r="A466" s="1382"/>
      <c r="B466" s="1378"/>
      <c r="C466" s="1282"/>
      <c r="D466" s="152" t="s">
        <v>263</v>
      </c>
      <c r="E466" s="70"/>
      <c r="F466" s="14"/>
      <c r="G466" s="14"/>
      <c r="H466" s="14">
        <v>44</v>
      </c>
      <c r="I466" s="14">
        <v>66</v>
      </c>
      <c r="J466" s="14">
        <v>82</v>
      </c>
      <c r="K466" s="115">
        <v>74</v>
      </c>
      <c r="L466" s="276"/>
      <c r="N466"/>
      <c r="O466"/>
    </row>
    <row r="467" spans="1:15" s="10" customFormat="1" ht="16.5" thickBot="1" x14ac:dyDescent="0.3">
      <c r="A467" s="1382"/>
      <c r="B467" s="1378"/>
      <c r="C467" s="1287"/>
      <c r="D467" s="153" t="s">
        <v>270</v>
      </c>
      <c r="E467" s="139"/>
      <c r="F467" s="976"/>
      <c r="G467" s="976"/>
      <c r="H467" s="977">
        <f>(H466*100)/H464</f>
        <v>45.833333333333336</v>
      </c>
      <c r="I467" s="977">
        <f t="shared" ref="I467" si="57">(I466*100)/I464</f>
        <v>44.29530201342282</v>
      </c>
      <c r="J467" s="977">
        <f t="shared" ref="J467:K467" si="58">(J466*100)/J464</f>
        <v>51.898734177215189</v>
      </c>
      <c r="K467" s="977">
        <f t="shared" si="58"/>
        <v>52.4822695035461</v>
      </c>
      <c r="L467" s="721"/>
      <c r="M467" s="64"/>
    </row>
    <row r="468" spans="1:15" ht="16.5" thickBot="1" x14ac:dyDescent="0.3">
      <c r="A468" s="1382"/>
      <c r="B468" s="1378"/>
      <c r="C468" s="1379" t="s">
        <v>529</v>
      </c>
      <c r="D468" s="978" t="s">
        <v>473</v>
      </c>
      <c r="E468" s="288"/>
      <c r="F468" s="979">
        <f>6/8*100</f>
        <v>75</v>
      </c>
      <c r="G468" s="979">
        <f>6/9*100</f>
        <v>66.666666666666657</v>
      </c>
      <c r="H468" s="980">
        <f>5/12*100</f>
        <v>41.666666666666671</v>
      </c>
      <c r="I468" s="981">
        <f>6/12*100</f>
        <v>50</v>
      </c>
      <c r="J468" s="980">
        <f>7/12*100</f>
        <v>58.333333333333336</v>
      </c>
      <c r="K468" s="980">
        <f>6/12*100</f>
        <v>50</v>
      </c>
      <c r="L468" s="275"/>
      <c r="N468"/>
      <c r="O468"/>
    </row>
    <row r="469" spans="1:15" x14ac:dyDescent="0.25">
      <c r="A469" s="1382"/>
      <c r="B469" s="1378"/>
      <c r="C469" s="1380"/>
      <c r="D469" s="154" t="s">
        <v>474</v>
      </c>
      <c r="E469" s="70"/>
      <c r="F469" s="75">
        <v>0</v>
      </c>
      <c r="G469" s="75">
        <f>2/9*100</f>
        <v>22.222222222222221</v>
      </c>
      <c r="H469" s="76">
        <f>3/12*100</f>
        <v>25</v>
      </c>
      <c r="I469" s="75">
        <f>3/12*100</f>
        <v>25</v>
      </c>
      <c r="J469" s="77">
        <f>4/12*100</f>
        <v>33.333333333333329</v>
      </c>
      <c r="K469" s="77">
        <f>3/12*100</f>
        <v>25</v>
      </c>
      <c r="L469" s="276"/>
      <c r="N469"/>
      <c r="O469"/>
    </row>
    <row r="470" spans="1:15" ht="16.5" thickBot="1" x14ac:dyDescent="0.3">
      <c r="A470" s="1382"/>
      <c r="B470" s="1378"/>
      <c r="C470" s="1381"/>
      <c r="D470" s="982" t="s">
        <v>475</v>
      </c>
      <c r="E470" s="983"/>
      <c r="F470" s="984">
        <f>2/8*100</f>
        <v>25</v>
      </c>
      <c r="G470" s="984">
        <f>1/9*100</f>
        <v>11.111111111111111</v>
      </c>
      <c r="H470" s="760">
        <f>4/12*100</f>
        <v>33.333333333333329</v>
      </c>
      <c r="I470" s="984">
        <v>25</v>
      </c>
      <c r="J470" s="760">
        <f>1/12*100</f>
        <v>8.3333333333333321</v>
      </c>
      <c r="K470" s="760">
        <f>3/12*100</f>
        <v>25</v>
      </c>
      <c r="L470" s="279"/>
      <c r="N470"/>
      <c r="O470"/>
    </row>
    <row r="471" spans="1:15" ht="16.5" thickBot="1" x14ac:dyDescent="0.3">
      <c r="A471" s="1382"/>
      <c r="B471" s="985" t="s">
        <v>249</v>
      </c>
      <c r="C471" s="1226"/>
      <c r="D471" s="1226"/>
      <c r="E471" s="943" t="s">
        <v>442</v>
      </c>
      <c r="F471" s="943" t="s">
        <v>443</v>
      </c>
      <c r="G471" s="943" t="s">
        <v>444</v>
      </c>
      <c r="H471" s="943" t="s">
        <v>445</v>
      </c>
      <c r="I471" s="943" t="s">
        <v>446</v>
      </c>
      <c r="J471" s="943" t="s">
        <v>447</v>
      </c>
      <c r="K471" s="943" t="s">
        <v>448</v>
      </c>
      <c r="L471" s="944" t="s">
        <v>449</v>
      </c>
      <c r="N471"/>
      <c r="O471"/>
    </row>
    <row r="472" spans="1:15" s="10" customFormat="1" x14ac:dyDescent="0.25">
      <c r="A472" s="1382"/>
      <c r="B472" s="1354" t="s">
        <v>219</v>
      </c>
      <c r="C472" s="1153" t="s">
        <v>459</v>
      </c>
      <c r="D472" s="1289"/>
      <c r="E472" s="719"/>
      <c r="F472" s="194"/>
      <c r="G472" s="194"/>
      <c r="H472" s="192">
        <v>138</v>
      </c>
      <c r="I472" s="192">
        <v>231</v>
      </c>
      <c r="J472" s="192">
        <v>305</v>
      </c>
      <c r="K472" s="192">
        <v>295</v>
      </c>
      <c r="L472" s="278"/>
      <c r="M472" s="64"/>
      <c r="N472" s="64"/>
      <c r="O472" s="64"/>
    </row>
    <row r="473" spans="1:15" x14ac:dyDescent="0.25">
      <c r="A473" s="1382"/>
      <c r="B473" s="1355"/>
      <c r="C473" s="1148" t="s">
        <v>436</v>
      </c>
      <c r="D473" s="1290"/>
      <c r="E473" s="316"/>
      <c r="F473" s="187"/>
      <c r="G473" s="187"/>
      <c r="H473" s="96">
        <v>65</v>
      </c>
      <c r="I473" s="96">
        <v>114</v>
      </c>
      <c r="J473" s="96">
        <v>187</v>
      </c>
      <c r="K473" s="96">
        <v>167</v>
      </c>
      <c r="L473" s="276"/>
    </row>
    <row r="474" spans="1:15" x14ac:dyDescent="0.25">
      <c r="A474" s="1382"/>
      <c r="B474" s="1355"/>
      <c r="C474" s="1148" t="s">
        <v>437</v>
      </c>
      <c r="D474" s="1290"/>
      <c r="E474" s="318"/>
      <c r="F474" s="96"/>
      <c r="G474" s="96"/>
      <c r="H474" s="96">
        <v>73</v>
      </c>
      <c r="I474" s="96">
        <v>117</v>
      </c>
      <c r="J474" s="96">
        <v>118</v>
      </c>
      <c r="K474" s="96">
        <v>128</v>
      </c>
      <c r="L474" s="276"/>
    </row>
    <row r="475" spans="1:15" x14ac:dyDescent="0.25">
      <c r="A475" s="1382"/>
      <c r="B475" s="1355"/>
      <c r="C475" s="1190" t="s">
        <v>353</v>
      </c>
      <c r="D475" s="1298"/>
      <c r="E475" s="319"/>
      <c r="F475" s="157"/>
      <c r="G475" s="157"/>
      <c r="H475" s="157">
        <f>H474-H473</f>
        <v>8</v>
      </c>
      <c r="I475" s="157">
        <f>I474-I473</f>
        <v>3</v>
      </c>
      <c r="J475" s="157">
        <f>J474-J473</f>
        <v>-69</v>
      </c>
      <c r="K475" s="157">
        <f>K474-K473</f>
        <v>-39</v>
      </c>
      <c r="L475" s="282"/>
    </row>
    <row r="476" spans="1:15" ht="16.5" thickBot="1" x14ac:dyDescent="0.3">
      <c r="A476" s="1382"/>
      <c r="B476" s="1355"/>
      <c r="C476" s="1169" t="s">
        <v>270</v>
      </c>
      <c r="D476" s="1291"/>
      <c r="E476" s="320"/>
      <c r="F476" s="190"/>
      <c r="G476" s="190"/>
      <c r="H476" s="313">
        <f>0.528985507*100</f>
        <v>52.898550700000001</v>
      </c>
      <c r="I476" s="314">
        <f>+I474/I472*100</f>
        <v>50.649350649350644</v>
      </c>
      <c r="J476" s="34">
        <f>+J474/J472*100</f>
        <v>38.688524590163937</v>
      </c>
      <c r="K476" s="34">
        <f>0.433898305*100</f>
        <v>43.389830499999995</v>
      </c>
      <c r="L476" s="279"/>
    </row>
    <row r="477" spans="1:15" x14ac:dyDescent="0.25">
      <c r="A477" s="1382"/>
      <c r="B477" s="1355"/>
      <c r="C477" s="1205" t="s">
        <v>484</v>
      </c>
      <c r="D477" s="1292"/>
      <c r="E477" s="321"/>
      <c r="F477" s="225"/>
      <c r="G477" s="225"/>
      <c r="H477" s="261">
        <v>16.666666666666664</v>
      </c>
      <c r="I477" s="261">
        <v>16.666666666666664</v>
      </c>
      <c r="J477" s="315">
        <f>0.333333333333333*100</f>
        <v>33.3333333333333</v>
      </c>
      <c r="K477" s="315">
        <v>55.555555555555557</v>
      </c>
      <c r="L477" s="275"/>
    </row>
    <row r="478" spans="1:15" x14ac:dyDescent="0.25">
      <c r="A478" s="1382"/>
      <c r="B478" s="1355"/>
      <c r="C478" s="1174" t="s">
        <v>485</v>
      </c>
      <c r="D478" s="1293"/>
      <c r="E478" s="318"/>
      <c r="F478" s="96"/>
      <c r="G478" s="96"/>
      <c r="H478" s="158">
        <v>33.333333333333329</v>
      </c>
      <c r="I478" s="235">
        <v>33.333333333333329</v>
      </c>
      <c r="J478" s="237">
        <f>0.166666666666667*100</f>
        <v>16.6666666666667</v>
      </c>
      <c r="K478" s="158">
        <v>22.222222222222221</v>
      </c>
      <c r="L478" s="276"/>
    </row>
    <row r="479" spans="1:15" ht="16.5" thickBot="1" x14ac:dyDescent="0.3">
      <c r="A479" s="1382"/>
      <c r="B479" s="1356"/>
      <c r="C479" s="1175" t="s">
        <v>486</v>
      </c>
      <c r="D479" s="1294"/>
      <c r="E479" s="720"/>
      <c r="F479" s="360"/>
      <c r="G479" s="360"/>
      <c r="H479" s="356">
        <v>50</v>
      </c>
      <c r="I479" s="356">
        <v>50</v>
      </c>
      <c r="J479" s="361">
        <f>0.5*100</f>
        <v>50</v>
      </c>
      <c r="K479" s="361">
        <v>22.222222222222221</v>
      </c>
      <c r="L479" s="721"/>
    </row>
    <row r="480" spans="1:15" ht="16.5" thickBot="1" x14ac:dyDescent="0.3">
      <c r="A480" s="151" t="s">
        <v>248</v>
      </c>
      <c r="B480" s="951" t="s">
        <v>249</v>
      </c>
      <c r="C480" s="1176"/>
      <c r="D480" s="1176"/>
      <c r="E480" s="695">
        <v>2005</v>
      </c>
      <c r="F480" s="695">
        <v>2010</v>
      </c>
      <c r="G480" s="695">
        <v>2015</v>
      </c>
      <c r="H480" s="695">
        <v>2020</v>
      </c>
      <c r="I480" s="695">
        <v>2021</v>
      </c>
      <c r="J480" s="695">
        <v>2022</v>
      </c>
      <c r="K480" s="695">
        <v>2023</v>
      </c>
      <c r="L480" s="696">
        <v>2024</v>
      </c>
    </row>
    <row r="481" spans="1:15" ht="15" customHeight="1" x14ac:dyDescent="0.25">
      <c r="A481" s="1338" t="s">
        <v>487</v>
      </c>
      <c r="B481" s="1339" t="s">
        <v>227</v>
      </c>
      <c r="C481" s="1121" t="s">
        <v>435</v>
      </c>
      <c r="D481" s="1289"/>
      <c r="E481" s="722"/>
      <c r="F481" s="122"/>
      <c r="G481" s="122"/>
      <c r="H481" s="122"/>
      <c r="I481" s="122"/>
      <c r="J481" s="122"/>
      <c r="K481" s="192">
        <v>1131</v>
      </c>
      <c r="L481" s="1073">
        <v>1196</v>
      </c>
    </row>
    <row r="482" spans="1:15" x14ac:dyDescent="0.25">
      <c r="A482" s="1338"/>
      <c r="B482" s="1339"/>
      <c r="C482" s="1123" t="s">
        <v>533</v>
      </c>
      <c r="D482" s="1290"/>
      <c r="E482" s="316"/>
      <c r="F482" s="28"/>
      <c r="G482" s="28"/>
      <c r="H482" s="28"/>
      <c r="I482" s="28"/>
      <c r="J482" s="28"/>
      <c r="K482" s="28">
        <v>362</v>
      </c>
      <c r="L482" s="276">
        <v>386</v>
      </c>
    </row>
    <row r="483" spans="1:15" x14ac:dyDescent="0.25">
      <c r="A483" s="1338"/>
      <c r="B483" s="1339"/>
      <c r="C483" s="1123" t="s">
        <v>534</v>
      </c>
      <c r="D483" s="1290"/>
      <c r="E483" s="316"/>
      <c r="F483" s="28"/>
      <c r="G483" s="28"/>
      <c r="H483" s="28"/>
      <c r="I483" s="28"/>
      <c r="J483" s="28"/>
      <c r="K483" s="28">
        <v>769</v>
      </c>
      <c r="L483" s="282">
        <v>810</v>
      </c>
    </row>
    <row r="484" spans="1:15" x14ac:dyDescent="0.25">
      <c r="A484" s="1338"/>
      <c r="B484" s="1339"/>
      <c r="C484" s="1127" t="s">
        <v>353</v>
      </c>
      <c r="D484" s="1324"/>
      <c r="E484" s="316"/>
      <c r="F484" s="28"/>
      <c r="G484" s="28"/>
      <c r="H484" s="28"/>
      <c r="I484" s="28"/>
      <c r="J484" s="28"/>
      <c r="K484" s="262">
        <f t="shared" ref="K484" si="59">K483-K482</f>
        <v>407</v>
      </c>
      <c r="L484" s="1074">
        <v>424</v>
      </c>
    </row>
    <row r="485" spans="1:15" ht="16.5" thickBot="1" x14ac:dyDescent="0.3">
      <c r="A485" s="1338"/>
      <c r="B485" s="1340"/>
      <c r="C485" s="1125" t="s">
        <v>270</v>
      </c>
      <c r="D485" s="1291"/>
      <c r="E485" s="322"/>
      <c r="F485" s="197"/>
      <c r="G485" s="197"/>
      <c r="H485" s="197"/>
      <c r="I485" s="197"/>
      <c r="J485" s="197"/>
      <c r="K485" s="161">
        <f t="shared" ref="K485" si="60">K483/K481*100</f>
        <v>67.992926613616262</v>
      </c>
      <c r="L485" s="490">
        <v>67.725752508361197</v>
      </c>
    </row>
    <row r="486" spans="1:15" x14ac:dyDescent="0.25">
      <c r="A486" s="1338"/>
      <c r="B486" s="1341" t="s">
        <v>488</v>
      </c>
      <c r="C486" s="1251" t="s">
        <v>489</v>
      </c>
      <c r="D486" s="1206"/>
      <c r="E486" s="36"/>
      <c r="F486" s="36">
        <v>55</v>
      </c>
      <c r="G486" s="36">
        <v>70</v>
      </c>
      <c r="H486" s="36">
        <v>124</v>
      </c>
      <c r="I486" s="36"/>
      <c r="J486" s="36"/>
      <c r="K486" s="40">
        <v>159</v>
      </c>
      <c r="L486" s="1067">
        <v>52</v>
      </c>
    </row>
    <row r="487" spans="1:15" x14ac:dyDescent="0.25">
      <c r="A487" s="1338"/>
      <c r="B487" s="1342"/>
      <c r="C487" s="1109" t="s">
        <v>490</v>
      </c>
      <c r="D487" s="1110"/>
      <c r="E487" s="28"/>
      <c r="F487" s="28">
        <v>1</v>
      </c>
      <c r="G487" s="28">
        <v>1</v>
      </c>
      <c r="H487" s="28">
        <v>1</v>
      </c>
      <c r="I487" s="28"/>
      <c r="J487" s="28"/>
      <c r="K487" s="44">
        <v>2</v>
      </c>
      <c r="L487" s="1068">
        <v>2</v>
      </c>
    </row>
    <row r="488" spans="1:15" ht="16.5" thickBot="1" x14ac:dyDescent="0.3">
      <c r="A488" s="1338"/>
      <c r="B488" s="1342"/>
      <c r="C488" s="1277" t="s">
        <v>491</v>
      </c>
      <c r="D488" s="1142"/>
      <c r="E488" s="336"/>
      <c r="F488" s="165">
        <f>F487/F486*100</f>
        <v>1.8181818181818181</v>
      </c>
      <c r="G488" s="165">
        <f t="shared" ref="G488:H488" si="61">G487/G486*100</f>
        <v>1.4285714285714286</v>
      </c>
      <c r="H488" s="165">
        <f t="shared" si="61"/>
        <v>0.80645161290322576</v>
      </c>
      <c r="I488" s="336"/>
      <c r="J488" s="336"/>
      <c r="K488" s="165">
        <f>K487/K486*100</f>
        <v>1.257861635220126</v>
      </c>
      <c r="L488" s="1069">
        <v>3.8461538461538458</v>
      </c>
    </row>
    <row r="489" spans="1:15" ht="16.5" thickBot="1" x14ac:dyDescent="0.3">
      <c r="A489" s="151" t="s">
        <v>248</v>
      </c>
      <c r="B489" s="723" t="s">
        <v>249</v>
      </c>
      <c r="C489" s="1275"/>
      <c r="D489" s="1275"/>
      <c r="E489" s="986">
        <v>2005</v>
      </c>
      <c r="F489" s="986">
        <v>2010</v>
      </c>
      <c r="G489" s="986">
        <v>2015</v>
      </c>
      <c r="H489" s="986">
        <v>2020</v>
      </c>
      <c r="I489" s="986">
        <v>2021</v>
      </c>
      <c r="J489" s="986">
        <v>2022</v>
      </c>
      <c r="K489" s="724">
        <v>2023</v>
      </c>
      <c r="L489" s="729">
        <v>2024</v>
      </c>
    </row>
    <row r="490" spans="1:15" s="10" customFormat="1" ht="15" customHeight="1" x14ac:dyDescent="0.25">
      <c r="A490" s="1261" t="s">
        <v>492</v>
      </c>
      <c r="B490" s="1374" t="s">
        <v>493</v>
      </c>
      <c r="C490" s="1251" t="s">
        <v>459</v>
      </c>
      <c r="D490" s="1206"/>
      <c r="E490" s="40"/>
      <c r="F490" s="195">
        <v>1430</v>
      </c>
      <c r="G490" s="195">
        <v>1486</v>
      </c>
      <c r="H490" s="195">
        <v>1351</v>
      </c>
      <c r="I490" s="195">
        <v>1987</v>
      </c>
      <c r="J490" s="195">
        <v>2022</v>
      </c>
      <c r="K490" s="195">
        <v>2310</v>
      </c>
      <c r="L490" s="195">
        <v>2638</v>
      </c>
      <c r="M490" s="64"/>
      <c r="N490" s="64"/>
      <c r="O490" s="64"/>
    </row>
    <row r="491" spans="1:15" x14ac:dyDescent="0.25">
      <c r="A491" s="1261"/>
      <c r="B491" s="1375"/>
      <c r="C491" s="1320" t="s">
        <v>436</v>
      </c>
      <c r="D491" s="28" t="s">
        <v>494</v>
      </c>
      <c r="E491" s="28"/>
      <c r="F491" s="96">
        <v>688</v>
      </c>
      <c r="G491" s="96">
        <v>743</v>
      </c>
      <c r="H491" s="96">
        <v>768</v>
      </c>
      <c r="I491" s="96">
        <v>1089</v>
      </c>
      <c r="J491" s="96">
        <v>1195</v>
      </c>
      <c r="K491" s="96">
        <v>1253</v>
      </c>
      <c r="L491" s="96">
        <v>1466</v>
      </c>
    </row>
    <row r="492" spans="1:15" x14ac:dyDescent="0.25">
      <c r="A492" s="1261"/>
      <c r="B492" s="1375"/>
      <c r="C492" s="1320"/>
      <c r="D492" s="28" t="s">
        <v>495</v>
      </c>
      <c r="E492" s="28"/>
      <c r="F492" s="96">
        <v>111</v>
      </c>
      <c r="G492" s="96">
        <v>117</v>
      </c>
      <c r="H492" s="96">
        <v>82</v>
      </c>
      <c r="I492" s="96">
        <v>160</v>
      </c>
      <c r="J492" s="96">
        <v>101</v>
      </c>
      <c r="K492" s="96">
        <v>170</v>
      </c>
      <c r="L492" s="276">
        <v>202</v>
      </c>
    </row>
    <row r="493" spans="1:15" x14ac:dyDescent="0.25">
      <c r="A493" s="1261"/>
      <c r="B493" s="1375"/>
      <c r="C493" s="1320" t="s">
        <v>437</v>
      </c>
      <c r="D493" s="28" t="s">
        <v>496</v>
      </c>
      <c r="E493" s="28"/>
      <c r="F493" s="96">
        <v>159</v>
      </c>
      <c r="G493" s="96">
        <v>191</v>
      </c>
      <c r="H493" s="96">
        <v>233</v>
      </c>
      <c r="I493" s="96">
        <v>375</v>
      </c>
      <c r="J493" s="96">
        <v>352</v>
      </c>
      <c r="K493" s="96">
        <v>388</v>
      </c>
      <c r="L493" s="276">
        <v>452</v>
      </c>
    </row>
    <row r="494" spans="1:15" ht="16.5" thickBot="1" x14ac:dyDescent="0.3">
      <c r="A494" s="1261"/>
      <c r="B494" s="1375"/>
      <c r="C494" s="1321"/>
      <c r="D494" s="33" t="s">
        <v>497</v>
      </c>
      <c r="E494" s="33"/>
      <c r="F494" s="190">
        <v>170</v>
      </c>
      <c r="G494" s="190">
        <v>181</v>
      </c>
      <c r="H494" s="190">
        <v>102</v>
      </c>
      <c r="I494" s="190">
        <v>171</v>
      </c>
      <c r="J494" s="190">
        <v>177</v>
      </c>
      <c r="K494" s="190">
        <v>258</v>
      </c>
      <c r="L494" s="279">
        <v>285</v>
      </c>
    </row>
    <row r="495" spans="1:15" x14ac:dyDescent="0.25">
      <c r="A495" s="1261"/>
      <c r="B495" s="1376"/>
      <c r="C495" s="1322" t="s">
        <v>353</v>
      </c>
      <c r="D495" s="323" t="s">
        <v>498</v>
      </c>
      <c r="E495" s="722"/>
      <c r="F495" s="130">
        <f t="shared" ref="F495:L495" si="62">+F493-F491</f>
        <v>-529</v>
      </c>
      <c r="G495" s="130">
        <f t="shared" si="62"/>
        <v>-552</v>
      </c>
      <c r="H495" s="130">
        <f t="shared" si="62"/>
        <v>-535</v>
      </c>
      <c r="I495" s="130">
        <f t="shared" si="62"/>
        <v>-714</v>
      </c>
      <c r="J495" s="130">
        <f t="shared" si="62"/>
        <v>-843</v>
      </c>
      <c r="K495" s="130">
        <f t="shared" si="62"/>
        <v>-865</v>
      </c>
      <c r="L495" s="130">
        <f t="shared" si="62"/>
        <v>-1014</v>
      </c>
    </row>
    <row r="496" spans="1:15" x14ac:dyDescent="0.25">
      <c r="A496" s="1261"/>
      <c r="B496" s="1376"/>
      <c r="C496" s="1323"/>
      <c r="D496" s="317" t="s">
        <v>499</v>
      </c>
      <c r="E496" s="316"/>
      <c r="F496" s="79">
        <f t="shared" ref="F496:L496" si="63">F494-F492</f>
        <v>59</v>
      </c>
      <c r="G496" s="79">
        <f t="shared" si="63"/>
        <v>64</v>
      </c>
      <c r="H496" s="79">
        <f t="shared" si="63"/>
        <v>20</v>
      </c>
      <c r="I496" s="79">
        <f t="shared" si="63"/>
        <v>11</v>
      </c>
      <c r="J496" s="79">
        <f t="shared" si="63"/>
        <v>76</v>
      </c>
      <c r="K496" s="79">
        <f t="shared" si="63"/>
        <v>88</v>
      </c>
      <c r="L496" s="79">
        <f t="shared" si="63"/>
        <v>83</v>
      </c>
    </row>
    <row r="497" spans="1:12" ht="16.5" customHeight="1" x14ac:dyDescent="0.25">
      <c r="A497" s="1261"/>
      <c r="B497" s="1376"/>
      <c r="C497" s="1323" t="s">
        <v>270</v>
      </c>
      <c r="D497" s="317" t="s">
        <v>500</v>
      </c>
      <c r="E497" s="316"/>
      <c r="F497" s="263">
        <f>+F493/(F493+F491)*100</f>
        <v>18.772136953955133</v>
      </c>
      <c r="G497" s="263">
        <f t="shared" ref="G497:L498" si="64">+G493/(G493+G491)*100</f>
        <v>20.449678800856532</v>
      </c>
      <c r="H497" s="263">
        <f t="shared" si="64"/>
        <v>23.276723276723278</v>
      </c>
      <c r="I497" s="263">
        <f t="shared" si="64"/>
        <v>25.614754098360653</v>
      </c>
      <c r="J497" s="263">
        <f t="shared" si="64"/>
        <v>22.753716871363931</v>
      </c>
      <c r="K497" s="263">
        <f t="shared" si="64"/>
        <v>23.644119439366239</v>
      </c>
      <c r="L497" s="263">
        <f t="shared" si="64"/>
        <v>23.56621480709072</v>
      </c>
    </row>
    <row r="498" spans="1:12" ht="16.5" thickBot="1" x14ac:dyDescent="0.3">
      <c r="A498" s="1262"/>
      <c r="B498" s="1377"/>
      <c r="C498" s="1373"/>
      <c r="D498" s="204" t="s">
        <v>501</v>
      </c>
      <c r="E498" s="324"/>
      <c r="F498" s="230">
        <f>+F494/(F494+F492)*100</f>
        <v>60.4982206405694</v>
      </c>
      <c r="G498" s="230">
        <f t="shared" si="64"/>
        <v>60.738255033557046</v>
      </c>
      <c r="H498" s="230">
        <f t="shared" si="64"/>
        <v>55.434782608695656</v>
      </c>
      <c r="I498" s="230">
        <f t="shared" si="64"/>
        <v>51.661631419939582</v>
      </c>
      <c r="J498" s="230">
        <f t="shared" si="64"/>
        <v>63.669064748201443</v>
      </c>
      <c r="K498" s="230">
        <f t="shared" si="64"/>
        <v>60.280373831775705</v>
      </c>
      <c r="L498" s="230">
        <f t="shared" si="64"/>
        <v>58.521560574948658</v>
      </c>
    </row>
  </sheetData>
  <mergeCells count="235">
    <mergeCell ref="C497:C498"/>
    <mergeCell ref="A490:A498"/>
    <mergeCell ref="B490:B498"/>
    <mergeCell ref="B372:B414"/>
    <mergeCell ref="C468:C470"/>
    <mergeCell ref="B416:B470"/>
    <mergeCell ref="A362:A479"/>
    <mergeCell ref="C471:D471"/>
    <mergeCell ref="B336:B340"/>
    <mergeCell ref="C336:D336"/>
    <mergeCell ref="C337:D337"/>
    <mergeCell ref="C338:D338"/>
    <mergeCell ref="C339:D339"/>
    <mergeCell ref="C340:D340"/>
    <mergeCell ref="C359:D359"/>
    <mergeCell ref="C360:D360"/>
    <mergeCell ref="A342:A349"/>
    <mergeCell ref="A351:A360"/>
    <mergeCell ref="C361:D361"/>
    <mergeCell ref="B362:B370"/>
    <mergeCell ref="C362:C364"/>
    <mergeCell ref="C365:C367"/>
    <mergeCell ref="C368:D368"/>
    <mergeCell ref="C369:D369"/>
    <mergeCell ref="C370:D370"/>
    <mergeCell ref="C372:D372"/>
    <mergeCell ref="B472:B479"/>
    <mergeCell ref="B322:B325"/>
    <mergeCell ref="C322:D322"/>
    <mergeCell ref="C323:D323"/>
    <mergeCell ref="C324:D324"/>
    <mergeCell ref="C325:D325"/>
    <mergeCell ref="B326:B335"/>
    <mergeCell ref="C326:C330"/>
    <mergeCell ref="C331:C335"/>
    <mergeCell ref="C358:D358"/>
    <mergeCell ref="C341:D341"/>
    <mergeCell ref="B342:B345"/>
    <mergeCell ref="C342:D342"/>
    <mergeCell ref="C343:D343"/>
    <mergeCell ref="C344:D344"/>
    <mergeCell ref="C345:D345"/>
    <mergeCell ref="B346:B349"/>
    <mergeCell ref="C346:D346"/>
    <mergeCell ref="C347:D347"/>
    <mergeCell ref="C348:D348"/>
    <mergeCell ref="C349:D349"/>
    <mergeCell ref="C350:D350"/>
    <mergeCell ref="C249:C252"/>
    <mergeCell ref="C351:C353"/>
    <mergeCell ref="B351:B360"/>
    <mergeCell ref="C354:C356"/>
    <mergeCell ref="C253:C256"/>
    <mergeCell ref="C257:C260"/>
    <mergeCell ref="C261:C264"/>
    <mergeCell ref="C265:C268"/>
    <mergeCell ref="C269:C272"/>
    <mergeCell ref="C309:C312"/>
    <mergeCell ref="C313:D313"/>
    <mergeCell ref="C314:D314"/>
    <mergeCell ref="C315:D315"/>
    <mergeCell ref="C273:C276"/>
    <mergeCell ref="C277:C280"/>
    <mergeCell ref="C281:C284"/>
    <mergeCell ref="C285:C288"/>
    <mergeCell ref="C289:C292"/>
    <mergeCell ref="C293:C296"/>
    <mergeCell ref="C297:C300"/>
    <mergeCell ref="C301:C304"/>
    <mergeCell ref="C305:C308"/>
    <mergeCell ref="C357:D357"/>
    <mergeCell ref="C213:C216"/>
    <mergeCell ref="C217:C220"/>
    <mergeCell ref="C221:C224"/>
    <mergeCell ref="C225:C228"/>
    <mergeCell ref="C229:C232"/>
    <mergeCell ref="C233:C236"/>
    <mergeCell ref="C237:C240"/>
    <mergeCell ref="C241:C244"/>
    <mergeCell ref="C245:C248"/>
    <mergeCell ref="C177:C180"/>
    <mergeCell ref="C181:C184"/>
    <mergeCell ref="C185:C188"/>
    <mergeCell ref="C189:C192"/>
    <mergeCell ref="C193:C196"/>
    <mergeCell ref="C197:C200"/>
    <mergeCell ref="C201:C204"/>
    <mergeCell ref="C205:C208"/>
    <mergeCell ref="C209:C212"/>
    <mergeCell ref="A481:A488"/>
    <mergeCell ref="B481:B485"/>
    <mergeCell ref="C481:D481"/>
    <mergeCell ref="C482:D482"/>
    <mergeCell ref="C483:D483"/>
    <mergeCell ref="C485:D485"/>
    <mergeCell ref="B486:B488"/>
    <mergeCell ref="C486:D486"/>
    <mergeCell ref="C488:D488"/>
    <mergeCell ref="C487:D487"/>
    <mergeCell ref="A317:A340"/>
    <mergeCell ref="B317:B321"/>
    <mergeCell ref="C317:D317"/>
    <mergeCell ref="C318:D318"/>
    <mergeCell ref="C319:D319"/>
    <mergeCell ref="C320:D320"/>
    <mergeCell ref="C321:D321"/>
    <mergeCell ref="C62:C64"/>
    <mergeCell ref="C65:C68"/>
    <mergeCell ref="C69:C72"/>
    <mergeCell ref="C73:C76"/>
    <mergeCell ref="C77:C80"/>
    <mergeCell ref="C81:C84"/>
    <mergeCell ref="C85:C88"/>
    <mergeCell ref="C89:C92"/>
    <mergeCell ref="C316:D316"/>
    <mergeCell ref="C109:C112"/>
    <mergeCell ref="C113:C116"/>
    <mergeCell ref="C117:C120"/>
    <mergeCell ref="C121:C124"/>
    <mergeCell ref="C125:C128"/>
    <mergeCell ref="C129:C132"/>
    <mergeCell ref="C133:C136"/>
    <mergeCell ref="C137:C140"/>
    <mergeCell ref="C43:D43"/>
    <mergeCell ref="C44:D44"/>
    <mergeCell ref="C45:D45"/>
    <mergeCell ref="B41:B45"/>
    <mergeCell ref="C491:C492"/>
    <mergeCell ref="C493:C494"/>
    <mergeCell ref="C495:C496"/>
    <mergeCell ref="C484:D484"/>
    <mergeCell ref="B62:B315"/>
    <mergeCell ref="C59:D59"/>
    <mergeCell ref="C60:D60"/>
    <mergeCell ref="C61:D61"/>
    <mergeCell ref="C490:D490"/>
    <mergeCell ref="C480:D480"/>
    <mergeCell ref="C489:D489"/>
    <mergeCell ref="C141:C144"/>
    <mergeCell ref="C145:C148"/>
    <mergeCell ref="C149:C152"/>
    <mergeCell ref="C153:C156"/>
    <mergeCell ref="C157:C160"/>
    <mergeCell ref="C161:C164"/>
    <mergeCell ref="C165:C168"/>
    <mergeCell ref="C169:C172"/>
    <mergeCell ref="C173:C176"/>
    <mergeCell ref="B31:B35"/>
    <mergeCell ref="C31:D31"/>
    <mergeCell ref="C33:D33"/>
    <mergeCell ref="C34:D34"/>
    <mergeCell ref="C35:D35"/>
    <mergeCell ref="C32:D32"/>
    <mergeCell ref="C40:D40"/>
    <mergeCell ref="C41:D41"/>
    <mergeCell ref="C42:D42"/>
    <mergeCell ref="C36:D36"/>
    <mergeCell ref="C37:D37"/>
    <mergeCell ref="C38:D38"/>
    <mergeCell ref="C39:D39"/>
    <mergeCell ref="C30:D30"/>
    <mergeCell ref="A3:A45"/>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46:D46"/>
    <mergeCell ref="B36:B40"/>
    <mergeCell ref="C93:C96"/>
    <mergeCell ref="C97:C100"/>
    <mergeCell ref="C101:C104"/>
    <mergeCell ref="C105:C108"/>
    <mergeCell ref="C2:D2"/>
    <mergeCell ref="B3:B7"/>
    <mergeCell ref="C3:D3"/>
    <mergeCell ref="C4:D4"/>
    <mergeCell ref="C5:D5"/>
    <mergeCell ref="C6:D6"/>
    <mergeCell ref="C7:D7"/>
    <mergeCell ref="B8:B29"/>
    <mergeCell ref="C8:C13"/>
    <mergeCell ref="C14:C19"/>
    <mergeCell ref="C20:C24"/>
    <mergeCell ref="C25:C29"/>
    <mergeCell ref="C472:D472"/>
    <mergeCell ref="C473:D473"/>
    <mergeCell ref="C474:D474"/>
    <mergeCell ref="C476:D476"/>
    <mergeCell ref="C477:D477"/>
    <mergeCell ref="C478:D478"/>
    <mergeCell ref="C479:D479"/>
    <mergeCell ref="C428:C431"/>
    <mergeCell ref="C432:C435"/>
    <mergeCell ref="C436:C439"/>
    <mergeCell ref="C440:C443"/>
    <mergeCell ref="C444:C447"/>
    <mergeCell ref="C448:C451"/>
    <mergeCell ref="C452:C455"/>
    <mergeCell ref="C475:D475"/>
    <mergeCell ref="C415:D415"/>
    <mergeCell ref="C456:C459"/>
    <mergeCell ref="C460:C463"/>
    <mergeCell ref="C464:C467"/>
    <mergeCell ref="C420:C423"/>
    <mergeCell ref="C424:C427"/>
    <mergeCell ref="C373:D373"/>
    <mergeCell ref="C371:D371"/>
    <mergeCell ref="C374:D374"/>
    <mergeCell ref="C375:D375"/>
    <mergeCell ref="C416:D416"/>
    <mergeCell ref="C417:D417"/>
    <mergeCell ref="C418:D418"/>
    <mergeCell ref="C419:D419"/>
    <mergeCell ref="C412:C414"/>
    <mergeCell ref="C376:C379"/>
    <mergeCell ref="C384:C387"/>
    <mergeCell ref="C388:C391"/>
    <mergeCell ref="C392:C395"/>
    <mergeCell ref="C396:C399"/>
    <mergeCell ref="C400:C403"/>
    <mergeCell ref="C404:C407"/>
    <mergeCell ref="C408:C411"/>
    <mergeCell ref="C380:C383"/>
  </mergeCells>
  <conditionalFormatting sqref="E349:F349">
    <cfRule type="cellIs" dxfId="1218" priority="199" operator="lessThan">
      <formula>0</formula>
    </cfRule>
    <cfRule type="cellIs" dxfId="1217" priority="200" operator="greaterThan">
      <formula>0</formula>
    </cfRule>
  </conditionalFormatting>
  <conditionalFormatting sqref="E39:L39">
    <cfRule type="cellIs" dxfId="1216" priority="275" operator="lessThan">
      <formula>1</formula>
    </cfRule>
    <cfRule type="cellIs" dxfId="1215" priority="274" operator="greaterThan">
      <formula>1</formula>
    </cfRule>
    <cfRule type="cellIs" dxfId="1214" priority="273" operator="greaterThan">
      <formula>1</formula>
    </cfRule>
    <cfRule type="cellIs" dxfId="1213" priority="276" operator="greaterThan">
      <formula>1</formula>
    </cfRule>
  </conditionalFormatting>
  <conditionalFormatting sqref="E40:L40">
    <cfRule type="cellIs" dxfId="1212" priority="278" operator="greaterThan">
      <formula>50</formula>
    </cfRule>
    <cfRule type="cellIs" dxfId="1211" priority="272" operator="greaterThan">
      <formula>50</formula>
    </cfRule>
    <cfRule type="cellIs" dxfId="1210" priority="277" operator="lessThan">
      <formula>50</formula>
    </cfRule>
  </conditionalFormatting>
  <conditionalFormatting sqref="E44:L44">
    <cfRule type="cellIs" dxfId="1209" priority="268" operator="greaterThan">
      <formula>1</formula>
    </cfRule>
    <cfRule type="cellIs" dxfId="1208" priority="267" operator="lessThan">
      <formula>1</formula>
    </cfRule>
    <cfRule type="cellIs" dxfId="1207" priority="265" operator="greaterThan">
      <formula>1</formula>
    </cfRule>
    <cfRule type="cellIs" dxfId="1206" priority="266" operator="greaterThan">
      <formula>1</formula>
    </cfRule>
  </conditionalFormatting>
  <conditionalFormatting sqref="E45:L45">
    <cfRule type="cellIs" dxfId="1205" priority="271" operator="greaterThan">
      <formula>50</formula>
    </cfRule>
    <cfRule type="cellIs" dxfId="1204" priority="270" operator="lessThan">
      <formula>50</formula>
    </cfRule>
    <cfRule type="cellIs" dxfId="1203" priority="269" operator="greaterThan">
      <formula>50</formula>
    </cfRule>
  </conditionalFormatting>
  <conditionalFormatting sqref="E50:L50">
    <cfRule type="cellIs" dxfId="1202" priority="211" operator="lessThan">
      <formula>1</formula>
    </cfRule>
    <cfRule type="cellIs" dxfId="1201" priority="212" operator="greaterThan">
      <formula>1</formula>
    </cfRule>
    <cfRule type="cellIs" dxfId="1200" priority="213" operator="greaterThan">
      <formula>1</formula>
    </cfRule>
    <cfRule type="cellIs" dxfId="1199" priority="214" operator="lessThan">
      <formula>1</formula>
    </cfRule>
    <cfRule type="cellIs" dxfId="1198" priority="215" operator="greaterThan">
      <formula>1</formula>
    </cfRule>
  </conditionalFormatting>
  <conditionalFormatting sqref="E51:L51">
    <cfRule type="cellIs" dxfId="1197" priority="262" operator="greaterThan">
      <formula>50</formula>
    </cfRule>
    <cfRule type="cellIs" dxfId="1196" priority="264" operator="greaterThan">
      <formula>50</formula>
    </cfRule>
    <cfRule type="cellIs" dxfId="1195" priority="263" operator="lessThan">
      <formula>50</formula>
    </cfRule>
  </conditionalFormatting>
  <conditionalFormatting sqref="F370:K370">
    <cfRule type="cellIs" dxfId="1194" priority="187" operator="lessThan">
      <formula>0</formula>
    </cfRule>
  </conditionalFormatting>
  <conditionalFormatting sqref="F320:L321">
    <cfRule type="cellIs" dxfId="1193" priority="210" operator="lessThan">
      <formula>1</formula>
    </cfRule>
  </conditionalFormatting>
  <conditionalFormatting sqref="F495:L495">
    <cfRule type="cellIs" dxfId="1192" priority="8" operator="lessThan">
      <formula>0</formula>
    </cfRule>
  </conditionalFormatting>
  <conditionalFormatting sqref="F496:L498">
    <cfRule type="cellIs" dxfId="1191" priority="6" operator="greaterThan">
      <formula>0</formula>
    </cfRule>
  </conditionalFormatting>
  <conditionalFormatting sqref="F498:L498">
    <cfRule type="cellIs" dxfId="1190" priority="10" operator="greaterThan">
      <formula>0</formula>
    </cfRule>
    <cfRule type="cellIs" dxfId="1189" priority="11" operator="lessThan">
      <formula>0</formula>
    </cfRule>
  </conditionalFormatting>
  <conditionalFormatting sqref="G325:L325">
    <cfRule type="cellIs" dxfId="1188" priority="236" operator="greaterThan">
      <formula>0</formula>
    </cfRule>
    <cfRule type="cellIs" dxfId="1187" priority="249" operator="lessThan">
      <formula>1</formula>
    </cfRule>
  </conditionalFormatting>
  <conditionalFormatting sqref="H360 J360:K360">
    <cfRule type="cellIs" dxfId="1186" priority="28" operator="greaterThan">
      <formula>0</formula>
    </cfRule>
    <cfRule type="cellIs" dxfId="1185" priority="27" operator="lessThan">
      <formula>0</formula>
    </cfRule>
  </conditionalFormatting>
  <conditionalFormatting sqref="H59:K59">
    <cfRule type="cellIs" dxfId="1184" priority="222" operator="greaterThan">
      <formula>0</formula>
    </cfRule>
  </conditionalFormatting>
  <conditionalFormatting sqref="H60:K60">
    <cfRule type="cellIs" dxfId="1183" priority="224" operator="greaterThan">
      <formula>50</formula>
    </cfRule>
    <cfRule type="cellIs" dxfId="1182" priority="223" operator="lessThan">
      <formula>50</formula>
    </cfRule>
    <cfRule type="cellIs" dxfId="1181" priority="221" operator="greaterThan">
      <formula>50</formula>
    </cfRule>
    <cfRule type="cellIs" dxfId="1180" priority="220" operator="lessThan">
      <formula>50</formula>
    </cfRule>
  </conditionalFormatting>
  <conditionalFormatting sqref="H339:K339">
    <cfRule type="cellIs" dxfId="1179" priority="231" operator="lessThan">
      <formula>0</formula>
    </cfRule>
    <cfRule type="cellIs" dxfId="1178" priority="232" operator="greaterThan">
      <formula>0</formula>
    </cfRule>
    <cfRule type="cellIs" dxfId="1177" priority="226" operator="lessThan">
      <formula>0</formula>
    </cfRule>
    <cfRule type="cellIs" dxfId="1176" priority="228" operator="greaterThan">
      <formula>0</formula>
    </cfRule>
  </conditionalFormatting>
  <conditionalFormatting sqref="H340:K340">
    <cfRule type="cellIs" dxfId="1175" priority="230" operator="greaterThan">
      <formula>50</formula>
    </cfRule>
    <cfRule type="cellIs" dxfId="1174" priority="225" operator="lessThan">
      <formula>50</formula>
    </cfRule>
    <cfRule type="cellIs" dxfId="1173" priority="227" operator="greaterThan">
      <formula>50</formula>
    </cfRule>
  </conditionalFormatting>
  <conditionalFormatting sqref="H475:K475">
    <cfRule type="cellIs" dxfId="1172" priority="2" operator="lessThan">
      <formula>0</formula>
    </cfRule>
  </conditionalFormatting>
  <conditionalFormatting sqref="H55:L55">
    <cfRule type="cellIs" dxfId="1171" priority="253" operator="greaterThan">
      <formula>0</formula>
    </cfRule>
  </conditionalFormatting>
  <conditionalFormatting sqref="J476:K476">
    <cfRule type="cellIs" dxfId="1170" priority="26" operator="greaterThan">
      <formula>50</formula>
    </cfRule>
    <cfRule type="cellIs" dxfId="1169" priority="25" operator="lessThan">
      <formula>50</formula>
    </cfRule>
  </conditionalFormatting>
  <conditionalFormatting sqref="K485">
    <cfRule type="cellIs" dxfId="1168" priority="5" operator="greaterThan">
      <formula>50</formula>
    </cfRule>
    <cfRule type="cellIs" dxfId="1167" priority="4" operator="lessThan">
      <formula>50</formula>
    </cfRule>
    <cfRule type="cellIs" dxfId="1166" priority="3" operator="lessThan">
      <formula>50</formula>
    </cfRule>
  </conditionalFormatting>
  <hyperlinks>
    <hyperlink ref="M2" location="INDICADORES!A1" display="INDICADORES" xr:uid="{EB0B6D31-9882-491F-BB0F-8A74157621A1}"/>
    <hyperlink ref="O2" location="DISTRITOS!A1" display="DISTRITOS" xr:uid="{D527402B-84ED-43A7-9063-5C5698D5AFDA}"/>
  </hyperlinks>
  <pageMargins left="0.7" right="0.7" top="0.75" bottom="0.75" header="0.3" footer="0.3"/>
  <pageSetup paperSize="9" orientation="portrait" r:id="rId1"/>
  <ignoredErrors>
    <ignoredError sqref="F3:J3 F5:J5 F4:J4 L47 L48:L4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0B00C-1679-4438-8BA8-F5D0B3782B47}">
  <sheetPr codeName="Hoja6">
    <tabColor theme="8" tint="-0.249977111117893"/>
  </sheetPr>
  <dimension ref="A1:O434"/>
  <sheetViews>
    <sheetView showGridLines="0" topLeftCell="C1" zoomScale="80" zoomScaleNormal="80" workbookViewId="0">
      <pane ySplit="2" topLeftCell="A350" activePane="bottomLeft" state="frozen"/>
      <selection activeCell="C357" sqref="A357:XFD357"/>
      <selection pane="bottomLeft" activeCell="L421" sqref="L421"/>
    </sheetView>
  </sheetViews>
  <sheetFormatPr baseColWidth="10" defaultColWidth="11.42578125" defaultRowHeight="15.75" x14ac:dyDescent="0.25"/>
  <cols>
    <col min="1" max="1" width="26.5703125" style="11" customWidth="1"/>
    <col min="2" max="2" width="50.5703125" style="11" customWidth="1"/>
    <col min="3" max="4" width="30.5703125" style="11" customWidth="1"/>
    <col min="5" max="12" width="13.5703125" style="11" customWidth="1"/>
    <col min="13" max="13" width="14.5703125" style="11" customWidth="1"/>
    <col min="14" max="14" width="5.5703125" style="11" customWidth="1"/>
    <col min="15" max="15" width="14.5703125" style="11" customWidth="1"/>
    <col min="16" max="16384" width="11.42578125" style="11"/>
  </cols>
  <sheetData>
    <row r="1" spans="1:15" ht="30" customHeight="1" thickTop="1" thickBot="1" x14ac:dyDescent="0.3">
      <c r="A1" s="1020" t="s">
        <v>535</v>
      </c>
      <c r="B1" s="1020"/>
      <c r="C1" s="1020"/>
      <c r="D1" s="1020"/>
      <c r="E1" s="1020"/>
      <c r="F1" s="1020"/>
      <c r="G1" s="1020"/>
      <c r="H1" s="1020"/>
      <c r="I1" s="1020"/>
      <c r="J1" s="1020"/>
      <c r="K1" s="1020"/>
      <c r="M1" s="479" t="s">
        <v>246</v>
      </c>
      <c r="N1" s="480"/>
      <c r="O1" s="481" t="s">
        <v>247</v>
      </c>
    </row>
    <row r="2" spans="1:15" ht="18" customHeight="1" thickTop="1" thickBot="1" x14ac:dyDescent="0.3">
      <c r="A2" s="151" t="s">
        <v>248</v>
      </c>
      <c r="B2" s="725" t="s">
        <v>249</v>
      </c>
      <c r="C2" s="1176"/>
      <c r="D2" s="1176"/>
      <c r="E2" s="695">
        <v>2005</v>
      </c>
      <c r="F2" s="695">
        <v>2010</v>
      </c>
      <c r="G2" s="695">
        <v>2015</v>
      </c>
      <c r="H2" s="695">
        <v>2020</v>
      </c>
      <c r="I2" s="695">
        <v>2021</v>
      </c>
      <c r="J2" s="695">
        <v>2022</v>
      </c>
      <c r="K2" s="695">
        <v>2023</v>
      </c>
      <c r="L2" s="696">
        <v>2024</v>
      </c>
    </row>
    <row r="3" spans="1:15" s="64" customFormat="1" x14ac:dyDescent="0.25">
      <c r="A3" s="1417" t="s">
        <v>26</v>
      </c>
      <c r="B3" s="1426" t="s">
        <v>250</v>
      </c>
      <c r="C3" s="1319" t="s">
        <v>251</v>
      </c>
      <c r="D3" s="1299"/>
      <c r="E3" s="130">
        <v>126007</v>
      </c>
      <c r="F3" s="130">
        <v>123159</v>
      </c>
      <c r="G3" s="130">
        <v>117934</v>
      </c>
      <c r="H3" s="130">
        <v>120406</v>
      </c>
      <c r="I3" s="130">
        <v>118557</v>
      </c>
      <c r="J3" s="130">
        <v>117672</v>
      </c>
      <c r="K3" s="130">
        <v>117918</v>
      </c>
      <c r="L3" s="132">
        <v>119757</v>
      </c>
      <c r="M3" s="11"/>
    </row>
    <row r="4" spans="1:15" x14ac:dyDescent="0.25">
      <c r="A4" s="1417"/>
      <c r="B4" s="1195"/>
      <c r="C4" s="1304" t="s">
        <v>257</v>
      </c>
      <c r="D4" s="1213"/>
      <c r="E4" s="80">
        <v>57274</v>
      </c>
      <c r="F4" s="80">
        <v>55830</v>
      </c>
      <c r="G4" s="80">
        <v>53266</v>
      </c>
      <c r="H4" s="80">
        <v>54517</v>
      </c>
      <c r="I4" s="80">
        <v>53800</v>
      </c>
      <c r="J4" s="80">
        <v>53445</v>
      </c>
      <c r="K4" s="80">
        <v>53458</v>
      </c>
      <c r="L4" s="83">
        <v>54339</v>
      </c>
    </row>
    <row r="5" spans="1:15" x14ac:dyDescent="0.25">
      <c r="A5" s="1417"/>
      <c r="B5" s="1195"/>
      <c r="C5" s="1304" t="s">
        <v>263</v>
      </c>
      <c r="D5" s="1213"/>
      <c r="E5" s="80">
        <v>68733</v>
      </c>
      <c r="F5" s="80">
        <v>67329</v>
      </c>
      <c r="G5" s="80">
        <v>64668</v>
      </c>
      <c r="H5" s="80">
        <v>65889</v>
      </c>
      <c r="I5" s="80">
        <v>64757</v>
      </c>
      <c r="J5" s="80">
        <v>64227</v>
      </c>
      <c r="K5" s="80">
        <v>64460</v>
      </c>
      <c r="L5" s="83">
        <v>65418</v>
      </c>
    </row>
    <row r="6" spans="1:15" x14ac:dyDescent="0.25">
      <c r="A6" s="1417"/>
      <c r="B6" s="1196"/>
      <c r="C6" s="1425" t="s">
        <v>269</v>
      </c>
      <c r="D6" s="1215"/>
      <c r="E6" s="41">
        <f>+E5-E4</f>
        <v>11459</v>
      </c>
      <c r="F6" s="41">
        <f t="shared" ref="F6:L6" si="0">+F5-F4</f>
        <v>11499</v>
      </c>
      <c r="G6" s="41">
        <f t="shared" si="0"/>
        <v>11402</v>
      </c>
      <c r="H6" s="41">
        <f t="shared" si="0"/>
        <v>11372</v>
      </c>
      <c r="I6" s="41">
        <f t="shared" si="0"/>
        <v>10957</v>
      </c>
      <c r="J6" s="41">
        <f t="shared" si="0"/>
        <v>10782</v>
      </c>
      <c r="K6" s="41">
        <f t="shared" si="0"/>
        <v>11002</v>
      </c>
      <c r="L6" s="84">
        <f t="shared" si="0"/>
        <v>11079</v>
      </c>
    </row>
    <row r="7" spans="1:15" ht="16.5" thickBot="1" x14ac:dyDescent="0.3">
      <c r="A7" s="1417"/>
      <c r="B7" s="1197"/>
      <c r="C7" s="1353" t="s">
        <v>270</v>
      </c>
      <c r="D7" s="1178"/>
      <c r="E7" s="111">
        <f>E5/E3*100</f>
        <v>54.546969612799288</v>
      </c>
      <c r="F7" s="111">
        <f t="shared" ref="F7:L7" si="1">F5/F3*100</f>
        <v>54.668355540398991</v>
      </c>
      <c r="G7" s="111">
        <f t="shared" si="1"/>
        <v>54.834059728322629</v>
      </c>
      <c r="H7" s="111">
        <f t="shared" si="1"/>
        <v>54.722356028769326</v>
      </c>
      <c r="I7" s="111">
        <f t="shared" si="1"/>
        <v>54.620983999257746</v>
      </c>
      <c r="J7" s="111">
        <f t="shared" si="1"/>
        <v>54.581378747705486</v>
      </c>
      <c r="K7" s="111">
        <f t="shared" si="1"/>
        <v>54.66510626028257</v>
      </c>
      <c r="L7" s="266">
        <f t="shared" si="1"/>
        <v>54.625616874170191</v>
      </c>
    </row>
    <row r="8" spans="1:15" ht="16.5" thickBot="1" x14ac:dyDescent="0.3">
      <c r="A8" s="1418"/>
      <c r="B8" s="1198" t="s">
        <v>271</v>
      </c>
      <c r="C8" s="1300" t="s">
        <v>257</v>
      </c>
      <c r="D8" s="168" t="s">
        <v>272</v>
      </c>
      <c r="E8" s="81">
        <v>57274</v>
      </c>
      <c r="F8" s="81">
        <v>55830</v>
      </c>
      <c r="G8" s="81">
        <v>53266</v>
      </c>
      <c r="H8" s="81">
        <v>54517</v>
      </c>
      <c r="I8" s="81">
        <v>53800</v>
      </c>
      <c r="J8" s="81">
        <v>53445</v>
      </c>
      <c r="K8" s="81">
        <v>53458</v>
      </c>
      <c r="L8" s="82">
        <v>54339</v>
      </c>
    </row>
    <row r="9" spans="1:15" ht="16.5" thickBot="1" x14ac:dyDescent="0.3">
      <c r="A9" s="1418"/>
      <c r="B9" s="1199"/>
      <c r="C9" s="1301"/>
      <c r="D9" s="164" t="s">
        <v>275</v>
      </c>
      <c r="E9" s="80">
        <v>7870</v>
      </c>
      <c r="F9" s="80">
        <v>7659</v>
      </c>
      <c r="G9" s="80">
        <v>7414</v>
      </c>
      <c r="H9" s="80">
        <v>7579</v>
      </c>
      <c r="I9" s="80">
        <v>7336</v>
      </c>
      <c r="J9" s="80">
        <v>7189</v>
      </c>
      <c r="K9" s="80">
        <v>7060</v>
      </c>
      <c r="L9" s="83">
        <v>6586</v>
      </c>
    </row>
    <row r="10" spans="1:15" ht="16.5" thickBot="1" x14ac:dyDescent="0.3">
      <c r="A10" s="1418"/>
      <c r="B10" s="1199"/>
      <c r="C10" s="1301"/>
      <c r="D10" s="164" t="s">
        <v>282</v>
      </c>
      <c r="E10" s="80">
        <v>40077</v>
      </c>
      <c r="F10" s="80">
        <v>37934</v>
      </c>
      <c r="G10" s="80">
        <v>34704</v>
      </c>
      <c r="H10" s="80">
        <v>34819</v>
      </c>
      <c r="I10" s="80">
        <v>34431</v>
      </c>
      <c r="J10" s="80">
        <v>34207</v>
      </c>
      <c r="K10" s="80">
        <v>34174</v>
      </c>
      <c r="L10" s="83">
        <v>35270</v>
      </c>
    </row>
    <row r="11" spans="1:15" ht="16.5" thickBot="1" x14ac:dyDescent="0.3">
      <c r="A11" s="1418"/>
      <c r="B11" s="1199"/>
      <c r="C11" s="1301"/>
      <c r="D11" s="164" t="s">
        <v>288</v>
      </c>
      <c r="E11" s="80">
        <v>9325</v>
      </c>
      <c r="F11" s="80">
        <v>10236</v>
      </c>
      <c r="G11" s="80">
        <v>11148</v>
      </c>
      <c r="H11" s="80">
        <v>12119</v>
      </c>
      <c r="I11" s="80">
        <v>12033</v>
      </c>
      <c r="J11" s="80">
        <v>12049</v>
      </c>
      <c r="K11" s="80">
        <v>12224</v>
      </c>
      <c r="L11" s="83">
        <v>12483</v>
      </c>
    </row>
    <row r="12" spans="1:15" ht="16.5" thickBot="1" x14ac:dyDescent="0.3">
      <c r="A12" s="1418"/>
      <c r="B12" s="1199"/>
      <c r="C12" s="1301"/>
      <c r="D12" s="164" t="s">
        <v>295</v>
      </c>
      <c r="E12" s="80">
        <v>2275</v>
      </c>
      <c r="F12" s="80">
        <v>2791</v>
      </c>
      <c r="G12" s="80">
        <v>3222</v>
      </c>
      <c r="H12" s="80">
        <v>3423</v>
      </c>
      <c r="I12" s="80">
        <v>3440</v>
      </c>
      <c r="J12" s="80">
        <v>3440</v>
      </c>
      <c r="K12" s="80">
        <v>3491</v>
      </c>
      <c r="L12" s="83">
        <v>3683</v>
      </c>
    </row>
    <row r="13" spans="1:15" ht="16.5" thickBot="1" x14ac:dyDescent="0.3">
      <c r="A13" s="1418"/>
      <c r="B13" s="1199"/>
      <c r="C13" s="1302"/>
      <c r="D13" s="169" t="s">
        <v>296</v>
      </c>
      <c r="E13" s="267">
        <v>2</v>
      </c>
      <c r="F13" s="267">
        <v>1</v>
      </c>
      <c r="G13" s="267">
        <v>0</v>
      </c>
      <c r="H13" s="267">
        <v>0</v>
      </c>
      <c r="I13" s="267">
        <v>0</v>
      </c>
      <c r="J13" s="267">
        <v>0</v>
      </c>
      <c r="K13" s="267">
        <v>0</v>
      </c>
      <c r="L13" s="268">
        <v>0</v>
      </c>
    </row>
    <row r="14" spans="1:15" ht="16.5" thickBot="1" x14ac:dyDescent="0.3">
      <c r="A14" s="1418"/>
      <c r="B14" s="1199"/>
      <c r="C14" s="1303" t="s">
        <v>263</v>
      </c>
      <c r="D14" s="168" t="s">
        <v>272</v>
      </c>
      <c r="E14" s="81">
        <v>68733</v>
      </c>
      <c r="F14" s="81">
        <v>67329</v>
      </c>
      <c r="G14" s="81">
        <v>64668</v>
      </c>
      <c r="H14" s="81">
        <v>65889</v>
      </c>
      <c r="I14" s="81">
        <v>64757</v>
      </c>
      <c r="J14" s="81">
        <v>64227</v>
      </c>
      <c r="K14" s="81">
        <v>64460</v>
      </c>
      <c r="L14" s="82">
        <v>65418</v>
      </c>
    </row>
    <row r="15" spans="1:15" ht="16.5" thickBot="1" x14ac:dyDescent="0.3">
      <c r="A15" s="1418"/>
      <c r="B15" s="1199"/>
      <c r="C15" s="1304"/>
      <c r="D15" s="164" t="s">
        <v>275</v>
      </c>
      <c r="E15" s="80">
        <v>7648</v>
      </c>
      <c r="F15" s="80">
        <v>7392</v>
      </c>
      <c r="G15" s="80">
        <v>7267</v>
      </c>
      <c r="H15" s="80">
        <v>7349</v>
      </c>
      <c r="I15" s="80">
        <v>7107</v>
      </c>
      <c r="J15" s="80">
        <v>6953</v>
      </c>
      <c r="K15" s="80">
        <v>6867</v>
      </c>
      <c r="L15" s="83">
        <v>6436</v>
      </c>
    </row>
    <row r="16" spans="1:15" ht="16.5" thickBot="1" x14ac:dyDescent="0.3">
      <c r="A16" s="1418"/>
      <c r="B16" s="1199"/>
      <c r="C16" s="1304"/>
      <c r="D16" s="164" t="s">
        <v>282</v>
      </c>
      <c r="E16" s="80">
        <v>45277</v>
      </c>
      <c r="F16" s="80">
        <v>43295</v>
      </c>
      <c r="G16" s="80">
        <v>39495</v>
      </c>
      <c r="H16" s="80">
        <v>39432</v>
      </c>
      <c r="I16" s="80">
        <v>38606</v>
      </c>
      <c r="J16" s="80">
        <v>38055</v>
      </c>
      <c r="K16" s="80">
        <v>38191</v>
      </c>
      <c r="L16" s="83">
        <v>39355</v>
      </c>
    </row>
    <row r="17" spans="1:13" ht="16.5" thickBot="1" x14ac:dyDescent="0.3">
      <c r="A17" s="1418"/>
      <c r="B17" s="1199"/>
      <c r="C17" s="1304"/>
      <c r="D17" s="164" t="s">
        <v>288</v>
      </c>
      <c r="E17" s="80">
        <v>15805</v>
      </c>
      <c r="F17" s="80">
        <v>16641</v>
      </c>
      <c r="G17" s="80">
        <v>17906</v>
      </c>
      <c r="H17" s="80">
        <v>19108</v>
      </c>
      <c r="I17" s="80">
        <v>19044</v>
      </c>
      <c r="J17" s="80">
        <v>19219</v>
      </c>
      <c r="K17" s="80">
        <v>19402</v>
      </c>
      <c r="L17" s="83">
        <v>19627</v>
      </c>
    </row>
    <row r="18" spans="1:13" ht="16.5" thickBot="1" x14ac:dyDescent="0.3">
      <c r="A18" s="1418"/>
      <c r="B18" s="1199"/>
      <c r="C18" s="1304"/>
      <c r="D18" s="164" t="s">
        <v>295</v>
      </c>
      <c r="E18" s="80">
        <v>5323</v>
      </c>
      <c r="F18" s="80">
        <v>6137</v>
      </c>
      <c r="G18" s="80">
        <v>6856</v>
      </c>
      <c r="H18" s="80">
        <v>6909</v>
      </c>
      <c r="I18" s="80">
        <v>6876</v>
      </c>
      <c r="J18" s="80">
        <v>6894</v>
      </c>
      <c r="K18" s="80">
        <v>6942</v>
      </c>
      <c r="L18" s="83">
        <v>7098</v>
      </c>
    </row>
    <row r="19" spans="1:13" ht="16.5" thickBot="1" x14ac:dyDescent="0.3">
      <c r="A19" s="1418"/>
      <c r="B19" s="1199"/>
      <c r="C19" s="1305"/>
      <c r="D19" s="169" t="s">
        <v>296</v>
      </c>
      <c r="E19" s="267">
        <v>3</v>
      </c>
      <c r="F19" s="267">
        <v>1</v>
      </c>
      <c r="G19" s="267">
        <v>0</v>
      </c>
      <c r="H19" s="267">
        <v>0</v>
      </c>
      <c r="I19" s="267">
        <v>0</v>
      </c>
      <c r="J19" s="267">
        <v>0</v>
      </c>
      <c r="K19" s="267">
        <v>0</v>
      </c>
      <c r="L19" s="268">
        <v>0</v>
      </c>
    </row>
    <row r="20" spans="1:13" ht="16.5" thickBot="1" x14ac:dyDescent="0.3">
      <c r="A20" s="1418"/>
      <c r="B20" s="1199"/>
      <c r="C20" s="1306" t="s">
        <v>269</v>
      </c>
      <c r="D20" s="168" t="s">
        <v>272</v>
      </c>
      <c r="E20" s="270">
        <f>E14-E8</f>
        <v>11459</v>
      </c>
      <c r="F20" s="270">
        <f t="shared" ref="F20:L20" si="2">F14-F8</f>
        <v>11499</v>
      </c>
      <c r="G20" s="270">
        <f t="shared" si="2"/>
        <v>11402</v>
      </c>
      <c r="H20" s="270">
        <f t="shared" si="2"/>
        <v>11372</v>
      </c>
      <c r="I20" s="270">
        <f t="shared" si="2"/>
        <v>10957</v>
      </c>
      <c r="J20" s="270">
        <f t="shared" si="2"/>
        <v>10782</v>
      </c>
      <c r="K20" s="270">
        <f t="shared" si="2"/>
        <v>11002</v>
      </c>
      <c r="L20" s="327">
        <f t="shared" si="2"/>
        <v>11079</v>
      </c>
    </row>
    <row r="21" spans="1:13" ht="16.5" thickBot="1" x14ac:dyDescent="0.3">
      <c r="A21" s="1418"/>
      <c r="B21" s="1199"/>
      <c r="C21" s="1307"/>
      <c r="D21" s="163" t="s">
        <v>275</v>
      </c>
      <c r="E21" s="157">
        <f t="shared" ref="E21:K24" si="3">E15-E9</f>
        <v>-222</v>
      </c>
      <c r="F21" s="157">
        <f t="shared" si="3"/>
        <v>-267</v>
      </c>
      <c r="G21" s="157">
        <f t="shared" si="3"/>
        <v>-147</v>
      </c>
      <c r="H21" s="157">
        <f t="shared" si="3"/>
        <v>-230</v>
      </c>
      <c r="I21" s="157">
        <f t="shared" si="3"/>
        <v>-229</v>
      </c>
      <c r="J21" s="157">
        <f t="shared" si="3"/>
        <v>-236</v>
      </c>
      <c r="K21" s="157">
        <f t="shared" si="3"/>
        <v>-193</v>
      </c>
      <c r="L21" s="160">
        <f>L15-L9</f>
        <v>-150</v>
      </c>
    </row>
    <row r="22" spans="1:13" ht="16.5" thickBot="1" x14ac:dyDescent="0.3">
      <c r="A22" s="1418"/>
      <c r="B22" s="1199"/>
      <c r="C22" s="1307"/>
      <c r="D22" s="163" t="s">
        <v>282</v>
      </c>
      <c r="E22" s="41">
        <f t="shared" si="3"/>
        <v>5200</v>
      </c>
      <c r="F22" s="41">
        <f t="shared" si="3"/>
        <v>5361</v>
      </c>
      <c r="G22" s="41">
        <f t="shared" si="3"/>
        <v>4791</v>
      </c>
      <c r="H22" s="41">
        <f t="shared" si="3"/>
        <v>4613</v>
      </c>
      <c r="I22" s="41">
        <f t="shared" si="3"/>
        <v>4175</v>
      </c>
      <c r="J22" s="41">
        <f t="shared" si="3"/>
        <v>3848</v>
      </c>
      <c r="K22" s="41">
        <f t="shared" si="3"/>
        <v>4017</v>
      </c>
      <c r="L22" s="84">
        <f>L16-L10</f>
        <v>4085</v>
      </c>
    </row>
    <row r="23" spans="1:13" ht="16.5" thickBot="1" x14ac:dyDescent="0.3">
      <c r="A23" s="1418"/>
      <c r="B23" s="1199"/>
      <c r="C23" s="1307"/>
      <c r="D23" s="163" t="s">
        <v>288</v>
      </c>
      <c r="E23" s="41">
        <f t="shared" si="3"/>
        <v>6480</v>
      </c>
      <c r="F23" s="41">
        <f t="shared" si="3"/>
        <v>6405</v>
      </c>
      <c r="G23" s="41">
        <f t="shared" si="3"/>
        <v>6758</v>
      </c>
      <c r="H23" s="41">
        <f t="shared" si="3"/>
        <v>6989</v>
      </c>
      <c r="I23" s="41">
        <f t="shared" si="3"/>
        <v>7011</v>
      </c>
      <c r="J23" s="41">
        <f t="shared" si="3"/>
        <v>7170</v>
      </c>
      <c r="K23" s="41">
        <f t="shared" si="3"/>
        <v>7178</v>
      </c>
      <c r="L23" s="84">
        <f>L17-L11</f>
        <v>7144</v>
      </c>
    </row>
    <row r="24" spans="1:13" ht="16.5" thickBot="1" x14ac:dyDescent="0.3">
      <c r="A24" s="1418"/>
      <c r="B24" s="1199"/>
      <c r="C24" s="1308"/>
      <c r="D24" s="170" t="s">
        <v>295</v>
      </c>
      <c r="E24" s="271">
        <f t="shared" si="3"/>
        <v>3048</v>
      </c>
      <c r="F24" s="271">
        <f t="shared" si="3"/>
        <v>3346</v>
      </c>
      <c r="G24" s="271">
        <f t="shared" si="3"/>
        <v>3634</v>
      </c>
      <c r="H24" s="271">
        <f t="shared" si="3"/>
        <v>3486</v>
      </c>
      <c r="I24" s="271">
        <f t="shared" si="3"/>
        <v>3436</v>
      </c>
      <c r="J24" s="271">
        <f t="shared" si="3"/>
        <v>3454</v>
      </c>
      <c r="K24" s="271">
        <f t="shared" si="3"/>
        <v>3451</v>
      </c>
      <c r="L24" s="272">
        <f>L18-L12</f>
        <v>3415</v>
      </c>
    </row>
    <row r="25" spans="1:13" ht="16.5" thickBot="1" x14ac:dyDescent="0.3">
      <c r="A25" s="1418"/>
      <c r="B25" s="1199"/>
      <c r="C25" s="1265" t="s">
        <v>270</v>
      </c>
      <c r="D25" s="168" t="s">
        <v>272</v>
      </c>
      <c r="E25" s="328">
        <f>E14/E3*100</f>
        <v>54.546969612799288</v>
      </c>
      <c r="F25" s="328">
        <f t="shared" ref="F25:L25" si="4">F14/F3*100</f>
        <v>54.668355540398991</v>
      </c>
      <c r="G25" s="328">
        <f t="shared" si="4"/>
        <v>54.834059728322629</v>
      </c>
      <c r="H25" s="328">
        <f t="shared" si="4"/>
        <v>54.722356028769326</v>
      </c>
      <c r="I25" s="328">
        <f t="shared" si="4"/>
        <v>54.620983999257746</v>
      </c>
      <c r="J25" s="328">
        <f t="shared" si="4"/>
        <v>54.581378747705486</v>
      </c>
      <c r="K25" s="328">
        <f t="shared" si="4"/>
        <v>54.66510626028257</v>
      </c>
      <c r="L25" s="329">
        <f t="shared" si="4"/>
        <v>54.625616874170191</v>
      </c>
    </row>
    <row r="26" spans="1:13" ht="16.5" thickBot="1" x14ac:dyDescent="0.3">
      <c r="A26" s="1418"/>
      <c r="B26" s="1199"/>
      <c r="C26" s="1360"/>
      <c r="D26" s="163" t="s">
        <v>275</v>
      </c>
      <c r="E26" s="158">
        <f>(E15/(E15+E9))*100</f>
        <v>49.284701636808869</v>
      </c>
      <c r="F26" s="158">
        <f t="shared" ref="F26:K27" si="5">(F15/(F15+F9))*100</f>
        <v>49.113015746462032</v>
      </c>
      <c r="G26" s="158">
        <f t="shared" si="5"/>
        <v>49.499352905115458</v>
      </c>
      <c r="H26" s="158">
        <f t="shared" si="5"/>
        <v>49.229635584137192</v>
      </c>
      <c r="I26" s="158">
        <f t="shared" si="5"/>
        <v>49.20722841514921</v>
      </c>
      <c r="J26" s="158">
        <f t="shared" si="5"/>
        <v>49.165605996323009</v>
      </c>
      <c r="K26" s="158">
        <f t="shared" si="5"/>
        <v>49.307101313994401</v>
      </c>
      <c r="L26" s="330">
        <f>(L15/(L15+L9))*100</f>
        <v>49.424051604976192</v>
      </c>
    </row>
    <row r="27" spans="1:13" ht="16.5" thickBot="1" x14ac:dyDescent="0.3">
      <c r="A27" s="1418"/>
      <c r="B27" s="1199"/>
      <c r="C27" s="1360"/>
      <c r="D27" s="163" t="s">
        <v>282</v>
      </c>
      <c r="E27" s="43">
        <f>(E16/(E16+E10))*100</f>
        <v>53.046137263631465</v>
      </c>
      <c r="F27" s="43">
        <f t="shared" si="5"/>
        <v>53.299929828017092</v>
      </c>
      <c r="G27" s="43">
        <f t="shared" si="5"/>
        <v>53.228480168196334</v>
      </c>
      <c r="H27" s="43">
        <f t="shared" si="5"/>
        <v>53.10635546996</v>
      </c>
      <c r="I27" s="43">
        <f t="shared" si="5"/>
        <v>52.858140394594521</v>
      </c>
      <c r="J27" s="43">
        <f t="shared" si="5"/>
        <v>52.662533558440117</v>
      </c>
      <c r="K27" s="43">
        <f t="shared" si="5"/>
        <v>52.775513024252049</v>
      </c>
      <c r="L27" s="331">
        <f>(L16/(L16+L10))*100</f>
        <v>52.737018425460633</v>
      </c>
    </row>
    <row r="28" spans="1:13" ht="16.5" thickBot="1" x14ac:dyDescent="0.3">
      <c r="A28" s="1418"/>
      <c r="B28" s="1199"/>
      <c r="C28" s="1360"/>
      <c r="D28" s="163" t="s">
        <v>288</v>
      </c>
      <c r="E28" s="43">
        <f t="shared" ref="E28:K29" si="6">(E17/(E17+E11))*100</f>
        <v>62.892956625547157</v>
      </c>
      <c r="F28" s="43">
        <f t="shared" si="6"/>
        <v>61.915392342895416</v>
      </c>
      <c r="G28" s="43">
        <f t="shared" si="6"/>
        <v>61.630068148964</v>
      </c>
      <c r="H28" s="43">
        <f t="shared" si="6"/>
        <v>61.190636308322922</v>
      </c>
      <c r="I28" s="43">
        <f t="shared" si="6"/>
        <v>61.280046336518964</v>
      </c>
      <c r="J28" s="43">
        <f t="shared" si="6"/>
        <v>61.465395931943199</v>
      </c>
      <c r="K28" s="43">
        <f t="shared" si="6"/>
        <v>61.34825776260039</v>
      </c>
      <c r="L28" s="331">
        <f>(L17/(L17+L11))*100</f>
        <v>61.124260355029577</v>
      </c>
    </row>
    <row r="29" spans="1:13" ht="16.5" thickBot="1" x14ac:dyDescent="0.3">
      <c r="A29" s="1418"/>
      <c r="B29" s="1200"/>
      <c r="C29" s="1419"/>
      <c r="D29" s="458" t="s">
        <v>295</v>
      </c>
      <c r="E29" s="111">
        <f t="shared" si="6"/>
        <v>70.057909976309546</v>
      </c>
      <c r="F29" s="111">
        <f t="shared" si="6"/>
        <v>68.738799283154123</v>
      </c>
      <c r="G29" s="111">
        <f t="shared" si="6"/>
        <v>68.029370906925976</v>
      </c>
      <c r="H29" s="111">
        <f t="shared" si="6"/>
        <v>66.869918699186996</v>
      </c>
      <c r="I29" s="111">
        <f t="shared" si="6"/>
        <v>66.653741760372242</v>
      </c>
      <c r="J29" s="111">
        <f t="shared" si="6"/>
        <v>66.711825043545588</v>
      </c>
      <c r="K29" s="111">
        <f t="shared" si="6"/>
        <v>66.538867056455473</v>
      </c>
      <c r="L29" s="266">
        <f>(L18/(L18+L12))*100</f>
        <v>65.838048418514049</v>
      </c>
    </row>
    <row r="30" spans="1:13" ht="17.25" thickTop="1" thickBot="1" x14ac:dyDescent="0.3">
      <c r="A30" s="1417"/>
      <c r="B30" s="151" t="s">
        <v>249</v>
      </c>
      <c r="C30" s="1176"/>
      <c r="D30" s="1176"/>
      <c r="E30" s="695">
        <v>2005</v>
      </c>
      <c r="F30" s="695">
        <v>2010</v>
      </c>
      <c r="G30" s="695">
        <v>2015</v>
      </c>
      <c r="H30" s="695">
        <v>2020</v>
      </c>
      <c r="I30" s="695">
        <v>2021</v>
      </c>
      <c r="J30" s="695">
        <v>2022</v>
      </c>
      <c r="K30" s="695">
        <v>2023</v>
      </c>
      <c r="L30" s="696">
        <v>2024</v>
      </c>
      <c r="M30" s="482"/>
    </row>
    <row r="31" spans="1:13" ht="16.5" thickBot="1" x14ac:dyDescent="0.3">
      <c r="A31" s="1417"/>
      <c r="B31" s="1318" t="s">
        <v>320</v>
      </c>
      <c r="C31" s="1299" t="s">
        <v>272</v>
      </c>
      <c r="D31" s="1217"/>
      <c r="E31" s="130">
        <v>11242</v>
      </c>
      <c r="F31" s="130">
        <v>12007</v>
      </c>
      <c r="G31" s="130">
        <v>7846</v>
      </c>
      <c r="H31" s="130">
        <v>10198</v>
      </c>
      <c r="I31" s="130">
        <v>10279</v>
      </c>
      <c r="J31" s="130">
        <v>10380</v>
      </c>
      <c r="K31" s="130">
        <v>11316</v>
      </c>
      <c r="L31" s="132">
        <f>L32+L33</f>
        <v>12941</v>
      </c>
    </row>
    <row r="32" spans="1:13" ht="16.5" thickBot="1" x14ac:dyDescent="0.3">
      <c r="A32" s="1417"/>
      <c r="B32" s="1199"/>
      <c r="C32" s="1124" t="s">
        <v>257</v>
      </c>
      <c r="D32" s="1124"/>
      <c r="E32" s="80">
        <v>4955</v>
      </c>
      <c r="F32" s="80">
        <v>5344</v>
      </c>
      <c r="G32" s="80">
        <v>3310</v>
      </c>
      <c r="H32" s="80">
        <v>4266</v>
      </c>
      <c r="I32" s="80">
        <v>4323</v>
      </c>
      <c r="J32" s="80">
        <v>4426</v>
      </c>
      <c r="K32" s="80">
        <v>4879</v>
      </c>
      <c r="L32" s="83">
        <v>5635</v>
      </c>
    </row>
    <row r="33" spans="1:12" ht="16.5" thickBot="1" x14ac:dyDescent="0.3">
      <c r="A33" s="1417"/>
      <c r="B33" s="1199"/>
      <c r="C33" s="1124" t="s">
        <v>263</v>
      </c>
      <c r="D33" s="1124"/>
      <c r="E33" s="80">
        <v>6287</v>
      </c>
      <c r="F33" s="80">
        <v>6663</v>
      </c>
      <c r="G33" s="80">
        <v>4536</v>
      </c>
      <c r="H33" s="80">
        <v>5932</v>
      </c>
      <c r="I33" s="80">
        <v>5956</v>
      </c>
      <c r="J33" s="80">
        <v>5954</v>
      </c>
      <c r="K33" s="80">
        <v>6437</v>
      </c>
      <c r="L33" s="83">
        <v>7306</v>
      </c>
    </row>
    <row r="34" spans="1:12" ht="16.5" thickBot="1" x14ac:dyDescent="0.3">
      <c r="A34" s="1417"/>
      <c r="B34" s="1199"/>
      <c r="C34" s="1112" t="s">
        <v>269</v>
      </c>
      <c r="D34" s="1112"/>
      <c r="E34" s="41">
        <f>+E33-E32</f>
        <v>1332</v>
      </c>
      <c r="F34" s="41">
        <f t="shared" ref="F34:L34" si="7">+F33-F32</f>
        <v>1319</v>
      </c>
      <c r="G34" s="41">
        <f t="shared" si="7"/>
        <v>1226</v>
      </c>
      <c r="H34" s="41">
        <f t="shared" si="7"/>
        <v>1666</v>
      </c>
      <c r="I34" s="41">
        <f t="shared" si="7"/>
        <v>1633</v>
      </c>
      <c r="J34" s="41">
        <f t="shared" si="7"/>
        <v>1528</v>
      </c>
      <c r="K34" s="41">
        <f t="shared" si="7"/>
        <v>1558</v>
      </c>
      <c r="L34" s="84">
        <f t="shared" si="7"/>
        <v>1671</v>
      </c>
    </row>
    <row r="35" spans="1:12" ht="16.5" thickBot="1" x14ac:dyDescent="0.3">
      <c r="A35" s="1417"/>
      <c r="B35" s="1201"/>
      <c r="C35" s="1126" t="s">
        <v>270</v>
      </c>
      <c r="D35" s="1126"/>
      <c r="E35" s="45">
        <f>E33/E31*100</f>
        <v>55.924212773527834</v>
      </c>
      <c r="F35" s="45">
        <f t="shared" ref="F35:L35" si="8">F33/F31*100</f>
        <v>55.492629299575249</v>
      </c>
      <c r="G35" s="45">
        <f t="shared" si="8"/>
        <v>57.812898292123371</v>
      </c>
      <c r="H35" s="45">
        <f t="shared" si="8"/>
        <v>58.168268287899579</v>
      </c>
      <c r="I35" s="45">
        <f t="shared" si="8"/>
        <v>57.943379706197092</v>
      </c>
      <c r="J35" s="45">
        <f t="shared" si="8"/>
        <v>57.360308285163775</v>
      </c>
      <c r="K35" s="45">
        <f t="shared" si="8"/>
        <v>56.884057971014492</v>
      </c>
      <c r="L35" s="85">
        <f t="shared" si="8"/>
        <v>56.456224403060041</v>
      </c>
    </row>
    <row r="36" spans="1:12" ht="15" customHeight="1" thickBot="1" x14ac:dyDescent="0.3">
      <c r="A36" s="1417"/>
      <c r="B36" s="1198" t="s">
        <v>342</v>
      </c>
      <c r="C36" s="1147" t="s">
        <v>343</v>
      </c>
      <c r="D36" s="1147"/>
      <c r="E36" s="195">
        <f>E37+E38</f>
        <v>5690</v>
      </c>
      <c r="F36" s="195">
        <f t="shared" ref="F36:K36" si="9">F37+F38</f>
        <v>6025</v>
      </c>
      <c r="G36" s="195">
        <f t="shared" si="9"/>
        <v>6711</v>
      </c>
      <c r="H36" s="195">
        <f t="shared" si="9"/>
        <v>7165</v>
      </c>
      <c r="I36" s="195">
        <f t="shared" si="9"/>
        <v>7407</v>
      </c>
      <c r="J36" s="195">
        <f t="shared" si="9"/>
        <v>7600</v>
      </c>
      <c r="K36" s="195">
        <f t="shared" si="9"/>
        <v>7693</v>
      </c>
      <c r="L36" s="196">
        <f>L37+L38</f>
        <v>7995</v>
      </c>
    </row>
    <row r="37" spans="1:12" ht="16.5" thickBot="1" x14ac:dyDescent="0.3">
      <c r="A37" s="1417"/>
      <c r="B37" s="1199"/>
      <c r="C37" s="1124" t="s">
        <v>344</v>
      </c>
      <c r="D37" s="1124"/>
      <c r="E37" s="80">
        <v>949</v>
      </c>
      <c r="F37" s="80">
        <v>1124</v>
      </c>
      <c r="G37" s="80">
        <v>1295</v>
      </c>
      <c r="H37" s="80">
        <v>1551</v>
      </c>
      <c r="I37" s="80">
        <v>1627</v>
      </c>
      <c r="J37" s="80">
        <v>1677</v>
      </c>
      <c r="K37" s="80">
        <v>1702</v>
      </c>
      <c r="L37" s="83">
        <v>1830</v>
      </c>
    </row>
    <row r="38" spans="1:12" ht="16.5" thickBot="1" x14ac:dyDescent="0.3">
      <c r="A38" s="1417"/>
      <c r="B38" s="1199"/>
      <c r="C38" s="1124" t="s">
        <v>345</v>
      </c>
      <c r="D38" s="1124"/>
      <c r="E38" s="80">
        <v>4741</v>
      </c>
      <c r="F38" s="80">
        <v>4901</v>
      </c>
      <c r="G38" s="80">
        <v>5416</v>
      </c>
      <c r="H38" s="80">
        <v>5614</v>
      </c>
      <c r="I38" s="80">
        <v>5780</v>
      </c>
      <c r="J38" s="80">
        <v>5923</v>
      </c>
      <c r="K38" s="80">
        <v>5991</v>
      </c>
      <c r="L38" s="83">
        <v>6165</v>
      </c>
    </row>
    <row r="39" spans="1:12" ht="16.5" thickBot="1" x14ac:dyDescent="0.3">
      <c r="A39" s="1417"/>
      <c r="B39" s="1199"/>
      <c r="C39" s="1112" t="s">
        <v>269</v>
      </c>
      <c r="D39" s="1112"/>
      <c r="E39" s="157">
        <f>E38-E37</f>
        <v>3792</v>
      </c>
      <c r="F39" s="157">
        <f t="shared" ref="F39:L39" si="10">F38-F37</f>
        <v>3777</v>
      </c>
      <c r="G39" s="157">
        <f t="shared" si="10"/>
        <v>4121</v>
      </c>
      <c r="H39" s="157">
        <f t="shared" si="10"/>
        <v>4063</v>
      </c>
      <c r="I39" s="157">
        <f t="shared" si="10"/>
        <v>4153</v>
      </c>
      <c r="J39" s="157">
        <f t="shared" si="10"/>
        <v>4246</v>
      </c>
      <c r="K39" s="157">
        <f t="shared" si="10"/>
        <v>4289</v>
      </c>
      <c r="L39" s="160">
        <f t="shared" si="10"/>
        <v>4335</v>
      </c>
    </row>
    <row r="40" spans="1:12" ht="16.5" thickBot="1" x14ac:dyDescent="0.3">
      <c r="A40" s="1417"/>
      <c r="B40" s="1201"/>
      <c r="C40" s="1126" t="s">
        <v>346</v>
      </c>
      <c r="D40" s="1126"/>
      <c r="E40" s="161">
        <f t="shared" ref="E40:L40" si="11">E38/E36*100</f>
        <v>83.321616871704734</v>
      </c>
      <c r="F40" s="161">
        <f t="shared" si="11"/>
        <v>81.344398340248958</v>
      </c>
      <c r="G40" s="161">
        <f t="shared" si="11"/>
        <v>80.703322902697067</v>
      </c>
      <c r="H40" s="161">
        <f t="shared" si="11"/>
        <v>78.353105373342629</v>
      </c>
      <c r="I40" s="161">
        <f t="shared" si="11"/>
        <v>78.034291886053737</v>
      </c>
      <c r="J40" s="161">
        <f t="shared" si="11"/>
        <v>77.934210526315795</v>
      </c>
      <c r="K40" s="161">
        <f t="shared" si="11"/>
        <v>77.875991160795536</v>
      </c>
      <c r="L40" s="162">
        <f t="shared" si="11"/>
        <v>77.110694183864908</v>
      </c>
    </row>
    <row r="41" spans="1:12" ht="15" customHeight="1" x14ac:dyDescent="0.25">
      <c r="A41" s="1417"/>
      <c r="B41" s="1202" t="s">
        <v>347</v>
      </c>
      <c r="C41" s="1206" t="s">
        <v>348</v>
      </c>
      <c r="D41" s="1206"/>
      <c r="E41" s="195">
        <f t="shared" ref="E41:K41" si="12">E42+E43</f>
        <v>859</v>
      </c>
      <c r="F41" s="195">
        <f t="shared" si="12"/>
        <v>899</v>
      </c>
      <c r="G41" s="195">
        <f t="shared" si="12"/>
        <v>959</v>
      </c>
      <c r="H41" s="195">
        <f t="shared" si="12"/>
        <v>934</v>
      </c>
      <c r="I41" s="195">
        <f t="shared" si="12"/>
        <v>902</v>
      </c>
      <c r="J41" s="195">
        <f t="shared" si="12"/>
        <v>941</v>
      </c>
      <c r="K41" s="195">
        <f t="shared" si="12"/>
        <v>914</v>
      </c>
      <c r="L41" s="196">
        <f>L42+L43</f>
        <v>987</v>
      </c>
    </row>
    <row r="42" spans="1:12" x14ac:dyDescent="0.25">
      <c r="A42" s="1417"/>
      <c r="B42" s="1203"/>
      <c r="C42" s="1124" t="s">
        <v>349</v>
      </c>
      <c r="D42" s="1124"/>
      <c r="E42" s="80">
        <v>186</v>
      </c>
      <c r="F42" s="80">
        <v>195</v>
      </c>
      <c r="G42" s="80">
        <v>209</v>
      </c>
      <c r="H42" s="80">
        <v>179</v>
      </c>
      <c r="I42" s="80">
        <v>165</v>
      </c>
      <c r="J42" s="80">
        <v>177</v>
      </c>
      <c r="K42" s="80">
        <v>173</v>
      </c>
      <c r="L42" s="83">
        <v>208</v>
      </c>
    </row>
    <row r="43" spans="1:12" x14ac:dyDescent="0.25">
      <c r="A43" s="1417"/>
      <c r="B43" s="1203"/>
      <c r="C43" s="1124" t="s">
        <v>350</v>
      </c>
      <c r="D43" s="1124"/>
      <c r="E43" s="80">
        <v>673</v>
      </c>
      <c r="F43" s="80">
        <v>704</v>
      </c>
      <c r="G43" s="80">
        <v>750</v>
      </c>
      <c r="H43" s="80">
        <v>755</v>
      </c>
      <c r="I43" s="80">
        <v>737</v>
      </c>
      <c r="J43" s="80">
        <v>764</v>
      </c>
      <c r="K43" s="80">
        <v>741</v>
      </c>
      <c r="L43" s="83">
        <v>779</v>
      </c>
    </row>
    <row r="44" spans="1:12" x14ac:dyDescent="0.25">
      <c r="A44" s="1417"/>
      <c r="B44" s="1203"/>
      <c r="C44" s="1112" t="s">
        <v>269</v>
      </c>
      <c r="D44" s="1112"/>
      <c r="E44" s="157">
        <f>E43-E42</f>
        <v>487</v>
      </c>
      <c r="F44" s="157">
        <f t="shared" ref="F44:L44" si="13">F43-F42</f>
        <v>509</v>
      </c>
      <c r="G44" s="157">
        <f t="shared" si="13"/>
        <v>541</v>
      </c>
      <c r="H44" s="157">
        <f t="shared" si="13"/>
        <v>576</v>
      </c>
      <c r="I44" s="157">
        <f t="shared" si="13"/>
        <v>572</v>
      </c>
      <c r="J44" s="157">
        <f t="shared" si="13"/>
        <v>587</v>
      </c>
      <c r="K44" s="157">
        <f t="shared" si="13"/>
        <v>568</v>
      </c>
      <c r="L44" s="160">
        <f t="shared" si="13"/>
        <v>571</v>
      </c>
    </row>
    <row r="45" spans="1:12" ht="16.5" thickBot="1" x14ac:dyDescent="0.3">
      <c r="A45" s="1417"/>
      <c r="B45" s="1203"/>
      <c r="C45" s="1126" t="s">
        <v>351</v>
      </c>
      <c r="D45" s="1126"/>
      <c r="E45" s="165">
        <f>E43/E41*100</f>
        <v>78.346915017462166</v>
      </c>
      <c r="F45" s="165">
        <f t="shared" ref="F45:L45" si="14">F43/F41*100</f>
        <v>78.309232480533936</v>
      </c>
      <c r="G45" s="165">
        <f t="shared" si="14"/>
        <v>78.206465067778936</v>
      </c>
      <c r="H45" s="165">
        <f t="shared" si="14"/>
        <v>80.835117773019277</v>
      </c>
      <c r="I45" s="165">
        <f t="shared" si="14"/>
        <v>81.707317073170728</v>
      </c>
      <c r="J45" s="165">
        <f t="shared" si="14"/>
        <v>81.190223166843779</v>
      </c>
      <c r="K45" s="165">
        <f t="shared" si="14"/>
        <v>81.072210065645507</v>
      </c>
      <c r="L45" s="166">
        <f t="shared" si="14"/>
        <v>78.926038500506593</v>
      </c>
    </row>
    <row r="46" spans="1:12" ht="16.5" thickBot="1" x14ac:dyDescent="0.3">
      <c r="A46" s="727" t="s">
        <v>248</v>
      </c>
      <c r="B46" s="726" t="s">
        <v>249</v>
      </c>
      <c r="C46" s="1411"/>
      <c r="D46" s="1412"/>
      <c r="E46" s="621">
        <v>2005</v>
      </c>
      <c r="F46" s="621">
        <v>2010</v>
      </c>
      <c r="G46" s="621">
        <v>2015</v>
      </c>
      <c r="H46" s="621">
        <v>2020</v>
      </c>
      <c r="I46" s="621">
        <v>2021</v>
      </c>
      <c r="J46" s="621">
        <v>2022</v>
      </c>
      <c r="K46" s="621">
        <v>2023</v>
      </c>
      <c r="L46" s="621">
        <v>2024</v>
      </c>
    </row>
    <row r="47" spans="1:12" s="64" customFormat="1" x14ac:dyDescent="0.25">
      <c r="A47" s="1398" t="s">
        <v>38</v>
      </c>
      <c r="B47" s="1392" t="s">
        <v>352</v>
      </c>
      <c r="C47" s="1147" t="s">
        <v>251</v>
      </c>
      <c r="D47" s="1147"/>
      <c r="E47" s="192">
        <v>3999</v>
      </c>
      <c r="F47" s="192">
        <v>5839</v>
      </c>
      <c r="G47" s="192">
        <v>5203</v>
      </c>
      <c r="H47" s="192">
        <v>4920</v>
      </c>
      <c r="I47" s="192">
        <v>4799</v>
      </c>
      <c r="J47" s="192">
        <v>3383</v>
      </c>
      <c r="K47" s="192">
        <v>3212</v>
      </c>
      <c r="L47" s="132" t="s">
        <v>536</v>
      </c>
    </row>
    <row r="48" spans="1:12" x14ac:dyDescent="0.25">
      <c r="A48" s="1399"/>
      <c r="B48" s="1393"/>
      <c r="C48" s="1124" t="s">
        <v>257</v>
      </c>
      <c r="D48" s="1124"/>
      <c r="E48" s="96">
        <v>1640</v>
      </c>
      <c r="F48" s="96">
        <v>2704</v>
      </c>
      <c r="G48" s="96">
        <v>2340</v>
      </c>
      <c r="H48" s="96">
        <v>2177</v>
      </c>
      <c r="I48" s="96">
        <v>2108</v>
      </c>
      <c r="J48" s="96">
        <v>1428</v>
      </c>
      <c r="K48" s="96">
        <v>1297</v>
      </c>
      <c r="L48" s="83" t="s">
        <v>537</v>
      </c>
    </row>
    <row r="49" spans="1:12" x14ac:dyDescent="0.25">
      <c r="A49" s="1399"/>
      <c r="B49" s="1393"/>
      <c r="C49" s="1124" t="s">
        <v>263</v>
      </c>
      <c r="D49" s="1124"/>
      <c r="E49" s="96">
        <v>2359</v>
      </c>
      <c r="F49" s="96">
        <v>3135</v>
      </c>
      <c r="G49" s="96">
        <v>2863</v>
      </c>
      <c r="H49" s="96">
        <v>2743</v>
      </c>
      <c r="I49" s="96">
        <v>2691</v>
      </c>
      <c r="J49" s="96">
        <v>1955</v>
      </c>
      <c r="K49" s="96">
        <v>1915</v>
      </c>
      <c r="L49" s="83" t="s">
        <v>538</v>
      </c>
    </row>
    <row r="50" spans="1:12" x14ac:dyDescent="0.25">
      <c r="A50" s="1399"/>
      <c r="B50" s="1393"/>
      <c r="C50" s="1112" t="s">
        <v>353</v>
      </c>
      <c r="D50" s="1112"/>
      <c r="E50" s="157">
        <f t="shared" ref="E50:L50" si="15">+E49-E48</f>
        <v>719</v>
      </c>
      <c r="F50" s="157">
        <f t="shared" si="15"/>
        <v>431</v>
      </c>
      <c r="G50" s="157">
        <f t="shared" si="15"/>
        <v>523</v>
      </c>
      <c r="H50" s="157">
        <f t="shared" si="15"/>
        <v>566</v>
      </c>
      <c r="I50" s="157">
        <f t="shared" si="15"/>
        <v>583</v>
      </c>
      <c r="J50" s="157">
        <f t="shared" si="15"/>
        <v>527</v>
      </c>
      <c r="K50" s="157">
        <f t="shared" si="15"/>
        <v>618</v>
      </c>
      <c r="L50" s="160">
        <f t="shared" si="15"/>
        <v>517</v>
      </c>
    </row>
    <row r="51" spans="1:12" ht="16.5" thickBot="1" x14ac:dyDescent="0.3">
      <c r="A51" s="1399"/>
      <c r="B51" s="1402"/>
      <c r="C51" s="1126" t="s">
        <v>270</v>
      </c>
      <c r="D51" s="1126"/>
      <c r="E51" s="161">
        <f>E49/E47*100</f>
        <v>58.989747436859219</v>
      </c>
      <c r="F51" s="161">
        <f t="shared" ref="F51:L51" si="16">F49/F47*100</f>
        <v>53.690700462407946</v>
      </c>
      <c r="G51" s="161">
        <f t="shared" si="16"/>
        <v>55.025946569286951</v>
      </c>
      <c r="H51" s="161">
        <f t="shared" si="16"/>
        <v>55.752032520325201</v>
      </c>
      <c r="I51" s="161">
        <f t="shared" si="16"/>
        <v>56.074182121275264</v>
      </c>
      <c r="J51" s="161">
        <f t="shared" si="16"/>
        <v>57.788944723618087</v>
      </c>
      <c r="K51" s="161">
        <f t="shared" si="16"/>
        <v>59.62017434620175</v>
      </c>
      <c r="L51" s="162">
        <f t="shared" si="16"/>
        <v>58.585187645300564</v>
      </c>
    </row>
    <row r="52" spans="1:12" s="64" customFormat="1" x14ac:dyDescent="0.25">
      <c r="A52" s="1399"/>
      <c r="B52" s="1392" t="s">
        <v>146</v>
      </c>
      <c r="C52" s="1147" t="s">
        <v>251</v>
      </c>
      <c r="D52" s="1147"/>
      <c r="E52" s="40"/>
      <c r="F52" s="40"/>
      <c r="G52" s="40"/>
      <c r="H52" s="40">
        <v>6.63</v>
      </c>
      <c r="I52" s="40">
        <v>5.65</v>
      </c>
      <c r="J52" s="40">
        <v>4.54</v>
      </c>
      <c r="K52" s="40">
        <v>4.32</v>
      </c>
      <c r="L52" s="38">
        <v>3.96</v>
      </c>
    </row>
    <row r="53" spans="1:12" x14ac:dyDescent="0.25">
      <c r="A53" s="1399"/>
      <c r="B53" s="1393"/>
      <c r="C53" s="1124" t="s">
        <v>257</v>
      </c>
      <c r="D53" s="1124"/>
      <c r="E53" s="28"/>
      <c r="F53" s="28"/>
      <c r="G53" s="28"/>
      <c r="H53" s="28">
        <v>6.23</v>
      </c>
      <c r="I53" s="28">
        <v>5.19</v>
      </c>
      <c r="J53" s="28">
        <v>3.92</v>
      </c>
      <c r="K53" s="28">
        <v>3.82</v>
      </c>
      <c r="L53" s="39">
        <v>3.52</v>
      </c>
    </row>
    <row r="54" spans="1:12" x14ac:dyDescent="0.25">
      <c r="A54" s="1399"/>
      <c r="B54" s="1393"/>
      <c r="C54" s="1223" t="s">
        <v>263</v>
      </c>
      <c r="D54" s="1223"/>
      <c r="E54" s="28"/>
      <c r="F54" s="28"/>
      <c r="G54" s="28"/>
      <c r="H54" s="28">
        <v>6.99</v>
      </c>
      <c r="I54" s="28">
        <v>6.07</v>
      </c>
      <c r="J54" s="28">
        <v>5.09</v>
      </c>
      <c r="K54" s="28">
        <v>4.7699999999999996</v>
      </c>
      <c r="L54" s="39">
        <v>4.3600000000000003</v>
      </c>
    </row>
    <row r="55" spans="1:12" ht="16.5" thickBot="1" x14ac:dyDescent="0.3">
      <c r="A55" s="1399"/>
      <c r="B55" s="1402"/>
      <c r="C55" s="1225" t="s">
        <v>354</v>
      </c>
      <c r="D55" s="1225"/>
      <c r="E55" s="33"/>
      <c r="F55" s="33"/>
      <c r="G55" s="33"/>
      <c r="H55" s="203">
        <f>+H54-H53</f>
        <v>0.75999999999999979</v>
      </c>
      <c r="I55" s="203">
        <f>+I54-I53</f>
        <v>0.87999999999999989</v>
      </c>
      <c r="J55" s="203">
        <f>+J54-J53</f>
        <v>1.17</v>
      </c>
      <c r="K55" s="203">
        <f>+K54-K53</f>
        <v>0.94999999999999973</v>
      </c>
      <c r="L55" s="204">
        <f>+L54-L53</f>
        <v>0.8400000000000003</v>
      </c>
    </row>
    <row r="56" spans="1:12" x14ac:dyDescent="0.25">
      <c r="A56" s="1399"/>
      <c r="B56" s="1392" t="s">
        <v>151</v>
      </c>
      <c r="C56" s="1430" t="s">
        <v>251</v>
      </c>
      <c r="D56" s="1430"/>
      <c r="E56" s="36"/>
      <c r="F56" s="36"/>
      <c r="G56" s="36"/>
      <c r="H56" s="36">
        <v>305</v>
      </c>
      <c r="I56" s="36">
        <v>313</v>
      </c>
      <c r="J56" s="36">
        <v>360</v>
      </c>
      <c r="K56" s="36">
        <v>295</v>
      </c>
      <c r="L56" s="20"/>
    </row>
    <row r="57" spans="1:12" x14ac:dyDescent="0.25">
      <c r="A57" s="1399"/>
      <c r="B57" s="1393"/>
      <c r="C57" s="1230" t="s">
        <v>257</v>
      </c>
      <c r="D57" s="1230"/>
      <c r="E57" s="28"/>
      <c r="F57" s="28"/>
      <c r="G57" s="28"/>
      <c r="H57" s="28">
        <v>109</v>
      </c>
      <c r="I57" s="28">
        <v>111</v>
      </c>
      <c r="J57" s="28">
        <v>130</v>
      </c>
      <c r="K57" s="28">
        <v>106</v>
      </c>
      <c r="L57" s="21"/>
    </row>
    <row r="58" spans="1:12" x14ac:dyDescent="0.25">
      <c r="A58" s="1399"/>
      <c r="B58" s="1393"/>
      <c r="C58" s="1124" t="s">
        <v>263</v>
      </c>
      <c r="D58" s="1124"/>
      <c r="E58" s="28"/>
      <c r="F58" s="28"/>
      <c r="G58" s="28"/>
      <c r="H58" s="28">
        <v>196</v>
      </c>
      <c r="I58" s="28">
        <v>202</v>
      </c>
      <c r="J58" s="28">
        <v>230</v>
      </c>
      <c r="K58" s="28">
        <v>189</v>
      </c>
      <c r="L58" s="21"/>
    </row>
    <row r="59" spans="1:12" x14ac:dyDescent="0.25">
      <c r="A59" s="1399"/>
      <c r="B59" s="1393"/>
      <c r="C59" s="1112" t="s">
        <v>353</v>
      </c>
      <c r="D59" s="1112"/>
      <c r="E59" s="28"/>
      <c r="F59" s="28"/>
      <c r="G59" s="28"/>
      <c r="H59" s="44">
        <f>+H58-H57</f>
        <v>87</v>
      </c>
      <c r="I59" s="44">
        <f>+I58-I57</f>
        <v>91</v>
      </c>
      <c r="J59" s="44">
        <f>+J58-J57</f>
        <v>100</v>
      </c>
      <c r="K59" s="44">
        <f>+K58-K57</f>
        <v>83</v>
      </c>
      <c r="L59" s="21"/>
    </row>
    <row r="60" spans="1:12" ht="16.5" thickBot="1" x14ac:dyDescent="0.3">
      <c r="A60" s="1399"/>
      <c r="B60" s="1402"/>
      <c r="C60" s="1126" t="s">
        <v>270</v>
      </c>
      <c r="D60" s="1126"/>
      <c r="E60" s="33"/>
      <c r="F60" s="33"/>
      <c r="G60" s="33"/>
      <c r="H60" s="161">
        <f>H58/H56*100</f>
        <v>64.26229508196721</v>
      </c>
      <c r="I60" s="161">
        <f>I58/I56*100</f>
        <v>64.5367412140575</v>
      </c>
      <c r="J60" s="161">
        <f>J58/J56*100</f>
        <v>63.888888888888886</v>
      </c>
      <c r="K60" s="161">
        <f>K58/K56*100</f>
        <v>64.067796610169495</v>
      </c>
      <c r="L60" s="22"/>
    </row>
    <row r="61" spans="1:12" ht="16.5" thickBot="1" x14ac:dyDescent="0.3">
      <c r="A61" s="1400"/>
      <c r="B61" s="332" t="s">
        <v>249</v>
      </c>
      <c r="C61" s="1423"/>
      <c r="D61" s="1424"/>
      <c r="E61" s="88"/>
      <c r="F61" s="89">
        <v>2011</v>
      </c>
      <c r="G61" s="90"/>
      <c r="H61" s="88"/>
      <c r="I61" s="89">
        <v>2021</v>
      </c>
      <c r="J61" s="90"/>
      <c r="K61" s="91"/>
      <c r="L61" s="90"/>
    </row>
    <row r="62" spans="1:12" s="64" customFormat="1" x14ac:dyDescent="0.25">
      <c r="A62" s="1399"/>
      <c r="B62" s="1392" t="s">
        <v>156</v>
      </c>
      <c r="C62" s="1431" t="s">
        <v>355</v>
      </c>
      <c r="D62" s="207" t="s">
        <v>251</v>
      </c>
      <c r="E62" s="612"/>
      <c r="F62" s="81">
        <v>53270</v>
      </c>
      <c r="G62" s="103"/>
      <c r="H62" s="103"/>
      <c r="I62" s="81">
        <v>50790</v>
      </c>
      <c r="J62" s="40"/>
      <c r="K62" s="40"/>
      <c r="L62" s="325"/>
    </row>
    <row r="63" spans="1:12" ht="15" customHeight="1" x14ac:dyDescent="0.25">
      <c r="A63" s="1399"/>
      <c r="B63" s="1393"/>
      <c r="C63" s="1432"/>
      <c r="D63" s="28" t="s">
        <v>257</v>
      </c>
      <c r="E63" s="94"/>
      <c r="F63" s="80">
        <v>25840</v>
      </c>
      <c r="G63" s="95"/>
      <c r="H63" s="95"/>
      <c r="I63" s="80">
        <v>24660</v>
      </c>
      <c r="J63" s="28"/>
      <c r="K63" s="28"/>
      <c r="L63" s="21"/>
    </row>
    <row r="64" spans="1:12" x14ac:dyDescent="0.25">
      <c r="A64" s="1399"/>
      <c r="B64" s="1393"/>
      <c r="C64" s="1432"/>
      <c r="D64" s="28" t="s">
        <v>263</v>
      </c>
      <c r="E64" s="94"/>
      <c r="F64" s="80">
        <v>27430</v>
      </c>
      <c r="G64" s="95"/>
      <c r="H64" s="95"/>
      <c r="I64" s="80">
        <v>26130</v>
      </c>
      <c r="J64" s="28"/>
      <c r="K64" s="28"/>
      <c r="L64" s="21"/>
    </row>
    <row r="65" spans="1:12" ht="12.95" hidden="1" customHeight="1" x14ac:dyDescent="0.25">
      <c r="A65" s="1399"/>
      <c r="B65" s="1393"/>
      <c r="C65" s="1403" t="s">
        <v>356</v>
      </c>
      <c r="D65" s="144" t="s">
        <v>251</v>
      </c>
      <c r="E65" s="94"/>
      <c r="F65" s="80">
        <v>405</v>
      </c>
      <c r="G65" s="95"/>
      <c r="H65" s="95"/>
      <c r="I65" s="96"/>
      <c r="J65" s="28"/>
      <c r="K65" s="28"/>
      <c r="L65" s="21"/>
    </row>
    <row r="66" spans="1:12" hidden="1" x14ac:dyDescent="0.25">
      <c r="A66" s="1399"/>
      <c r="B66" s="1393"/>
      <c r="C66" s="1403"/>
      <c r="D66" s="28" t="s">
        <v>257</v>
      </c>
      <c r="E66" s="94"/>
      <c r="F66" s="80">
        <v>390</v>
      </c>
      <c r="G66" s="95"/>
      <c r="H66" s="95"/>
      <c r="I66" s="96"/>
      <c r="J66" s="28"/>
      <c r="K66" s="28"/>
      <c r="L66" s="21"/>
    </row>
    <row r="67" spans="1:12" hidden="1" x14ac:dyDescent="0.25">
      <c r="A67" s="1399"/>
      <c r="B67" s="1393"/>
      <c r="C67" s="1403"/>
      <c r="D67" s="28" t="s">
        <v>263</v>
      </c>
      <c r="E67" s="94"/>
      <c r="F67" s="80">
        <v>15</v>
      </c>
      <c r="G67" s="95"/>
      <c r="H67" s="95"/>
      <c r="I67" s="96"/>
      <c r="J67" s="28"/>
      <c r="K67" s="28"/>
      <c r="L67" s="21"/>
    </row>
    <row r="68" spans="1:12" hidden="1" x14ac:dyDescent="0.25">
      <c r="A68" s="1399"/>
      <c r="B68" s="1393"/>
      <c r="C68" s="1403"/>
      <c r="D68" s="28" t="s">
        <v>357</v>
      </c>
      <c r="E68" s="94"/>
      <c r="F68" s="97">
        <f>F67/F65*100</f>
        <v>3.7037037037037033</v>
      </c>
      <c r="G68" s="94"/>
      <c r="H68" s="94"/>
      <c r="I68" s="28"/>
      <c r="J68" s="28"/>
      <c r="K68" s="28"/>
      <c r="L68" s="21"/>
    </row>
    <row r="69" spans="1:12" ht="14.85" hidden="1" customHeight="1" x14ac:dyDescent="0.25">
      <c r="A69" s="1399"/>
      <c r="B69" s="1393"/>
      <c r="C69" s="1403" t="s">
        <v>358</v>
      </c>
      <c r="D69" s="144" t="s">
        <v>251</v>
      </c>
      <c r="E69" s="94"/>
      <c r="F69" s="80">
        <v>1110</v>
      </c>
      <c r="G69" s="80"/>
      <c r="H69" s="80"/>
      <c r="I69" s="80">
        <v>408</v>
      </c>
      <c r="J69" s="28"/>
      <c r="K69" s="28"/>
      <c r="L69" s="21"/>
    </row>
    <row r="70" spans="1:12" hidden="1" x14ac:dyDescent="0.25">
      <c r="A70" s="1399"/>
      <c r="B70" s="1393"/>
      <c r="C70" s="1403"/>
      <c r="D70" s="28" t="s">
        <v>257</v>
      </c>
      <c r="E70" s="94"/>
      <c r="F70" s="80">
        <v>875</v>
      </c>
      <c r="G70" s="80"/>
      <c r="H70" s="80"/>
      <c r="I70" s="80">
        <v>288</v>
      </c>
      <c r="J70" s="28"/>
      <c r="K70" s="28"/>
      <c r="L70" s="21"/>
    </row>
    <row r="71" spans="1:12" hidden="1" x14ac:dyDescent="0.25">
      <c r="A71" s="1399"/>
      <c r="B71" s="1393"/>
      <c r="C71" s="1403"/>
      <c r="D71" s="28" t="s">
        <v>263</v>
      </c>
      <c r="E71" s="94"/>
      <c r="F71" s="80">
        <v>235</v>
      </c>
      <c r="G71" s="80"/>
      <c r="H71" s="80"/>
      <c r="I71" s="80">
        <v>120</v>
      </c>
      <c r="J71" s="28"/>
      <c r="K71" s="28"/>
      <c r="L71" s="21"/>
    </row>
    <row r="72" spans="1:12" hidden="1" x14ac:dyDescent="0.25">
      <c r="A72" s="1399"/>
      <c r="B72" s="1393"/>
      <c r="C72" s="1403"/>
      <c r="D72" s="28" t="s">
        <v>357</v>
      </c>
      <c r="E72" s="94"/>
      <c r="F72" s="97">
        <f>F71/F69*100</f>
        <v>21.171171171171171</v>
      </c>
      <c r="G72" s="94"/>
      <c r="H72" s="94"/>
      <c r="I72" s="97">
        <f>I71/I69*100</f>
        <v>29.411764705882355</v>
      </c>
      <c r="J72" s="28"/>
      <c r="K72" s="28"/>
      <c r="L72" s="21"/>
    </row>
    <row r="73" spans="1:12" ht="14.85" hidden="1" customHeight="1" x14ac:dyDescent="0.25">
      <c r="A73" s="1399"/>
      <c r="B73" s="1393"/>
      <c r="C73" s="1403" t="s">
        <v>359</v>
      </c>
      <c r="D73" s="144" t="s">
        <v>251</v>
      </c>
      <c r="E73" s="94"/>
      <c r="F73" s="80">
        <v>1800</v>
      </c>
      <c r="G73" s="80"/>
      <c r="H73" s="80"/>
      <c r="I73" s="80">
        <v>2025</v>
      </c>
      <c r="J73" s="28"/>
      <c r="K73" s="28"/>
      <c r="L73" s="21"/>
    </row>
    <row r="74" spans="1:12" hidden="1" x14ac:dyDescent="0.25">
      <c r="A74" s="1399"/>
      <c r="B74" s="1393"/>
      <c r="C74" s="1403"/>
      <c r="D74" s="28" t="s">
        <v>257</v>
      </c>
      <c r="E74" s="94"/>
      <c r="F74" s="80">
        <v>955</v>
      </c>
      <c r="G74" s="80"/>
      <c r="H74" s="80"/>
      <c r="I74" s="80">
        <v>1233</v>
      </c>
      <c r="J74" s="28"/>
      <c r="K74" s="28"/>
      <c r="L74" s="21"/>
    </row>
    <row r="75" spans="1:12" hidden="1" x14ac:dyDescent="0.25">
      <c r="A75" s="1399"/>
      <c r="B75" s="1393"/>
      <c r="C75" s="1403"/>
      <c r="D75" s="28" t="s">
        <v>263</v>
      </c>
      <c r="E75" s="94"/>
      <c r="F75" s="80">
        <v>845</v>
      </c>
      <c r="G75" s="80"/>
      <c r="H75" s="80"/>
      <c r="I75" s="80">
        <v>795</v>
      </c>
      <c r="J75" s="28"/>
      <c r="K75" s="28"/>
      <c r="L75" s="21"/>
    </row>
    <row r="76" spans="1:12" hidden="1" x14ac:dyDescent="0.25">
      <c r="A76" s="1399"/>
      <c r="B76" s="1393"/>
      <c r="C76" s="1403"/>
      <c r="D76" s="28" t="s">
        <v>357</v>
      </c>
      <c r="E76" s="94"/>
      <c r="F76" s="98">
        <f>F75/F73*100</f>
        <v>46.944444444444443</v>
      </c>
      <c r="G76" s="94"/>
      <c r="H76" s="94"/>
      <c r="I76" s="97">
        <f>I75/I73*100</f>
        <v>39.25925925925926</v>
      </c>
      <c r="J76" s="28"/>
      <c r="K76" s="28"/>
      <c r="L76" s="21"/>
    </row>
    <row r="77" spans="1:12" ht="14.85" hidden="1" customHeight="1" x14ac:dyDescent="0.25">
      <c r="A77" s="1399"/>
      <c r="B77" s="1393"/>
      <c r="C77" s="1403" t="s">
        <v>360</v>
      </c>
      <c r="D77" s="144" t="s">
        <v>251</v>
      </c>
      <c r="E77" s="94"/>
      <c r="F77" s="80">
        <v>2020</v>
      </c>
      <c r="G77" s="80"/>
      <c r="H77" s="80"/>
      <c r="I77" s="80">
        <v>642</v>
      </c>
      <c r="J77" s="28"/>
      <c r="K77" s="28"/>
      <c r="L77" s="21"/>
    </row>
    <row r="78" spans="1:12" hidden="1" x14ac:dyDescent="0.25">
      <c r="A78" s="1399"/>
      <c r="B78" s="1393"/>
      <c r="C78" s="1403"/>
      <c r="D78" s="28" t="s">
        <v>257</v>
      </c>
      <c r="E78" s="94"/>
      <c r="F78" s="80">
        <v>1345</v>
      </c>
      <c r="G78" s="80"/>
      <c r="H78" s="80"/>
      <c r="I78" s="80">
        <v>441</v>
      </c>
      <c r="J78" s="28"/>
      <c r="K78" s="28"/>
      <c r="L78" s="21"/>
    </row>
    <row r="79" spans="1:12" hidden="1" x14ac:dyDescent="0.25">
      <c r="A79" s="1399"/>
      <c r="B79" s="1393"/>
      <c r="C79" s="1403"/>
      <c r="D79" s="28" t="s">
        <v>263</v>
      </c>
      <c r="E79" s="94"/>
      <c r="F79" s="80">
        <v>675</v>
      </c>
      <c r="G79" s="80"/>
      <c r="H79" s="80"/>
      <c r="I79" s="80">
        <v>201</v>
      </c>
      <c r="J79" s="28"/>
      <c r="K79" s="28"/>
      <c r="L79" s="21"/>
    </row>
    <row r="80" spans="1:12" hidden="1" x14ac:dyDescent="0.25">
      <c r="A80" s="1399"/>
      <c r="B80" s="1393"/>
      <c r="C80" s="1403"/>
      <c r="D80" s="28" t="s">
        <v>357</v>
      </c>
      <c r="E80" s="94"/>
      <c r="F80" s="97">
        <f>F79/F77*100</f>
        <v>33.415841584158414</v>
      </c>
      <c r="G80" s="94"/>
      <c r="H80" s="94"/>
      <c r="I80" s="97">
        <f>I79/I77*100</f>
        <v>31.308411214953267</v>
      </c>
      <c r="J80" s="28"/>
      <c r="K80" s="28"/>
      <c r="L80" s="21"/>
    </row>
    <row r="81" spans="1:12" ht="14.85" hidden="1" customHeight="1" x14ac:dyDescent="0.25">
      <c r="A81" s="1399"/>
      <c r="B81" s="1393"/>
      <c r="C81" s="1403" t="s">
        <v>361</v>
      </c>
      <c r="D81" s="144" t="s">
        <v>251</v>
      </c>
      <c r="E81" s="94"/>
      <c r="F81" s="80">
        <v>245</v>
      </c>
      <c r="G81" s="80"/>
      <c r="H81" s="80"/>
      <c r="I81" s="80">
        <v>393</v>
      </c>
      <c r="J81" s="28"/>
      <c r="K81" s="28"/>
      <c r="L81" s="21"/>
    </row>
    <row r="82" spans="1:12" hidden="1" x14ac:dyDescent="0.25">
      <c r="A82" s="1399"/>
      <c r="B82" s="1393"/>
      <c r="C82" s="1403"/>
      <c r="D82" s="28" t="s">
        <v>257</v>
      </c>
      <c r="E82" s="94"/>
      <c r="F82" s="80">
        <v>130</v>
      </c>
      <c r="G82" s="80"/>
      <c r="H82" s="80"/>
      <c r="I82" s="80">
        <v>252</v>
      </c>
      <c r="J82" s="28"/>
      <c r="K82" s="28"/>
      <c r="L82" s="21"/>
    </row>
    <row r="83" spans="1:12" hidden="1" x14ac:dyDescent="0.25">
      <c r="A83" s="1399"/>
      <c r="B83" s="1393"/>
      <c r="C83" s="1403"/>
      <c r="D83" s="28" t="s">
        <v>263</v>
      </c>
      <c r="E83" s="94"/>
      <c r="F83" s="80">
        <v>110</v>
      </c>
      <c r="G83" s="80"/>
      <c r="H83" s="80"/>
      <c r="I83" s="80">
        <v>138</v>
      </c>
      <c r="J83" s="28"/>
      <c r="K83" s="28"/>
      <c r="L83" s="21"/>
    </row>
    <row r="84" spans="1:12" hidden="1" x14ac:dyDescent="0.25">
      <c r="A84" s="1399"/>
      <c r="B84" s="1393"/>
      <c r="C84" s="1403"/>
      <c r="D84" s="28" t="s">
        <v>357</v>
      </c>
      <c r="E84" s="94"/>
      <c r="F84" s="98">
        <f>(F83/F81)*100</f>
        <v>44.897959183673471</v>
      </c>
      <c r="G84" s="94"/>
      <c r="H84" s="94"/>
      <c r="I84" s="97">
        <f>I83/I81*100</f>
        <v>35.114503816793892</v>
      </c>
      <c r="J84" s="28"/>
      <c r="K84" s="28"/>
      <c r="L84" s="21"/>
    </row>
    <row r="85" spans="1:12" ht="14.85" hidden="1" customHeight="1" x14ac:dyDescent="0.25">
      <c r="A85" s="1399"/>
      <c r="B85" s="1393"/>
      <c r="C85" s="1403" t="s">
        <v>362</v>
      </c>
      <c r="D85" s="144" t="s">
        <v>251</v>
      </c>
      <c r="E85" s="94"/>
      <c r="F85" s="80">
        <v>260</v>
      </c>
      <c r="G85" s="80"/>
      <c r="H85" s="80"/>
      <c r="I85" s="80">
        <v>516</v>
      </c>
      <c r="J85" s="28"/>
      <c r="K85" s="28"/>
      <c r="L85" s="21"/>
    </row>
    <row r="86" spans="1:12" ht="15" hidden="1" customHeight="1" x14ac:dyDescent="0.25">
      <c r="A86" s="1399"/>
      <c r="B86" s="1393"/>
      <c r="C86" s="1403"/>
      <c r="D86" s="28" t="s">
        <v>257</v>
      </c>
      <c r="E86" s="94"/>
      <c r="F86" s="80">
        <v>155</v>
      </c>
      <c r="G86" s="80"/>
      <c r="H86" s="80"/>
      <c r="I86" s="80">
        <v>342</v>
      </c>
      <c r="J86" s="28"/>
      <c r="K86" s="28"/>
      <c r="L86" s="21"/>
    </row>
    <row r="87" spans="1:12" hidden="1" x14ac:dyDescent="0.25">
      <c r="A87" s="1399"/>
      <c r="B87" s="1393"/>
      <c r="C87" s="1403"/>
      <c r="D87" s="28" t="s">
        <v>263</v>
      </c>
      <c r="E87" s="94"/>
      <c r="F87" s="80">
        <v>105</v>
      </c>
      <c r="G87" s="80"/>
      <c r="H87" s="80"/>
      <c r="I87" s="80">
        <v>177</v>
      </c>
      <c r="J87" s="28"/>
      <c r="K87" s="28"/>
      <c r="L87" s="21"/>
    </row>
    <row r="88" spans="1:12" hidden="1" x14ac:dyDescent="0.25">
      <c r="A88" s="1399"/>
      <c r="B88" s="1393"/>
      <c r="C88" s="1403"/>
      <c r="D88" s="28" t="s">
        <v>357</v>
      </c>
      <c r="E88" s="94"/>
      <c r="F88" s="98">
        <f>(F87/F85)*100</f>
        <v>40.384615384615387</v>
      </c>
      <c r="G88" s="94"/>
      <c r="H88" s="94"/>
      <c r="I88" s="97">
        <f>I87/I85*100</f>
        <v>34.302325581395351</v>
      </c>
      <c r="J88" s="28"/>
      <c r="K88" s="28"/>
      <c r="L88" s="21"/>
    </row>
    <row r="89" spans="1:12" hidden="1" x14ac:dyDescent="0.25">
      <c r="A89" s="1399"/>
      <c r="B89" s="1393"/>
      <c r="C89" s="1403" t="s">
        <v>363</v>
      </c>
      <c r="D89" s="144" t="s">
        <v>251</v>
      </c>
      <c r="E89" s="94"/>
      <c r="F89" s="80">
        <v>3860</v>
      </c>
      <c r="G89" s="80"/>
      <c r="H89" s="80"/>
      <c r="I89" s="80">
        <v>3963</v>
      </c>
      <c r="J89" s="28"/>
      <c r="K89" s="28"/>
      <c r="L89" s="21"/>
    </row>
    <row r="90" spans="1:12" hidden="1" x14ac:dyDescent="0.25">
      <c r="A90" s="1399"/>
      <c r="B90" s="1393"/>
      <c r="C90" s="1403"/>
      <c r="D90" s="28" t="s">
        <v>257</v>
      </c>
      <c r="E90" s="94"/>
      <c r="F90" s="80">
        <v>1335</v>
      </c>
      <c r="G90" s="80"/>
      <c r="H90" s="80"/>
      <c r="I90" s="80">
        <v>1119</v>
      </c>
      <c r="J90" s="28"/>
      <c r="K90" s="28"/>
      <c r="L90" s="21"/>
    </row>
    <row r="91" spans="1:12" hidden="1" x14ac:dyDescent="0.25">
      <c r="A91" s="1399"/>
      <c r="B91" s="1393"/>
      <c r="C91" s="1403"/>
      <c r="D91" s="28" t="s">
        <v>263</v>
      </c>
      <c r="E91" s="94"/>
      <c r="F91" s="80">
        <v>2525</v>
      </c>
      <c r="G91" s="80"/>
      <c r="H91" s="80"/>
      <c r="I91" s="80">
        <v>2844</v>
      </c>
      <c r="J91" s="28"/>
      <c r="K91" s="28"/>
      <c r="L91" s="21"/>
    </row>
    <row r="92" spans="1:12" hidden="1" x14ac:dyDescent="0.25">
      <c r="A92" s="1399"/>
      <c r="B92" s="1393"/>
      <c r="C92" s="1403"/>
      <c r="D92" s="28" t="s">
        <v>357</v>
      </c>
      <c r="E92" s="94"/>
      <c r="F92" s="99">
        <f>(F91/F89)*100</f>
        <v>65.414507772020727</v>
      </c>
      <c r="G92" s="94"/>
      <c r="H92" s="94"/>
      <c r="I92" s="99">
        <f>I91/I89*100</f>
        <v>71.76381529144588</v>
      </c>
      <c r="J92" s="28"/>
      <c r="K92" s="28"/>
      <c r="L92" s="21"/>
    </row>
    <row r="93" spans="1:12" ht="14.85" hidden="1" customHeight="1" x14ac:dyDescent="0.25">
      <c r="A93" s="1399"/>
      <c r="B93" s="1393"/>
      <c r="C93" s="1403" t="s">
        <v>364</v>
      </c>
      <c r="D93" s="144" t="s">
        <v>251</v>
      </c>
      <c r="E93" s="94"/>
      <c r="F93" s="80">
        <v>3570</v>
      </c>
      <c r="G93" s="80"/>
      <c r="H93" s="80"/>
      <c r="I93" s="80">
        <v>3624</v>
      </c>
      <c r="J93" s="28"/>
      <c r="K93" s="28"/>
      <c r="L93" s="21"/>
    </row>
    <row r="94" spans="1:12" ht="14.85" hidden="1" customHeight="1" x14ac:dyDescent="0.25">
      <c r="A94" s="1399"/>
      <c r="B94" s="1393"/>
      <c r="C94" s="1403"/>
      <c r="D94" s="28" t="s">
        <v>257</v>
      </c>
      <c r="E94" s="94"/>
      <c r="F94" s="80">
        <v>1200</v>
      </c>
      <c r="G94" s="80"/>
      <c r="H94" s="80"/>
      <c r="I94" s="80">
        <v>1326</v>
      </c>
      <c r="J94" s="28"/>
      <c r="K94" s="28"/>
      <c r="L94" s="21"/>
    </row>
    <row r="95" spans="1:12" hidden="1" x14ac:dyDescent="0.25">
      <c r="A95" s="1399"/>
      <c r="B95" s="1393"/>
      <c r="C95" s="1403"/>
      <c r="D95" s="28" t="s">
        <v>263</v>
      </c>
      <c r="E95" s="94"/>
      <c r="F95" s="80">
        <v>2365</v>
      </c>
      <c r="G95" s="80"/>
      <c r="H95" s="80"/>
      <c r="I95" s="80">
        <v>2298</v>
      </c>
      <c r="J95" s="28"/>
      <c r="K95" s="28"/>
      <c r="L95" s="21"/>
    </row>
    <row r="96" spans="1:12" hidden="1" x14ac:dyDescent="0.25">
      <c r="A96" s="1399"/>
      <c r="B96" s="1393"/>
      <c r="C96" s="1403"/>
      <c r="D96" s="28" t="s">
        <v>357</v>
      </c>
      <c r="E96" s="94"/>
      <c r="F96" s="99">
        <f>(F95/F93)*100</f>
        <v>66.246498599439775</v>
      </c>
      <c r="G96" s="94"/>
      <c r="H96" s="94"/>
      <c r="I96" s="99">
        <f>I95/I93*100</f>
        <v>63.410596026490062</v>
      </c>
      <c r="J96" s="28"/>
      <c r="K96" s="28"/>
      <c r="L96" s="21"/>
    </row>
    <row r="97" spans="1:12" ht="14.85" hidden="1" customHeight="1" x14ac:dyDescent="0.25">
      <c r="A97" s="1399"/>
      <c r="B97" s="1393"/>
      <c r="C97" s="1403" t="s">
        <v>365</v>
      </c>
      <c r="D97" s="144" t="s">
        <v>251</v>
      </c>
      <c r="E97" s="94"/>
      <c r="F97" s="80">
        <v>430</v>
      </c>
      <c r="G97" s="80"/>
      <c r="H97" s="80"/>
      <c r="I97" s="80">
        <v>879</v>
      </c>
      <c r="J97" s="28"/>
      <c r="K97" s="28"/>
      <c r="L97" s="21"/>
    </row>
    <row r="98" spans="1:12" hidden="1" x14ac:dyDescent="0.25">
      <c r="A98" s="1399"/>
      <c r="B98" s="1393"/>
      <c r="C98" s="1403"/>
      <c r="D98" s="28" t="s">
        <v>257</v>
      </c>
      <c r="E98" s="94"/>
      <c r="F98" s="80">
        <v>155</v>
      </c>
      <c r="G98" s="80"/>
      <c r="H98" s="80"/>
      <c r="I98" s="80">
        <v>345</v>
      </c>
      <c r="J98" s="28"/>
      <c r="K98" s="28"/>
      <c r="L98" s="21"/>
    </row>
    <row r="99" spans="1:12" hidden="1" x14ac:dyDescent="0.25">
      <c r="A99" s="1399"/>
      <c r="B99" s="1393"/>
      <c r="C99" s="1403"/>
      <c r="D99" s="28" t="s">
        <v>263</v>
      </c>
      <c r="E99" s="94"/>
      <c r="F99" s="80">
        <v>275</v>
      </c>
      <c r="G99" s="80"/>
      <c r="H99" s="80"/>
      <c r="I99" s="80">
        <v>534</v>
      </c>
      <c r="J99" s="28"/>
      <c r="K99" s="28"/>
      <c r="L99" s="21"/>
    </row>
    <row r="100" spans="1:12" hidden="1" x14ac:dyDescent="0.25">
      <c r="A100" s="1399"/>
      <c r="B100" s="1393"/>
      <c r="C100" s="1403"/>
      <c r="D100" s="28" t="s">
        <v>357</v>
      </c>
      <c r="E100" s="94"/>
      <c r="F100" s="99">
        <f>(F99/F97)*100</f>
        <v>63.953488372093027</v>
      </c>
      <c r="G100" s="94"/>
      <c r="H100" s="94"/>
      <c r="I100" s="99">
        <f>I99/I97*100</f>
        <v>60.750853242320822</v>
      </c>
      <c r="J100" s="28"/>
      <c r="K100" s="28"/>
      <c r="L100" s="21"/>
    </row>
    <row r="101" spans="1:12" ht="14.85" hidden="1" customHeight="1" x14ac:dyDescent="0.25">
      <c r="A101" s="1399"/>
      <c r="B101" s="1393"/>
      <c r="C101" s="1403" t="s">
        <v>366</v>
      </c>
      <c r="D101" s="144" t="s">
        <v>251</v>
      </c>
      <c r="E101" s="94"/>
      <c r="F101" s="80">
        <v>5130</v>
      </c>
      <c r="G101" s="80"/>
      <c r="H101" s="80"/>
      <c r="I101" s="80">
        <v>3489</v>
      </c>
      <c r="J101" s="28"/>
      <c r="K101" s="28"/>
      <c r="L101" s="21"/>
    </row>
    <row r="102" spans="1:12" hidden="1" x14ac:dyDescent="0.25">
      <c r="A102" s="1399"/>
      <c r="B102" s="1393"/>
      <c r="C102" s="1403"/>
      <c r="D102" s="28" t="s">
        <v>257</v>
      </c>
      <c r="E102" s="94"/>
      <c r="F102" s="80">
        <v>3380</v>
      </c>
      <c r="G102" s="80"/>
      <c r="H102" s="80"/>
      <c r="I102" s="80">
        <v>2199</v>
      </c>
      <c r="J102" s="28"/>
      <c r="K102" s="28"/>
      <c r="L102" s="21"/>
    </row>
    <row r="103" spans="1:12" hidden="1" x14ac:dyDescent="0.25">
      <c r="A103" s="1399"/>
      <c r="B103" s="1393"/>
      <c r="C103" s="1403"/>
      <c r="D103" s="28" t="s">
        <v>263</v>
      </c>
      <c r="E103" s="94"/>
      <c r="F103" s="80">
        <v>1750</v>
      </c>
      <c r="G103" s="80"/>
      <c r="H103" s="80"/>
      <c r="I103" s="80">
        <v>1287</v>
      </c>
      <c r="J103" s="28"/>
      <c r="K103" s="28"/>
      <c r="L103" s="21"/>
    </row>
    <row r="104" spans="1:12" hidden="1" x14ac:dyDescent="0.25">
      <c r="A104" s="1399"/>
      <c r="B104" s="1393"/>
      <c r="C104" s="1403"/>
      <c r="D104" s="28" t="s">
        <v>357</v>
      </c>
      <c r="E104" s="94"/>
      <c r="F104" s="97">
        <f>(F103/F101)*100</f>
        <v>34.113060428849899</v>
      </c>
      <c r="G104" s="94"/>
      <c r="H104" s="94"/>
      <c r="I104" s="97">
        <f>I103/I101*100</f>
        <v>36.887360275150471</v>
      </c>
      <c r="J104" s="28"/>
      <c r="K104" s="28"/>
      <c r="L104" s="21"/>
    </row>
    <row r="105" spans="1:12" hidden="1" x14ac:dyDescent="0.25">
      <c r="A105" s="1399"/>
      <c r="B105" s="1393"/>
      <c r="C105" s="1403" t="s">
        <v>367</v>
      </c>
      <c r="D105" s="144" t="s">
        <v>251</v>
      </c>
      <c r="E105" s="94"/>
      <c r="F105" s="80">
        <v>1795</v>
      </c>
      <c r="G105" s="80"/>
      <c r="H105" s="80"/>
      <c r="I105" s="80">
        <v>1764</v>
      </c>
      <c r="J105" s="96"/>
      <c r="K105" s="28"/>
      <c r="L105" s="21"/>
    </row>
    <row r="106" spans="1:12" hidden="1" x14ac:dyDescent="0.25">
      <c r="A106" s="1399"/>
      <c r="B106" s="1393"/>
      <c r="C106" s="1403"/>
      <c r="D106" s="28" t="s">
        <v>257</v>
      </c>
      <c r="E106" s="94"/>
      <c r="F106" s="80">
        <v>945</v>
      </c>
      <c r="G106" s="80"/>
      <c r="H106" s="80"/>
      <c r="I106" s="80">
        <v>792</v>
      </c>
      <c r="J106" s="96"/>
      <c r="K106" s="28"/>
      <c r="L106" s="21"/>
    </row>
    <row r="107" spans="1:12" hidden="1" x14ac:dyDescent="0.25">
      <c r="A107" s="1399"/>
      <c r="B107" s="1393"/>
      <c r="C107" s="1403"/>
      <c r="D107" s="28" t="s">
        <v>263</v>
      </c>
      <c r="E107" s="94"/>
      <c r="F107" s="80">
        <v>850</v>
      </c>
      <c r="G107" s="80"/>
      <c r="H107" s="80"/>
      <c r="I107" s="80">
        <v>972</v>
      </c>
      <c r="J107" s="96"/>
      <c r="K107" s="28"/>
      <c r="L107" s="21"/>
    </row>
    <row r="108" spans="1:12" hidden="1" x14ac:dyDescent="0.25">
      <c r="A108" s="1399"/>
      <c r="B108" s="1393"/>
      <c r="C108" s="1403"/>
      <c r="D108" s="28" t="s">
        <v>357</v>
      </c>
      <c r="E108" s="94"/>
      <c r="F108" s="98">
        <f>(F107/F105)*100</f>
        <v>47.353760445682454</v>
      </c>
      <c r="G108" s="94"/>
      <c r="H108" s="94"/>
      <c r="I108" s="98">
        <f>I107/I105*100</f>
        <v>55.102040816326522</v>
      </c>
      <c r="J108" s="96"/>
      <c r="K108" s="28"/>
      <c r="L108" s="21"/>
    </row>
    <row r="109" spans="1:12" ht="14.85" hidden="1" customHeight="1" x14ac:dyDescent="0.25">
      <c r="A109" s="1399"/>
      <c r="B109" s="1393"/>
      <c r="C109" s="1403" t="s">
        <v>368</v>
      </c>
      <c r="D109" s="144" t="s">
        <v>251</v>
      </c>
      <c r="E109" s="94"/>
      <c r="F109" s="80">
        <v>2935</v>
      </c>
      <c r="G109" s="80"/>
      <c r="H109" s="80"/>
      <c r="I109" s="80">
        <v>4122</v>
      </c>
      <c r="J109" s="96"/>
      <c r="K109" s="28"/>
      <c r="L109" s="21"/>
    </row>
    <row r="110" spans="1:12" hidden="1" x14ac:dyDescent="0.25">
      <c r="A110" s="1399"/>
      <c r="B110" s="1393"/>
      <c r="C110" s="1403"/>
      <c r="D110" s="28" t="s">
        <v>257</v>
      </c>
      <c r="E110" s="94"/>
      <c r="F110" s="80">
        <v>1205</v>
      </c>
      <c r="G110" s="80"/>
      <c r="H110" s="80"/>
      <c r="I110" s="80">
        <v>1905</v>
      </c>
      <c r="J110" s="96"/>
      <c r="K110" s="28"/>
      <c r="L110" s="21"/>
    </row>
    <row r="111" spans="1:12" hidden="1" x14ac:dyDescent="0.25">
      <c r="A111" s="1399"/>
      <c r="B111" s="1393"/>
      <c r="C111" s="1403"/>
      <c r="D111" s="28" t="s">
        <v>263</v>
      </c>
      <c r="E111" s="94"/>
      <c r="F111" s="80">
        <v>1730</v>
      </c>
      <c r="G111" s="80"/>
      <c r="H111" s="80"/>
      <c r="I111" s="80">
        <v>2217</v>
      </c>
      <c r="J111" s="96"/>
      <c r="K111" s="28"/>
      <c r="L111" s="21"/>
    </row>
    <row r="112" spans="1:12" hidden="1" x14ac:dyDescent="0.25">
      <c r="A112" s="1399"/>
      <c r="B112" s="1393"/>
      <c r="C112" s="1403"/>
      <c r="D112" s="28" t="s">
        <v>357</v>
      </c>
      <c r="E112" s="94"/>
      <c r="F112" s="98">
        <f>(F111/F109)*100</f>
        <v>58.943781942078367</v>
      </c>
      <c r="G112" s="94"/>
      <c r="H112" s="94"/>
      <c r="I112" s="98">
        <f>I111/I109*100</f>
        <v>53.784570596797678</v>
      </c>
      <c r="J112" s="96"/>
      <c r="K112" s="28"/>
      <c r="L112" s="21"/>
    </row>
    <row r="113" spans="1:12" ht="14.85" hidden="1" customHeight="1" x14ac:dyDescent="0.25">
      <c r="A113" s="1399"/>
      <c r="B113" s="1393"/>
      <c r="C113" s="1403" t="s">
        <v>369</v>
      </c>
      <c r="D113" s="144" t="s">
        <v>251</v>
      </c>
      <c r="E113" s="94"/>
      <c r="F113" s="80">
        <v>1060</v>
      </c>
      <c r="G113" s="80"/>
      <c r="H113" s="80"/>
      <c r="I113" s="80">
        <v>1722</v>
      </c>
      <c r="J113" s="96"/>
      <c r="K113" s="28"/>
      <c r="L113" s="21"/>
    </row>
    <row r="114" spans="1:12" hidden="1" x14ac:dyDescent="0.25">
      <c r="A114" s="1399"/>
      <c r="B114" s="1393"/>
      <c r="C114" s="1403"/>
      <c r="D114" s="28" t="s">
        <v>257</v>
      </c>
      <c r="E114" s="94"/>
      <c r="F114" s="80">
        <v>685</v>
      </c>
      <c r="G114" s="80"/>
      <c r="H114" s="80"/>
      <c r="I114" s="80">
        <v>1176</v>
      </c>
      <c r="J114" s="96"/>
      <c r="K114" s="28"/>
      <c r="L114" s="21"/>
    </row>
    <row r="115" spans="1:12" hidden="1" x14ac:dyDescent="0.25">
      <c r="A115" s="1399"/>
      <c r="B115" s="1393"/>
      <c r="C115" s="1403"/>
      <c r="D115" s="28" t="s">
        <v>263</v>
      </c>
      <c r="E115" s="94"/>
      <c r="F115" s="80">
        <v>375</v>
      </c>
      <c r="G115" s="80"/>
      <c r="H115" s="80"/>
      <c r="I115" s="80">
        <v>546</v>
      </c>
      <c r="J115" s="96"/>
      <c r="K115" s="28"/>
      <c r="L115" s="21"/>
    </row>
    <row r="116" spans="1:12" hidden="1" x14ac:dyDescent="0.25">
      <c r="A116" s="1399"/>
      <c r="B116" s="1393"/>
      <c r="C116" s="1403"/>
      <c r="D116" s="28" t="s">
        <v>357</v>
      </c>
      <c r="E116" s="94"/>
      <c r="F116" s="97">
        <f>(F115/F113)*100</f>
        <v>35.377358490566039</v>
      </c>
      <c r="G116" s="94"/>
      <c r="H116" s="94"/>
      <c r="I116" s="97">
        <f>I115/I113*100</f>
        <v>31.707317073170731</v>
      </c>
      <c r="J116" s="96"/>
      <c r="K116" s="28"/>
      <c r="L116" s="21"/>
    </row>
    <row r="117" spans="1:12" ht="14.85" hidden="1" customHeight="1" x14ac:dyDescent="0.25">
      <c r="A117" s="1399"/>
      <c r="B117" s="1393"/>
      <c r="C117" s="1403" t="s">
        <v>370</v>
      </c>
      <c r="D117" s="144" t="s">
        <v>251</v>
      </c>
      <c r="E117" s="94"/>
      <c r="F117" s="80">
        <v>1805</v>
      </c>
      <c r="G117" s="80"/>
      <c r="H117" s="80"/>
      <c r="I117" s="80">
        <v>1050</v>
      </c>
      <c r="J117" s="96"/>
      <c r="K117" s="28"/>
      <c r="L117" s="21"/>
    </row>
    <row r="118" spans="1:12" hidden="1" x14ac:dyDescent="0.25">
      <c r="A118" s="1399"/>
      <c r="B118" s="1393"/>
      <c r="C118" s="1403"/>
      <c r="D118" s="28" t="s">
        <v>257</v>
      </c>
      <c r="E118" s="94"/>
      <c r="F118" s="80">
        <v>740</v>
      </c>
      <c r="G118" s="80"/>
      <c r="H118" s="80"/>
      <c r="I118" s="80">
        <v>345</v>
      </c>
      <c r="J118" s="96"/>
      <c r="K118" s="28"/>
      <c r="L118" s="21"/>
    </row>
    <row r="119" spans="1:12" hidden="1" x14ac:dyDescent="0.25">
      <c r="A119" s="1399"/>
      <c r="B119" s="1393"/>
      <c r="C119" s="1403"/>
      <c r="D119" s="28" t="s">
        <v>263</v>
      </c>
      <c r="E119" s="94"/>
      <c r="F119" s="80">
        <v>1065</v>
      </c>
      <c r="G119" s="80"/>
      <c r="H119" s="80"/>
      <c r="I119" s="80">
        <v>705</v>
      </c>
      <c r="J119" s="96"/>
      <c r="K119" s="28"/>
      <c r="L119" s="21"/>
    </row>
    <row r="120" spans="1:12" hidden="1" x14ac:dyDescent="0.25">
      <c r="A120" s="1399"/>
      <c r="B120" s="1393"/>
      <c r="C120" s="1403"/>
      <c r="D120" s="28" t="s">
        <v>357</v>
      </c>
      <c r="E120" s="94"/>
      <c r="F120" s="98">
        <f>(F119/F117)*100</f>
        <v>59.002770083102497</v>
      </c>
      <c r="G120" s="94"/>
      <c r="H120" s="94"/>
      <c r="I120" s="99">
        <f>I119/I117*100</f>
        <v>67.142857142857139</v>
      </c>
      <c r="J120" s="96"/>
      <c r="K120" s="28"/>
      <c r="L120" s="21"/>
    </row>
    <row r="121" spans="1:12" ht="14.85" hidden="1" customHeight="1" x14ac:dyDescent="0.25">
      <c r="A121" s="1399"/>
      <c r="B121" s="1393"/>
      <c r="C121" s="1403" t="s">
        <v>371</v>
      </c>
      <c r="D121" s="144" t="s">
        <v>251</v>
      </c>
      <c r="E121" s="94"/>
      <c r="F121" s="80">
        <v>15</v>
      </c>
      <c r="G121" s="80"/>
      <c r="H121" s="80"/>
      <c r="I121" s="80">
        <v>1350</v>
      </c>
      <c r="J121" s="96"/>
      <c r="K121" s="28"/>
      <c r="L121" s="21"/>
    </row>
    <row r="122" spans="1:12" hidden="1" x14ac:dyDescent="0.25">
      <c r="A122" s="1399"/>
      <c r="B122" s="1393"/>
      <c r="C122" s="1403"/>
      <c r="D122" s="28" t="s">
        <v>257</v>
      </c>
      <c r="E122" s="94"/>
      <c r="F122" s="80">
        <v>15</v>
      </c>
      <c r="G122" s="80"/>
      <c r="H122" s="80"/>
      <c r="I122" s="80">
        <v>627</v>
      </c>
      <c r="J122" s="96"/>
      <c r="K122" s="28"/>
      <c r="L122" s="21"/>
    </row>
    <row r="123" spans="1:12" hidden="1" x14ac:dyDescent="0.25">
      <c r="A123" s="1399"/>
      <c r="B123" s="1393"/>
      <c r="C123" s="1403"/>
      <c r="D123" s="28" t="s">
        <v>263</v>
      </c>
      <c r="E123" s="94"/>
      <c r="F123" s="80">
        <v>0</v>
      </c>
      <c r="G123" s="80"/>
      <c r="H123" s="80"/>
      <c r="I123" s="80">
        <v>723</v>
      </c>
      <c r="J123" s="96"/>
      <c r="K123" s="28"/>
      <c r="L123" s="21"/>
    </row>
    <row r="124" spans="1:12" hidden="1" x14ac:dyDescent="0.25">
      <c r="A124" s="1399"/>
      <c r="B124" s="1393"/>
      <c r="C124" s="1403"/>
      <c r="D124" s="28" t="s">
        <v>357</v>
      </c>
      <c r="E124" s="94"/>
      <c r="F124" s="97">
        <f>(F123/F121)*100</f>
        <v>0</v>
      </c>
      <c r="G124" s="94"/>
      <c r="H124" s="94"/>
      <c r="I124" s="98">
        <f>I123/I121*100</f>
        <v>53.555555555555557</v>
      </c>
      <c r="J124" s="96"/>
      <c r="K124" s="28"/>
      <c r="L124" s="21"/>
    </row>
    <row r="125" spans="1:12" ht="14.85" hidden="1" customHeight="1" x14ac:dyDescent="0.25">
      <c r="A125" s="1399"/>
      <c r="B125" s="1393"/>
      <c r="C125" s="1403" t="s">
        <v>372</v>
      </c>
      <c r="D125" s="144" t="s">
        <v>251</v>
      </c>
      <c r="E125" s="94"/>
      <c r="F125" s="80">
        <v>1320</v>
      </c>
      <c r="G125" s="80"/>
      <c r="H125" s="80"/>
      <c r="I125" s="80">
        <v>816</v>
      </c>
      <c r="J125" s="96"/>
      <c r="K125" s="28"/>
      <c r="L125" s="21"/>
    </row>
    <row r="126" spans="1:12" ht="14.85" hidden="1" customHeight="1" x14ac:dyDescent="0.25">
      <c r="A126" s="1399"/>
      <c r="B126" s="1393"/>
      <c r="C126" s="1403"/>
      <c r="D126" s="28" t="s">
        <v>257</v>
      </c>
      <c r="E126" s="94"/>
      <c r="F126" s="80">
        <v>910</v>
      </c>
      <c r="G126" s="80"/>
      <c r="H126" s="80"/>
      <c r="I126" s="80">
        <v>504</v>
      </c>
      <c r="J126" s="96"/>
      <c r="K126" s="28"/>
      <c r="L126" s="21"/>
    </row>
    <row r="127" spans="1:12" hidden="1" x14ac:dyDescent="0.25">
      <c r="A127" s="1399"/>
      <c r="B127" s="1393"/>
      <c r="C127" s="1403"/>
      <c r="D127" s="28" t="s">
        <v>263</v>
      </c>
      <c r="E127" s="94"/>
      <c r="F127" s="80">
        <v>410</v>
      </c>
      <c r="G127" s="80"/>
      <c r="H127" s="80"/>
      <c r="I127" s="80">
        <v>312</v>
      </c>
      <c r="J127" s="96"/>
      <c r="K127" s="28"/>
      <c r="L127" s="21"/>
    </row>
    <row r="128" spans="1:12" hidden="1" x14ac:dyDescent="0.25">
      <c r="A128" s="1399"/>
      <c r="B128" s="1393"/>
      <c r="C128" s="1403"/>
      <c r="D128" s="28" t="s">
        <v>357</v>
      </c>
      <c r="E128" s="94"/>
      <c r="F128" s="97">
        <f>(F127/F125)*100</f>
        <v>31.060606060606062</v>
      </c>
      <c r="G128" s="94"/>
      <c r="H128" s="94"/>
      <c r="I128" s="97">
        <f>I127/I125*100</f>
        <v>38.235294117647058</v>
      </c>
      <c r="J128" s="96"/>
      <c r="K128" s="28"/>
      <c r="L128" s="21"/>
    </row>
    <row r="129" spans="1:12" ht="14.85" hidden="1" customHeight="1" x14ac:dyDescent="0.25">
      <c r="A129" s="1399"/>
      <c r="B129" s="1393"/>
      <c r="C129" s="1403" t="s">
        <v>373</v>
      </c>
      <c r="D129" s="144" t="s">
        <v>251</v>
      </c>
      <c r="E129" s="94"/>
      <c r="F129" s="80">
        <v>360</v>
      </c>
      <c r="G129" s="80"/>
      <c r="H129" s="80"/>
      <c r="I129" s="80">
        <v>129</v>
      </c>
      <c r="J129" s="96"/>
      <c r="K129" s="28"/>
      <c r="L129" s="21"/>
    </row>
    <row r="130" spans="1:12" hidden="1" x14ac:dyDescent="0.25">
      <c r="A130" s="1399"/>
      <c r="B130" s="1393"/>
      <c r="C130" s="1403"/>
      <c r="D130" s="28" t="s">
        <v>257</v>
      </c>
      <c r="E130" s="94"/>
      <c r="F130" s="80">
        <v>300</v>
      </c>
      <c r="G130" s="80"/>
      <c r="H130" s="80"/>
      <c r="I130" s="80">
        <v>96</v>
      </c>
      <c r="J130" s="96"/>
      <c r="K130" s="28"/>
      <c r="L130" s="21"/>
    </row>
    <row r="131" spans="1:12" hidden="1" x14ac:dyDescent="0.25">
      <c r="A131" s="1399"/>
      <c r="B131" s="1393"/>
      <c r="C131" s="1403"/>
      <c r="D131" s="28" t="s">
        <v>263</v>
      </c>
      <c r="E131" s="94"/>
      <c r="F131" s="80">
        <v>60</v>
      </c>
      <c r="G131" s="80"/>
      <c r="H131" s="80"/>
      <c r="I131" s="80">
        <v>33</v>
      </c>
      <c r="J131" s="96"/>
      <c r="K131" s="28"/>
      <c r="L131" s="21"/>
    </row>
    <row r="132" spans="1:12" hidden="1" x14ac:dyDescent="0.25">
      <c r="A132" s="1399"/>
      <c r="B132" s="1393"/>
      <c r="C132" s="1403"/>
      <c r="D132" s="28" t="s">
        <v>357</v>
      </c>
      <c r="E132" s="94"/>
      <c r="F132" s="97">
        <f>(F131/F129)*100</f>
        <v>16.666666666666664</v>
      </c>
      <c r="G132" s="94"/>
      <c r="H132" s="94"/>
      <c r="I132" s="97">
        <f>I131/I129*100</f>
        <v>25.581395348837212</v>
      </c>
      <c r="J132" s="96"/>
      <c r="K132" s="28"/>
      <c r="L132" s="21"/>
    </row>
    <row r="133" spans="1:12" ht="14.85" hidden="1" customHeight="1" x14ac:dyDescent="0.25">
      <c r="A133" s="1399"/>
      <c r="B133" s="1393"/>
      <c r="C133" s="1403" t="s">
        <v>374</v>
      </c>
      <c r="D133" s="144" t="s">
        <v>251</v>
      </c>
      <c r="E133" s="94"/>
      <c r="F133" s="80">
        <v>220</v>
      </c>
      <c r="G133" s="80"/>
      <c r="H133" s="80"/>
      <c r="I133" s="80">
        <v>330</v>
      </c>
      <c r="J133" s="96"/>
      <c r="K133" s="28"/>
      <c r="L133" s="21"/>
    </row>
    <row r="134" spans="1:12" hidden="1" x14ac:dyDescent="0.25">
      <c r="A134" s="1399"/>
      <c r="B134" s="1393"/>
      <c r="C134" s="1403"/>
      <c r="D134" s="28" t="s">
        <v>257</v>
      </c>
      <c r="E134" s="94"/>
      <c r="F134" s="80">
        <v>45</v>
      </c>
      <c r="G134" s="80"/>
      <c r="H134" s="80"/>
      <c r="I134" s="80">
        <v>114</v>
      </c>
      <c r="J134" s="96"/>
      <c r="K134" s="28"/>
      <c r="L134" s="21"/>
    </row>
    <row r="135" spans="1:12" hidden="1" x14ac:dyDescent="0.25">
      <c r="A135" s="1399"/>
      <c r="B135" s="1393"/>
      <c r="C135" s="1403"/>
      <c r="D135" s="28" t="s">
        <v>263</v>
      </c>
      <c r="E135" s="94"/>
      <c r="F135" s="80">
        <v>175</v>
      </c>
      <c r="G135" s="80"/>
      <c r="H135" s="80"/>
      <c r="I135" s="80">
        <v>216</v>
      </c>
      <c r="J135" s="96"/>
      <c r="K135" s="28"/>
      <c r="L135" s="21"/>
    </row>
    <row r="136" spans="1:12" hidden="1" x14ac:dyDescent="0.25">
      <c r="A136" s="1399"/>
      <c r="B136" s="1393"/>
      <c r="C136" s="1403"/>
      <c r="D136" s="28" t="s">
        <v>357</v>
      </c>
      <c r="E136" s="94"/>
      <c r="F136" s="99">
        <f>(F135/F133)*100</f>
        <v>79.545454545454547</v>
      </c>
      <c r="G136" s="94"/>
      <c r="H136" s="94"/>
      <c r="I136" s="99">
        <f>I135/I133*100</f>
        <v>65.454545454545453</v>
      </c>
      <c r="J136" s="96"/>
      <c r="K136" s="28"/>
      <c r="L136" s="21"/>
    </row>
    <row r="137" spans="1:12" ht="14.85" hidden="1" customHeight="1" x14ac:dyDescent="0.25">
      <c r="A137" s="1399"/>
      <c r="B137" s="1393"/>
      <c r="C137" s="1403" t="s">
        <v>375</v>
      </c>
      <c r="D137" s="144" t="s">
        <v>251</v>
      </c>
      <c r="E137" s="94"/>
      <c r="F137" s="80">
        <v>170</v>
      </c>
      <c r="G137" s="80"/>
      <c r="H137" s="80"/>
      <c r="I137" s="80">
        <v>147</v>
      </c>
      <c r="J137" s="96"/>
      <c r="K137" s="28"/>
      <c r="L137" s="21"/>
    </row>
    <row r="138" spans="1:12" ht="14.85" hidden="1" customHeight="1" x14ac:dyDescent="0.25">
      <c r="A138" s="1399"/>
      <c r="B138" s="1393"/>
      <c r="C138" s="1403"/>
      <c r="D138" s="28" t="s">
        <v>257</v>
      </c>
      <c r="E138" s="94"/>
      <c r="F138" s="80">
        <v>120</v>
      </c>
      <c r="G138" s="80"/>
      <c r="H138" s="80"/>
      <c r="I138" s="80">
        <v>78</v>
      </c>
      <c r="J138" s="96"/>
      <c r="K138" s="28"/>
      <c r="L138" s="21"/>
    </row>
    <row r="139" spans="1:12" hidden="1" x14ac:dyDescent="0.25">
      <c r="A139" s="1399"/>
      <c r="B139" s="1393"/>
      <c r="C139" s="1403"/>
      <c r="D139" s="28" t="s">
        <v>263</v>
      </c>
      <c r="E139" s="94"/>
      <c r="F139" s="80">
        <v>45</v>
      </c>
      <c r="G139" s="80"/>
      <c r="H139" s="80"/>
      <c r="I139" s="80">
        <v>69</v>
      </c>
      <c r="J139" s="96"/>
      <c r="K139" s="28"/>
      <c r="L139" s="21"/>
    </row>
    <row r="140" spans="1:12" hidden="1" x14ac:dyDescent="0.25">
      <c r="A140" s="1399"/>
      <c r="B140" s="1393"/>
      <c r="C140" s="1403"/>
      <c r="D140" s="28" t="s">
        <v>357</v>
      </c>
      <c r="E140" s="94"/>
      <c r="F140" s="97">
        <f>(F139/F137)*100</f>
        <v>26.47058823529412</v>
      </c>
      <c r="G140" s="94"/>
      <c r="H140" s="94"/>
      <c r="I140" s="98">
        <f>I139/I137*100</f>
        <v>46.938775510204081</v>
      </c>
      <c r="J140" s="96"/>
      <c r="K140" s="28"/>
      <c r="L140" s="21"/>
    </row>
    <row r="141" spans="1:12" ht="14.85" hidden="1" customHeight="1" x14ac:dyDescent="0.25">
      <c r="A141" s="1399"/>
      <c r="B141" s="1393"/>
      <c r="C141" s="1403" t="s">
        <v>376</v>
      </c>
      <c r="D141" s="144" t="s">
        <v>251</v>
      </c>
      <c r="E141" s="94"/>
      <c r="F141" s="80">
        <v>1845</v>
      </c>
      <c r="G141" s="80"/>
      <c r="H141" s="80"/>
      <c r="I141" s="80">
        <v>1884</v>
      </c>
      <c r="J141" s="96"/>
      <c r="K141" s="28"/>
      <c r="L141" s="21"/>
    </row>
    <row r="142" spans="1:12" ht="14.85" hidden="1" customHeight="1" x14ac:dyDescent="0.25">
      <c r="A142" s="1399"/>
      <c r="B142" s="1393"/>
      <c r="C142" s="1403"/>
      <c r="D142" s="28" t="s">
        <v>257</v>
      </c>
      <c r="E142" s="94"/>
      <c r="F142" s="80">
        <v>1025</v>
      </c>
      <c r="G142" s="80"/>
      <c r="H142" s="80"/>
      <c r="I142" s="80">
        <v>1110</v>
      </c>
      <c r="J142" s="96"/>
      <c r="K142" s="28"/>
      <c r="L142" s="21"/>
    </row>
    <row r="143" spans="1:12" hidden="1" x14ac:dyDescent="0.25">
      <c r="A143" s="1399"/>
      <c r="B143" s="1393"/>
      <c r="C143" s="1403"/>
      <c r="D143" s="28" t="s">
        <v>263</v>
      </c>
      <c r="E143" s="94"/>
      <c r="F143" s="80">
        <v>815</v>
      </c>
      <c r="G143" s="80"/>
      <c r="H143" s="80"/>
      <c r="I143" s="80">
        <v>777</v>
      </c>
      <c r="J143" s="96"/>
      <c r="K143" s="28"/>
      <c r="L143" s="21"/>
    </row>
    <row r="144" spans="1:12" hidden="1" x14ac:dyDescent="0.25">
      <c r="A144" s="1399"/>
      <c r="B144" s="1393"/>
      <c r="C144" s="1403"/>
      <c r="D144" s="28" t="s">
        <v>357</v>
      </c>
      <c r="E144" s="94"/>
      <c r="F144" s="98">
        <f>(F143/F141)*100</f>
        <v>44.173441734417345</v>
      </c>
      <c r="G144" s="94"/>
      <c r="H144" s="94"/>
      <c r="I144" s="98">
        <f>I143/I141*100</f>
        <v>41.242038216560509</v>
      </c>
      <c r="J144" s="96"/>
      <c r="K144" s="28"/>
      <c r="L144" s="21"/>
    </row>
    <row r="145" spans="1:12" ht="14.85" hidden="1" customHeight="1" x14ac:dyDescent="0.25">
      <c r="A145" s="1399"/>
      <c r="B145" s="1393"/>
      <c r="C145" s="1403" t="s">
        <v>377</v>
      </c>
      <c r="D145" s="144" t="s">
        <v>251</v>
      </c>
      <c r="E145" s="94"/>
      <c r="F145" s="80">
        <v>1810</v>
      </c>
      <c r="G145" s="80"/>
      <c r="H145" s="80"/>
      <c r="I145" s="80">
        <v>1251</v>
      </c>
      <c r="J145" s="96"/>
      <c r="K145" s="28"/>
      <c r="L145" s="21"/>
    </row>
    <row r="146" spans="1:12" hidden="1" x14ac:dyDescent="0.25">
      <c r="A146" s="1399"/>
      <c r="B146" s="1393"/>
      <c r="C146" s="1403"/>
      <c r="D146" s="28" t="s">
        <v>257</v>
      </c>
      <c r="E146" s="94"/>
      <c r="F146" s="80">
        <v>415</v>
      </c>
      <c r="G146" s="80"/>
      <c r="H146" s="80"/>
      <c r="I146" s="80">
        <v>402</v>
      </c>
      <c r="J146" s="96"/>
      <c r="K146" s="28"/>
      <c r="L146" s="21"/>
    </row>
    <row r="147" spans="1:12" hidden="1" x14ac:dyDescent="0.25">
      <c r="A147" s="1399"/>
      <c r="B147" s="1393"/>
      <c r="C147" s="1403"/>
      <c r="D147" s="28" t="s">
        <v>263</v>
      </c>
      <c r="E147" s="94"/>
      <c r="F147" s="80">
        <v>1395</v>
      </c>
      <c r="G147" s="80"/>
      <c r="H147" s="80"/>
      <c r="I147" s="80">
        <v>849</v>
      </c>
      <c r="J147" s="96"/>
      <c r="K147" s="28"/>
      <c r="L147" s="21"/>
    </row>
    <row r="148" spans="1:12" hidden="1" x14ac:dyDescent="0.25">
      <c r="A148" s="1399"/>
      <c r="B148" s="1393"/>
      <c r="C148" s="1403"/>
      <c r="D148" s="28" t="s">
        <v>357</v>
      </c>
      <c r="E148" s="94"/>
      <c r="F148" s="99">
        <f>(F147/F145)*100</f>
        <v>77.071823204419886</v>
      </c>
      <c r="G148" s="94"/>
      <c r="H148" s="94"/>
      <c r="I148" s="99">
        <f>I147/I145*100</f>
        <v>67.865707434052752</v>
      </c>
      <c r="J148" s="96"/>
      <c r="K148" s="28"/>
      <c r="L148" s="21"/>
    </row>
    <row r="149" spans="1:12" ht="14.85" hidden="1" customHeight="1" x14ac:dyDescent="0.25">
      <c r="A149" s="1399"/>
      <c r="B149" s="1393"/>
      <c r="C149" s="1403" t="s">
        <v>378</v>
      </c>
      <c r="D149" s="144" t="s">
        <v>251</v>
      </c>
      <c r="E149" s="94"/>
      <c r="F149" s="80">
        <v>725</v>
      </c>
      <c r="G149" s="80"/>
      <c r="H149" s="80"/>
      <c r="I149" s="80">
        <v>849</v>
      </c>
      <c r="J149" s="96"/>
      <c r="K149" s="28"/>
      <c r="L149" s="21"/>
    </row>
    <row r="150" spans="1:12" hidden="1" x14ac:dyDescent="0.25">
      <c r="A150" s="1399"/>
      <c r="B150" s="1393"/>
      <c r="C150" s="1403"/>
      <c r="D150" s="28" t="s">
        <v>257</v>
      </c>
      <c r="E150" s="94"/>
      <c r="F150" s="80">
        <v>315</v>
      </c>
      <c r="G150" s="80"/>
      <c r="H150" s="80"/>
      <c r="I150" s="80">
        <v>441</v>
      </c>
      <c r="J150" s="96"/>
      <c r="K150" s="28"/>
      <c r="L150" s="21"/>
    </row>
    <row r="151" spans="1:12" hidden="1" x14ac:dyDescent="0.25">
      <c r="A151" s="1399"/>
      <c r="B151" s="1393"/>
      <c r="C151" s="1403"/>
      <c r="D151" s="28" t="s">
        <v>263</v>
      </c>
      <c r="E151" s="94"/>
      <c r="F151" s="80">
        <v>410</v>
      </c>
      <c r="G151" s="80"/>
      <c r="H151" s="80"/>
      <c r="I151" s="80">
        <v>405</v>
      </c>
      <c r="J151" s="96"/>
      <c r="K151" s="28"/>
      <c r="L151" s="21"/>
    </row>
    <row r="152" spans="1:12" hidden="1" x14ac:dyDescent="0.25">
      <c r="A152" s="1399"/>
      <c r="B152" s="1393"/>
      <c r="C152" s="1403"/>
      <c r="D152" s="28" t="s">
        <v>357</v>
      </c>
      <c r="E152" s="94"/>
      <c r="F152" s="98">
        <f>(F151/F149)*100</f>
        <v>56.551724137931039</v>
      </c>
      <c r="G152" s="94"/>
      <c r="H152" s="94"/>
      <c r="I152" s="98">
        <f>I151/I149*100</f>
        <v>47.703180212014132</v>
      </c>
      <c r="J152" s="96"/>
      <c r="K152" s="28"/>
      <c r="L152" s="21"/>
    </row>
    <row r="153" spans="1:12" ht="14.85" hidden="1" customHeight="1" x14ac:dyDescent="0.25">
      <c r="A153" s="1399"/>
      <c r="B153" s="1393"/>
      <c r="C153" s="1403" t="s">
        <v>379</v>
      </c>
      <c r="D153" s="144" t="s">
        <v>251</v>
      </c>
      <c r="E153" s="94"/>
      <c r="F153" s="80">
        <v>1535</v>
      </c>
      <c r="G153" s="80"/>
      <c r="H153" s="80"/>
      <c r="I153" s="80">
        <v>1314</v>
      </c>
      <c r="J153" s="96"/>
      <c r="K153" s="28"/>
      <c r="L153" s="21"/>
    </row>
    <row r="154" spans="1:12" hidden="1" x14ac:dyDescent="0.25">
      <c r="A154" s="1399"/>
      <c r="B154" s="1393"/>
      <c r="C154" s="1403"/>
      <c r="D154" s="28" t="s">
        <v>257</v>
      </c>
      <c r="E154" s="94"/>
      <c r="F154" s="80">
        <v>1090</v>
      </c>
      <c r="G154" s="80"/>
      <c r="H154" s="80"/>
      <c r="I154" s="80">
        <v>924</v>
      </c>
      <c r="J154" s="96"/>
      <c r="K154" s="28"/>
      <c r="L154" s="21"/>
    </row>
    <row r="155" spans="1:12" hidden="1" x14ac:dyDescent="0.25">
      <c r="A155" s="1399"/>
      <c r="B155" s="1393"/>
      <c r="C155" s="1403"/>
      <c r="D155" s="28" t="s">
        <v>263</v>
      </c>
      <c r="E155" s="94"/>
      <c r="F155" s="80">
        <v>445</v>
      </c>
      <c r="G155" s="80"/>
      <c r="H155" s="80"/>
      <c r="I155" s="80">
        <v>390</v>
      </c>
      <c r="J155" s="96"/>
      <c r="K155" s="28"/>
      <c r="L155" s="21"/>
    </row>
    <row r="156" spans="1:12" hidden="1" x14ac:dyDescent="0.25">
      <c r="A156" s="1399"/>
      <c r="B156" s="1393"/>
      <c r="C156" s="1403"/>
      <c r="D156" s="28" t="s">
        <v>357</v>
      </c>
      <c r="E156" s="94"/>
      <c r="F156" s="97">
        <f>(F155/F153)*100</f>
        <v>28.990228013029316</v>
      </c>
      <c r="G156" s="94"/>
      <c r="H156" s="94"/>
      <c r="I156" s="97">
        <f>I155/I153*100</f>
        <v>29.68036529680365</v>
      </c>
      <c r="J156" s="96"/>
      <c r="K156" s="28"/>
      <c r="L156" s="21"/>
    </row>
    <row r="157" spans="1:12" ht="14.85" hidden="1" customHeight="1" x14ac:dyDescent="0.25">
      <c r="A157" s="1399"/>
      <c r="B157" s="1393"/>
      <c r="C157" s="1403" t="s">
        <v>380</v>
      </c>
      <c r="D157" s="144" t="s">
        <v>251</v>
      </c>
      <c r="E157" s="94"/>
      <c r="F157" s="80">
        <v>1995</v>
      </c>
      <c r="G157" s="80"/>
      <c r="H157" s="80"/>
      <c r="I157" s="80">
        <v>1512</v>
      </c>
      <c r="J157" s="96"/>
      <c r="K157" s="28"/>
      <c r="L157" s="21"/>
    </row>
    <row r="158" spans="1:12" hidden="1" x14ac:dyDescent="0.25">
      <c r="A158" s="1399"/>
      <c r="B158" s="1393"/>
      <c r="C158" s="1403"/>
      <c r="D158" s="28" t="s">
        <v>257</v>
      </c>
      <c r="E158" s="94"/>
      <c r="F158" s="80">
        <v>845</v>
      </c>
      <c r="G158" s="80"/>
      <c r="H158" s="80"/>
      <c r="I158" s="80">
        <v>774</v>
      </c>
      <c r="J158" s="96"/>
      <c r="K158" s="28"/>
      <c r="L158" s="21"/>
    </row>
    <row r="159" spans="1:12" hidden="1" x14ac:dyDescent="0.25">
      <c r="A159" s="1399"/>
      <c r="B159" s="1393"/>
      <c r="C159" s="1403"/>
      <c r="D159" s="28" t="s">
        <v>263</v>
      </c>
      <c r="E159" s="94"/>
      <c r="F159" s="80">
        <v>1155</v>
      </c>
      <c r="G159" s="80"/>
      <c r="H159" s="80"/>
      <c r="I159" s="80">
        <v>738</v>
      </c>
      <c r="J159" s="96"/>
      <c r="K159" s="28"/>
      <c r="L159" s="21"/>
    </row>
    <row r="160" spans="1:12" hidden="1" x14ac:dyDescent="0.25">
      <c r="A160" s="1399"/>
      <c r="B160" s="1393"/>
      <c r="C160" s="1403"/>
      <c r="D160" s="28" t="s">
        <v>357</v>
      </c>
      <c r="E160" s="94"/>
      <c r="F160" s="98">
        <f>(F159/F157)*100</f>
        <v>57.894736842105267</v>
      </c>
      <c r="G160" s="94"/>
      <c r="H160" s="94"/>
      <c r="I160" s="98">
        <f>I159/I157*100</f>
        <v>48.80952380952381</v>
      </c>
      <c r="J160" s="96"/>
      <c r="K160" s="28"/>
      <c r="L160" s="21"/>
    </row>
    <row r="161" spans="1:12" ht="14.85" hidden="1" customHeight="1" x14ac:dyDescent="0.25">
      <c r="A161" s="1399"/>
      <c r="B161" s="1393"/>
      <c r="C161" s="1403" t="s">
        <v>381</v>
      </c>
      <c r="D161" s="144" t="s">
        <v>251</v>
      </c>
      <c r="E161" s="94"/>
      <c r="F161" s="80">
        <v>145</v>
      </c>
      <c r="G161" s="80"/>
      <c r="H161" s="80"/>
      <c r="I161" s="80">
        <v>177</v>
      </c>
      <c r="J161" s="28"/>
      <c r="K161" s="28"/>
      <c r="L161" s="21"/>
    </row>
    <row r="162" spans="1:12" ht="14.85" hidden="1" customHeight="1" x14ac:dyDescent="0.25">
      <c r="A162" s="1399"/>
      <c r="B162" s="1393"/>
      <c r="C162" s="1403"/>
      <c r="D162" s="28" t="s">
        <v>257</v>
      </c>
      <c r="E162" s="94"/>
      <c r="F162" s="80">
        <v>15</v>
      </c>
      <c r="G162" s="80"/>
      <c r="H162" s="80"/>
      <c r="I162" s="80">
        <v>87</v>
      </c>
      <c r="J162" s="28"/>
      <c r="K162" s="28"/>
      <c r="L162" s="21"/>
    </row>
    <row r="163" spans="1:12" hidden="1" x14ac:dyDescent="0.25">
      <c r="A163" s="1399"/>
      <c r="B163" s="1393"/>
      <c r="C163" s="1403"/>
      <c r="D163" s="28" t="s">
        <v>263</v>
      </c>
      <c r="E163" s="94"/>
      <c r="F163" s="80">
        <v>130</v>
      </c>
      <c r="G163" s="80"/>
      <c r="H163" s="80"/>
      <c r="I163" s="80">
        <v>93</v>
      </c>
      <c r="J163" s="28"/>
      <c r="K163" s="28"/>
      <c r="L163" s="21"/>
    </row>
    <row r="164" spans="1:12" hidden="1" x14ac:dyDescent="0.25">
      <c r="A164" s="1399"/>
      <c r="B164" s="1393"/>
      <c r="C164" s="1403"/>
      <c r="D164" s="28" t="s">
        <v>357</v>
      </c>
      <c r="E164" s="94"/>
      <c r="F164" s="99">
        <f>(F163/F161)*100</f>
        <v>89.65517241379311</v>
      </c>
      <c r="G164" s="94"/>
      <c r="H164" s="94"/>
      <c r="I164" s="98">
        <f>I163/I161*100</f>
        <v>52.542372881355938</v>
      </c>
      <c r="J164" s="28"/>
      <c r="K164" s="28"/>
      <c r="L164" s="21"/>
    </row>
    <row r="165" spans="1:12" ht="14.85" hidden="1" customHeight="1" x14ac:dyDescent="0.25">
      <c r="A165" s="1399"/>
      <c r="B165" s="1393"/>
      <c r="C165" s="1437" t="s">
        <v>382</v>
      </c>
      <c r="D165" s="145" t="s">
        <v>251</v>
      </c>
      <c r="E165" s="95"/>
      <c r="F165" s="80">
        <v>2300</v>
      </c>
      <c r="G165" s="80"/>
      <c r="H165" s="80"/>
      <c r="I165" s="80">
        <v>2259</v>
      </c>
      <c r="J165" s="96"/>
      <c r="K165" s="96"/>
      <c r="L165" s="200"/>
    </row>
    <row r="166" spans="1:12" hidden="1" x14ac:dyDescent="0.25">
      <c r="A166" s="1399"/>
      <c r="B166" s="1393"/>
      <c r="C166" s="1437"/>
      <c r="D166" s="96" t="s">
        <v>257</v>
      </c>
      <c r="E166" s="95"/>
      <c r="F166" s="80">
        <v>835</v>
      </c>
      <c r="G166" s="80"/>
      <c r="H166" s="80"/>
      <c r="I166" s="80">
        <v>801</v>
      </c>
      <c r="J166" s="96"/>
      <c r="K166" s="96"/>
      <c r="L166" s="200"/>
    </row>
    <row r="167" spans="1:12" hidden="1" x14ac:dyDescent="0.25">
      <c r="A167" s="1399"/>
      <c r="B167" s="1393"/>
      <c r="C167" s="1437"/>
      <c r="D167" s="96" t="s">
        <v>263</v>
      </c>
      <c r="E167" s="95"/>
      <c r="F167" s="80">
        <v>1460</v>
      </c>
      <c r="G167" s="80"/>
      <c r="H167" s="80"/>
      <c r="I167" s="80">
        <v>1458</v>
      </c>
      <c r="J167" s="96"/>
      <c r="K167" s="96"/>
      <c r="L167" s="200"/>
    </row>
    <row r="168" spans="1:12" hidden="1" x14ac:dyDescent="0.25">
      <c r="A168" s="1399"/>
      <c r="B168" s="1393"/>
      <c r="C168" s="1437"/>
      <c r="D168" s="96" t="s">
        <v>357</v>
      </c>
      <c r="E168" s="95"/>
      <c r="F168" s="99">
        <f>(F167/F165)*100</f>
        <v>63.478260869565219</v>
      </c>
      <c r="G168" s="94"/>
      <c r="H168" s="94"/>
      <c r="I168" s="99">
        <f>I167/I165*100</f>
        <v>64.541832669322702</v>
      </c>
      <c r="J168" s="96"/>
      <c r="K168" s="96"/>
      <c r="L168" s="200"/>
    </row>
    <row r="169" spans="1:12" ht="14.85" hidden="1" customHeight="1" x14ac:dyDescent="0.25">
      <c r="A169" s="1399"/>
      <c r="B169" s="1393"/>
      <c r="C169" s="1437" t="s">
        <v>383</v>
      </c>
      <c r="D169" s="145" t="s">
        <v>251</v>
      </c>
      <c r="E169" s="95"/>
      <c r="F169" s="80">
        <v>1470</v>
      </c>
      <c r="G169" s="80"/>
      <c r="H169" s="80"/>
      <c r="I169" s="80">
        <v>1017</v>
      </c>
      <c r="J169" s="96"/>
      <c r="K169" s="96"/>
      <c r="L169" s="200"/>
    </row>
    <row r="170" spans="1:12" hidden="1" x14ac:dyDescent="0.25">
      <c r="A170" s="1399"/>
      <c r="B170" s="1393"/>
      <c r="C170" s="1437"/>
      <c r="D170" s="96" t="s">
        <v>257</v>
      </c>
      <c r="E170" s="95"/>
      <c r="F170" s="80">
        <v>580</v>
      </c>
      <c r="G170" s="80"/>
      <c r="H170" s="80"/>
      <c r="I170" s="80">
        <v>342</v>
      </c>
      <c r="J170" s="96"/>
      <c r="K170" s="96"/>
      <c r="L170" s="200"/>
    </row>
    <row r="171" spans="1:12" hidden="1" x14ac:dyDescent="0.25">
      <c r="A171" s="1399"/>
      <c r="B171" s="1393"/>
      <c r="C171" s="1437"/>
      <c r="D171" s="96" t="s">
        <v>263</v>
      </c>
      <c r="E171" s="95"/>
      <c r="F171" s="80">
        <v>890</v>
      </c>
      <c r="G171" s="80"/>
      <c r="H171" s="80"/>
      <c r="I171" s="80">
        <v>675</v>
      </c>
      <c r="J171" s="96"/>
      <c r="K171" s="96"/>
      <c r="L171" s="200"/>
    </row>
    <row r="172" spans="1:12" hidden="1" x14ac:dyDescent="0.25">
      <c r="A172" s="1399"/>
      <c r="B172" s="1393"/>
      <c r="C172" s="1437"/>
      <c r="D172" s="96" t="s">
        <v>357</v>
      </c>
      <c r="E172" s="95"/>
      <c r="F172" s="99">
        <f>(F171/F169)*100</f>
        <v>60.544217687074834</v>
      </c>
      <c r="G172" s="94"/>
      <c r="H172" s="94"/>
      <c r="I172" s="99">
        <f>I171/I169*100</f>
        <v>66.371681415929203</v>
      </c>
      <c r="J172" s="96"/>
      <c r="K172" s="96"/>
      <c r="L172" s="200"/>
    </row>
    <row r="173" spans="1:12" ht="14.85" hidden="1" customHeight="1" x14ac:dyDescent="0.25">
      <c r="A173" s="1399"/>
      <c r="B173" s="1393"/>
      <c r="C173" s="1437" t="s">
        <v>384</v>
      </c>
      <c r="D173" s="145" t="s">
        <v>251</v>
      </c>
      <c r="E173" s="95"/>
      <c r="F173" s="80">
        <v>1860</v>
      </c>
      <c r="G173" s="80"/>
      <c r="H173" s="80"/>
      <c r="I173" s="80">
        <v>1212</v>
      </c>
      <c r="J173" s="96"/>
      <c r="K173" s="96"/>
      <c r="L173" s="200"/>
    </row>
    <row r="174" spans="1:12" hidden="1" x14ac:dyDescent="0.25">
      <c r="A174" s="1399"/>
      <c r="B174" s="1393"/>
      <c r="C174" s="1437"/>
      <c r="D174" s="96" t="s">
        <v>257</v>
      </c>
      <c r="E174" s="95"/>
      <c r="F174" s="80">
        <v>570</v>
      </c>
      <c r="G174" s="80"/>
      <c r="H174" s="80"/>
      <c r="I174" s="80">
        <v>360</v>
      </c>
      <c r="J174" s="96"/>
      <c r="K174" s="96"/>
      <c r="L174" s="200"/>
    </row>
    <row r="175" spans="1:12" hidden="1" x14ac:dyDescent="0.25">
      <c r="A175" s="1399"/>
      <c r="B175" s="1393"/>
      <c r="C175" s="1437"/>
      <c r="D175" s="96" t="s">
        <v>263</v>
      </c>
      <c r="E175" s="95"/>
      <c r="F175" s="80">
        <v>1290</v>
      </c>
      <c r="G175" s="80"/>
      <c r="H175" s="80"/>
      <c r="I175" s="80">
        <v>852</v>
      </c>
      <c r="J175" s="96"/>
      <c r="K175" s="96"/>
      <c r="L175" s="200"/>
    </row>
    <row r="176" spans="1:12" hidden="1" x14ac:dyDescent="0.25">
      <c r="A176" s="1399"/>
      <c r="B176" s="1393"/>
      <c r="C176" s="1437"/>
      <c r="D176" s="96" t="s">
        <v>357</v>
      </c>
      <c r="E176" s="95"/>
      <c r="F176" s="99">
        <f>(F175/F173)*100</f>
        <v>69.354838709677423</v>
      </c>
      <c r="G176" s="94"/>
      <c r="H176" s="94"/>
      <c r="I176" s="99">
        <f>I175/I173*100</f>
        <v>70.297029702970292</v>
      </c>
      <c r="J176" s="96"/>
      <c r="K176" s="96"/>
      <c r="L176" s="200"/>
    </row>
    <row r="177" spans="1:12" ht="14.85" hidden="1" customHeight="1" x14ac:dyDescent="0.25">
      <c r="A177" s="1399"/>
      <c r="B177" s="1393"/>
      <c r="C177" s="1437" t="s">
        <v>385</v>
      </c>
      <c r="D177" s="145" t="s">
        <v>251</v>
      </c>
      <c r="E177" s="95"/>
      <c r="F177" s="80">
        <v>255</v>
      </c>
      <c r="G177" s="80"/>
      <c r="H177" s="80"/>
      <c r="I177" s="80">
        <v>321</v>
      </c>
      <c r="J177" s="96"/>
      <c r="K177" s="96"/>
      <c r="L177" s="200"/>
    </row>
    <row r="178" spans="1:12" ht="14.85" hidden="1" customHeight="1" x14ac:dyDescent="0.25">
      <c r="A178" s="1399"/>
      <c r="B178" s="1393"/>
      <c r="C178" s="1437"/>
      <c r="D178" s="96" t="s">
        <v>257</v>
      </c>
      <c r="E178" s="95"/>
      <c r="F178" s="80">
        <v>185</v>
      </c>
      <c r="G178" s="80"/>
      <c r="H178" s="80"/>
      <c r="I178" s="80">
        <v>213</v>
      </c>
      <c r="J178" s="96"/>
      <c r="K178" s="96"/>
      <c r="L178" s="200"/>
    </row>
    <row r="179" spans="1:12" hidden="1" x14ac:dyDescent="0.25">
      <c r="A179" s="1399"/>
      <c r="B179" s="1393"/>
      <c r="C179" s="1437"/>
      <c r="D179" s="96" t="s">
        <v>263</v>
      </c>
      <c r="E179" s="95"/>
      <c r="F179" s="80">
        <v>70</v>
      </c>
      <c r="G179" s="80"/>
      <c r="H179" s="80"/>
      <c r="I179" s="80">
        <v>108</v>
      </c>
      <c r="J179" s="96"/>
      <c r="K179" s="96"/>
      <c r="L179" s="200"/>
    </row>
    <row r="180" spans="1:12" hidden="1" x14ac:dyDescent="0.25">
      <c r="A180" s="1399"/>
      <c r="B180" s="1393"/>
      <c r="C180" s="1437"/>
      <c r="D180" s="96" t="s">
        <v>357</v>
      </c>
      <c r="E180" s="95"/>
      <c r="F180" s="97">
        <f>(F179/F177)*100</f>
        <v>27.450980392156865</v>
      </c>
      <c r="G180" s="94"/>
      <c r="H180" s="94"/>
      <c r="I180" s="97">
        <f>I179/I177*100</f>
        <v>33.644859813084111</v>
      </c>
      <c r="J180" s="96"/>
      <c r="K180" s="96"/>
      <c r="L180" s="200"/>
    </row>
    <row r="181" spans="1:12" ht="14.85" hidden="1" customHeight="1" x14ac:dyDescent="0.25">
      <c r="A181" s="1399"/>
      <c r="B181" s="1393"/>
      <c r="C181" s="1437" t="s">
        <v>386</v>
      </c>
      <c r="D181" s="145" t="s">
        <v>251</v>
      </c>
      <c r="E181" s="95"/>
      <c r="F181" s="80">
        <v>620</v>
      </c>
      <c r="G181" s="80"/>
      <c r="H181" s="80"/>
      <c r="I181" s="80">
        <v>909</v>
      </c>
      <c r="J181" s="96"/>
      <c r="K181" s="96"/>
      <c r="L181" s="200"/>
    </row>
    <row r="182" spans="1:12" hidden="1" x14ac:dyDescent="0.25">
      <c r="A182" s="1399"/>
      <c r="B182" s="1393"/>
      <c r="C182" s="1437"/>
      <c r="D182" s="96" t="s">
        <v>257</v>
      </c>
      <c r="E182" s="95"/>
      <c r="F182" s="80">
        <v>330</v>
      </c>
      <c r="G182" s="80"/>
      <c r="H182" s="80"/>
      <c r="I182" s="80">
        <v>516</v>
      </c>
      <c r="J182" s="96"/>
      <c r="K182" s="96"/>
      <c r="L182" s="200"/>
    </row>
    <row r="183" spans="1:12" hidden="1" x14ac:dyDescent="0.25">
      <c r="A183" s="1399"/>
      <c r="B183" s="1393"/>
      <c r="C183" s="1437"/>
      <c r="D183" s="96" t="s">
        <v>263</v>
      </c>
      <c r="E183" s="95"/>
      <c r="F183" s="80">
        <v>285</v>
      </c>
      <c r="G183" s="80"/>
      <c r="H183" s="80"/>
      <c r="I183" s="80">
        <v>390</v>
      </c>
      <c r="J183" s="96"/>
      <c r="K183" s="96"/>
      <c r="L183" s="200"/>
    </row>
    <row r="184" spans="1:12" hidden="1" x14ac:dyDescent="0.25">
      <c r="A184" s="1399"/>
      <c r="B184" s="1393"/>
      <c r="C184" s="1437"/>
      <c r="D184" s="96" t="s">
        <v>357</v>
      </c>
      <c r="E184" s="95"/>
      <c r="F184" s="98">
        <f>(F183/F181)*100</f>
        <v>45.967741935483872</v>
      </c>
      <c r="G184" s="94"/>
      <c r="H184" s="94"/>
      <c r="I184" s="206">
        <f>I183/I181*100</f>
        <v>42.904290429042902</v>
      </c>
      <c r="J184" s="96"/>
      <c r="K184" s="96"/>
      <c r="L184" s="200"/>
    </row>
    <row r="185" spans="1:12" ht="14.85" hidden="1" customHeight="1" x14ac:dyDescent="0.25">
      <c r="A185" s="1399"/>
      <c r="B185" s="1393"/>
      <c r="C185" s="1437" t="s">
        <v>387</v>
      </c>
      <c r="D185" s="145" t="s">
        <v>251</v>
      </c>
      <c r="E185" s="95"/>
      <c r="F185" s="80">
        <v>1890</v>
      </c>
      <c r="G185" s="80"/>
      <c r="H185" s="80"/>
      <c r="I185" s="80">
        <v>1197</v>
      </c>
      <c r="J185" s="96"/>
      <c r="K185" s="96"/>
      <c r="L185" s="200"/>
    </row>
    <row r="186" spans="1:12" hidden="1" x14ac:dyDescent="0.25">
      <c r="A186" s="1399"/>
      <c r="B186" s="1393"/>
      <c r="C186" s="1437"/>
      <c r="D186" s="96" t="s">
        <v>257</v>
      </c>
      <c r="E186" s="95"/>
      <c r="F186" s="80">
        <v>800</v>
      </c>
      <c r="G186" s="80"/>
      <c r="H186" s="80"/>
      <c r="I186" s="80">
        <v>519</v>
      </c>
      <c r="J186" s="96"/>
      <c r="K186" s="96"/>
      <c r="L186" s="200"/>
    </row>
    <row r="187" spans="1:12" hidden="1" x14ac:dyDescent="0.25">
      <c r="A187" s="1399"/>
      <c r="B187" s="1393"/>
      <c r="C187" s="1437"/>
      <c r="D187" s="96" t="s">
        <v>263</v>
      </c>
      <c r="E187" s="95"/>
      <c r="F187" s="80">
        <v>1090</v>
      </c>
      <c r="G187" s="80"/>
      <c r="H187" s="80"/>
      <c r="I187" s="80">
        <v>675</v>
      </c>
      <c r="J187" s="96"/>
      <c r="K187" s="96"/>
      <c r="L187" s="200"/>
    </row>
    <row r="188" spans="1:12" hidden="1" x14ac:dyDescent="0.25">
      <c r="A188" s="1399"/>
      <c r="B188" s="1393"/>
      <c r="C188" s="1437"/>
      <c r="D188" s="96" t="s">
        <v>357</v>
      </c>
      <c r="E188" s="95"/>
      <c r="F188" s="98">
        <f>(F187/F185)*100</f>
        <v>57.671957671957671</v>
      </c>
      <c r="G188" s="94"/>
      <c r="H188" s="94"/>
      <c r="I188" s="206">
        <f>I187/I185*100</f>
        <v>56.390977443609025</v>
      </c>
      <c r="J188" s="96"/>
      <c r="K188" s="96"/>
      <c r="L188" s="200"/>
    </row>
    <row r="189" spans="1:12" ht="14.85" hidden="1" customHeight="1" x14ac:dyDescent="0.25">
      <c r="A189" s="1399"/>
      <c r="B189" s="1393"/>
      <c r="C189" s="1437" t="s">
        <v>388</v>
      </c>
      <c r="D189" s="145" t="s">
        <v>251</v>
      </c>
      <c r="E189" s="95"/>
      <c r="F189" s="80">
        <v>45</v>
      </c>
      <c r="G189" s="80"/>
      <c r="H189" s="80"/>
      <c r="I189" s="80">
        <v>513</v>
      </c>
      <c r="J189" s="96"/>
      <c r="K189" s="96"/>
      <c r="L189" s="200"/>
    </row>
    <row r="190" spans="1:12" hidden="1" x14ac:dyDescent="0.25">
      <c r="A190" s="1399"/>
      <c r="B190" s="1393"/>
      <c r="C190" s="1437"/>
      <c r="D190" s="96" t="s">
        <v>257</v>
      </c>
      <c r="E190" s="95"/>
      <c r="F190" s="80">
        <v>35</v>
      </c>
      <c r="G190" s="80"/>
      <c r="H190" s="80"/>
      <c r="I190" s="80">
        <v>267</v>
      </c>
      <c r="J190" s="96"/>
      <c r="K190" s="96"/>
      <c r="L190" s="200"/>
    </row>
    <row r="191" spans="1:12" hidden="1" x14ac:dyDescent="0.25">
      <c r="A191" s="1399"/>
      <c r="B191" s="1393"/>
      <c r="C191" s="1437"/>
      <c r="D191" s="96" t="s">
        <v>263</v>
      </c>
      <c r="E191" s="95"/>
      <c r="F191" s="80">
        <v>10</v>
      </c>
      <c r="G191" s="80"/>
      <c r="H191" s="80"/>
      <c r="I191" s="80">
        <v>243</v>
      </c>
      <c r="J191" s="96"/>
      <c r="K191" s="96"/>
      <c r="L191" s="200"/>
    </row>
    <row r="192" spans="1:12" hidden="1" x14ac:dyDescent="0.25">
      <c r="A192" s="1399"/>
      <c r="B192" s="1393"/>
      <c r="C192" s="1437"/>
      <c r="D192" s="96" t="s">
        <v>357</v>
      </c>
      <c r="E192" s="95"/>
      <c r="F192" s="97">
        <f>(F191/F189)*100</f>
        <v>22.222222222222221</v>
      </c>
      <c r="G192" s="94"/>
      <c r="H192" s="94"/>
      <c r="I192" s="98">
        <f>I191/I189*100</f>
        <v>47.368421052631575</v>
      </c>
      <c r="J192" s="96"/>
      <c r="K192" s="96"/>
      <c r="L192" s="200"/>
    </row>
    <row r="193" spans="1:12" ht="14.85" hidden="1" customHeight="1" x14ac:dyDescent="0.25">
      <c r="A193" s="1399"/>
      <c r="B193" s="1393"/>
      <c r="C193" s="1403" t="s">
        <v>389</v>
      </c>
      <c r="D193" s="144" t="s">
        <v>251</v>
      </c>
      <c r="E193" s="94"/>
      <c r="F193" s="80">
        <v>170</v>
      </c>
      <c r="G193" s="80"/>
      <c r="H193" s="80"/>
      <c r="I193" s="80">
        <v>345</v>
      </c>
      <c r="J193" s="28"/>
      <c r="K193" s="28"/>
      <c r="L193" s="21"/>
    </row>
    <row r="194" spans="1:12" hidden="1" x14ac:dyDescent="0.25">
      <c r="A194" s="1399"/>
      <c r="B194" s="1393"/>
      <c r="C194" s="1403"/>
      <c r="D194" s="28" t="s">
        <v>257</v>
      </c>
      <c r="E194" s="94"/>
      <c r="F194" s="80">
        <v>70</v>
      </c>
      <c r="G194" s="80"/>
      <c r="H194" s="80"/>
      <c r="I194" s="80">
        <v>162</v>
      </c>
      <c r="J194" s="28"/>
      <c r="K194" s="28"/>
      <c r="L194" s="21"/>
    </row>
    <row r="195" spans="1:12" hidden="1" x14ac:dyDescent="0.25">
      <c r="A195" s="1399"/>
      <c r="B195" s="1393"/>
      <c r="C195" s="1403"/>
      <c r="D195" s="28" t="s">
        <v>263</v>
      </c>
      <c r="E195" s="94"/>
      <c r="F195" s="80">
        <v>100</v>
      </c>
      <c r="G195" s="80"/>
      <c r="H195" s="80"/>
      <c r="I195" s="80">
        <v>183</v>
      </c>
      <c r="J195" s="28"/>
      <c r="K195" s="28"/>
      <c r="L195" s="21"/>
    </row>
    <row r="196" spans="1:12" hidden="1" x14ac:dyDescent="0.25">
      <c r="A196" s="1399"/>
      <c r="B196" s="1393"/>
      <c r="C196" s="1403"/>
      <c r="D196" s="28" t="s">
        <v>357</v>
      </c>
      <c r="E196" s="94"/>
      <c r="F196" s="98">
        <f>(F195/F193)*100</f>
        <v>58.82352941176471</v>
      </c>
      <c r="G196" s="94"/>
      <c r="H196" s="94"/>
      <c r="I196" s="98">
        <f>I195/I193*100</f>
        <v>53.04347826086957</v>
      </c>
      <c r="J196" s="28"/>
      <c r="K196" s="28"/>
      <c r="L196" s="21"/>
    </row>
    <row r="197" spans="1:12" ht="14.85" hidden="1" customHeight="1" x14ac:dyDescent="0.25">
      <c r="A197" s="1399"/>
      <c r="B197" s="1393"/>
      <c r="C197" s="1403" t="s">
        <v>390</v>
      </c>
      <c r="D197" s="144" t="s">
        <v>251</v>
      </c>
      <c r="E197" s="94"/>
      <c r="F197" s="80">
        <v>155</v>
      </c>
      <c r="G197" s="80"/>
      <c r="H197" s="80"/>
      <c r="I197" s="80">
        <v>123</v>
      </c>
      <c r="J197" s="28"/>
      <c r="K197" s="28"/>
      <c r="L197" s="21"/>
    </row>
    <row r="198" spans="1:12" ht="14.85" hidden="1" customHeight="1" x14ac:dyDescent="0.25">
      <c r="A198" s="1399"/>
      <c r="B198" s="1393"/>
      <c r="C198" s="1403"/>
      <c r="D198" s="28" t="s">
        <v>257</v>
      </c>
      <c r="E198" s="94"/>
      <c r="F198" s="80">
        <v>55</v>
      </c>
      <c r="G198" s="80"/>
      <c r="H198" s="80"/>
      <c r="I198" s="80">
        <v>39</v>
      </c>
      <c r="J198" s="28"/>
      <c r="K198" s="28"/>
      <c r="L198" s="21"/>
    </row>
    <row r="199" spans="1:12" hidden="1" x14ac:dyDescent="0.25">
      <c r="A199" s="1399"/>
      <c r="B199" s="1393"/>
      <c r="C199" s="1403"/>
      <c r="D199" s="28" t="s">
        <v>263</v>
      </c>
      <c r="E199" s="94"/>
      <c r="F199" s="80">
        <v>100</v>
      </c>
      <c r="G199" s="80"/>
      <c r="H199" s="80"/>
      <c r="I199" s="80">
        <v>87</v>
      </c>
      <c r="J199" s="28"/>
      <c r="K199" s="28"/>
      <c r="L199" s="21"/>
    </row>
    <row r="200" spans="1:12" hidden="1" x14ac:dyDescent="0.25">
      <c r="A200" s="1399"/>
      <c r="B200" s="1393"/>
      <c r="C200" s="1403"/>
      <c r="D200" s="28" t="s">
        <v>357</v>
      </c>
      <c r="E200" s="94"/>
      <c r="F200" s="99">
        <f>(F199/F197)*100</f>
        <v>64.516129032258064</v>
      </c>
      <c r="G200" s="94"/>
      <c r="H200" s="94"/>
      <c r="I200" s="99">
        <f>I199/I197*100</f>
        <v>70.731707317073173</v>
      </c>
      <c r="J200" s="28"/>
      <c r="K200" s="28"/>
      <c r="L200" s="21"/>
    </row>
    <row r="201" spans="1:12" ht="14.85" hidden="1" customHeight="1" x14ac:dyDescent="0.25">
      <c r="A201" s="1399"/>
      <c r="B201" s="1393"/>
      <c r="C201" s="1403" t="s">
        <v>391</v>
      </c>
      <c r="D201" s="144" t="s">
        <v>251</v>
      </c>
      <c r="E201" s="94"/>
      <c r="F201" s="80">
        <v>620</v>
      </c>
      <c r="G201" s="80"/>
      <c r="H201" s="80"/>
      <c r="I201" s="80">
        <v>375</v>
      </c>
      <c r="J201" s="28"/>
      <c r="K201" s="28"/>
      <c r="L201" s="21"/>
    </row>
    <row r="202" spans="1:12" hidden="1" x14ac:dyDescent="0.25">
      <c r="A202" s="1399"/>
      <c r="B202" s="1393"/>
      <c r="C202" s="1403"/>
      <c r="D202" s="28" t="s">
        <v>257</v>
      </c>
      <c r="E202" s="94"/>
      <c r="F202" s="80">
        <v>105</v>
      </c>
      <c r="G202" s="80"/>
      <c r="H202" s="80"/>
      <c r="I202" s="80">
        <v>72</v>
      </c>
      <c r="J202" s="28"/>
      <c r="K202" s="28"/>
      <c r="L202" s="21"/>
    </row>
    <row r="203" spans="1:12" hidden="1" x14ac:dyDescent="0.25">
      <c r="A203" s="1399"/>
      <c r="B203" s="1393"/>
      <c r="C203" s="1403"/>
      <c r="D203" s="28" t="s">
        <v>263</v>
      </c>
      <c r="E203" s="94"/>
      <c r="F203" s="80">
        <v>515</v>
      </c>
      <c r="G203" s="80"/>
      <c r="H203" s="80"/>
      <c r="I203" s="80">
        <v>306</v>
      </c>
      <c r="J203" s="28"/>
      <c r="K203" s="28"/>
      <c r="L203" s="21"/>
    </row>
    <row r="204" spans="1:12" hidden="1" x14ac:dyDescent="0.25">
      <c r="A204" s="1399"/>
      <c r="B204" s="1393"/>
      <c r="C204" s="1403"/>
      <c r="D204" s="28" t="s">
        <v>357</v>
      </c>
      <c r="E204" s="94"/>
      <c r="F204" s="99">
        <f>(F203/F201)*100</f>
        <v>83.064516129032256</v>
      </c>
      <c r="G204" s="94"/>
      <c r="H204" s="94"/>
      <c r="I204" s="99">
        <f>I203/I201*100</f>
        <v>81.599999999999994</v>
      </c>
      <c r="J204" s="28"/>
      <c r="K204" s="28"/>
      <c r="L204" s="21"/>
    </row>
    <row r="205" spans="1:12" ht="14.85" hidden="1" customHeight="1" x14ac:dyDescent="0.25">
      <c r="A205" s="1399"/>
      <c r="B205" s="1393"/>
      <c r="C205" s="1403" t="s">
        <v>392</v>
      </c>
      <c r="D205" s="144" t="s">
        <v>251</v>
      </c>
      <c r="E205" s="94"/>
      <c r="F205" s="80">
        <v>400</v>
      </c>
      <c r="G205" s="80"/>
      <c r="H205" s="80"/>
      <c r="I205" s="80">
        <v>162</v>
      </c>
      <c r="J205" s="28"/>
      <c r="K205" s="28"/>
      <c r="L205" s="21"/>
    </row>
    <row r="206" spans="1:12" hidden="1" x14ac:dyDescent="0.25">
      <c r="A206" s="1399"/>
      <c r="B206" s="1393"/>
      <c r="C206" s="1403"/>
      <c r="D206" s="28" t="s">
        <v>257</v>
      </c>
      <c r="E206" s="94"/>
      <c r="F206" s="80">
        <v>0</v>
      </c>
      <c r="G206" s="80"/>
      <c r="H206" s="80"/>
      <c r="I206" s="80">
        <v>27</v>
      </c>
      <c r="J206" s="28"/>
      <c r="K206" s="28"/>
      <c r="L206" s="21"/>
    </row>
    <row r="207" spans="1:12" hidden="1" x14ac:dyDescent="0.25">
      <c r="A207" s="1399"/>
      <c r="B207" s="1393"/>
      <c r="C207" s="1403"/>
      <c r="D207" s="28" t="s">
        <v>263</v>
      </c>
      <c r="E207" s="94"/>
      <c r="F207" s="80">
        <v>400</v>
      </c>
      <c r="G207" s="80"/>
      <c r="H207" s="80"/>
      <c r="I207" s="80">
        <v>135</v>
      </c>
      <c r="J207" s="28"/>
      <c r="K207" s="28"/>
      <c r="L207" s="21"/>
    </row>
    <row r="208" spans="1:12" hidden="1" x14ac:dyDescent="0.25">
      <c r="A208" s="1399"/>
      <c r="B208" s="1393"/>
      <c r="C208" s="1403"/>
      <c r="D208" s="28" t="s">
        <v>357</v>
      </c>
      <c r="E208" s="94"/>
      <c r="F208" s="99">
        <f>(F207/F205)*100</f>
        <v>100</v>
      </c>
      <c r="G208" s="94"/>
      <c r="H208" s="94"/>
      <c r="I208" s="99">
        <f>I207/I205*100</f>
        <v>83.333333333333343</v>
      </c>
      <c r="J208" s="28"/>
      <c r="K208" s="28"/>
      <c r="L208" s="21"/>
    </row>
    <row r="209" spans="1:12" ht="14.85" hidden="1" customHeight="1" x14ac:dyDescent="0.25">
      <c r="A209" s="1399"/>
      <c r="B209" s="1393"/>
      <c r="C209" s="1403" t="s">
        <v>393</v>
      </c>
      <c r="D209" s="144" t="s">
        <v>251</v>
      </c>
      <c r="E209" s="94"/>
      <c r="F209" s="80">
        <v>1395</v>
      </c>
      <c r="G209" s="80"/>
      <c r="H209" s="80"/>
      <c r="I209" s="80">
        <v>1143</v>
      </c>
      <c r="J209" s="28"/>
      <c r="K209" s="28"/>
      <c r="L209" s="21"/>
    </row>
    <row r="210" spans="1:12" hidden="1" x14ac:dyDescent="0.25">
      <c r="A210" s="1399"/>
      <c r="B210" s="1393"/>
      <c r="C210" s="1403"/>
      <c r="D210" s="28" t="s">
        <v>257</v>
      </c>
      <c r="E210" s="94"/>
      <c r="F210" s="80">
        <v>650</v>
      </c>
      <c r="G210" s="80"/>
      <c r="H210" s="80"/>
      <c r="I210" s="80">
        <v>681</v>
      </c>
      <c r="J210" s="28"/>
      <c r="K210" s="28"/>
      <c r="L210" s="21"/>
    </row>
    <row r="211" spans="1:12" hidden="1" x14ac:dyDescent="0.25">
      <c r="A211" s="1399"/>
      <c r="B211" s="1393"/>
      <c r="C211" s="1403"/>
      <c r="D211" s="28" t="s">
        <v>263</v>
      </c>
      <c r="E211" s="94"/>
      <c r="F211" s="80">
        <v>745</v>
      </c>
      <c r="G211" s="80"/>
      <c r="H211" s="80"/>
      <c r="I211" s="80">
        <v>462</v>
      </c>
      <c r="J211" s="28"/>
      <c r="K211" s="28"/>
      <c r="L211" s="21"/>
    </row>
    <row r="212" spans="1:12" hidden="1" x14ac:dyDescent="0.25">
      <c r="A212" s="1399"/>
      <c r="B212" s="1393"/>
      <c r="C212" s="1403"/>
      <c r="D212" s="28" t="s">
        <v>357</v>
      </c>
      <c r="E212" s="94"/>
      <c r="F212" s="98">
        <f>(F211/F209)*100</f>
        <v>53.405017921146957</v>
      </c>
      <c r="G212" s="94"/>
      <c r="H212" s="94"/>
      <c r="I212" s="98">
        <f>I211/I209*100</f>
        <v>40.419947506561684</v>
      </c>
      <c r="J212" s="28"/>
      <c r="K212" s="28"/>
      <c r="L212" s="21"/>
    </row>
    <row r="213" spans="1:12" ht="14.85" hidden="1" customHeight="1" x14ac:dyDescent="0.25">
      <c r="A213" s="1399"/>
      <c r="B213" s="1393"/>
      <c r="C213" s="1403" t="s">
        <v>394</v>
      </c>
      <c r="D213" s="144" t="s">
        <v>251</v>
      </c>
      <c r="E213" s="94"/>
      <c r="F213" s="80">
        <v>745</v>
      </c>
      <c r="G213" s="80"/>
      <c r="H213" s="80"/>
      <c r="I213" s="80">
        <v>885</v>
      </c>
      <c r="J213" s="28"/>
      <c r="K213" s="28"/>
      <c r="L213" s="21"/>
    </row>
    <row r="214" spans="1:12" hidden="1" x14ac:dyDescent="0.25">
      <c r="A214" s="1399"/>
      <c r="B214" s="1393"/>
      <c r="C214" s="1403"/>
      <c r="D214" s="28" t="s">
        <v>257</v>
      </c>
      <c r="E214" s="94"/>
      <c r="F214" s="80">
        <v>505</v>
      </c>
      <c r="G214" s="80"/>
      <c r="H214" s="80"/>
      <c r="I214" s="80">
        <v>675</v>
      </c>
      <c r="J214" s="28"/>
      <c r="K214" s="28"/>
      <c r="L214" s="21"/>
    </row>
    <row r="215" spans="1:12" hidden="1" x14ac:dyDescent="0.25">
      <c r="A215" s="1399"/>
      <c r="B215" s="1393"/>
      <c r="C215" s="1403"/>
      <c r="D215" s="28" t="s">
        <v>263</v>
      </c>
      <c r="E215" s="94"/>
      <c r="F215" s="80">
        <v>240</v>
      </c>
      <c r="G215" s="80"/>
      <c r="H215" s="80"/>
      <c r="I215" s="80">
        <v>210</v>
      </c>
      <c r="J215" s="28"/>
      <c r="K215" s="28"/>
      <c r="L215" s="21"/>
    </row>
    <row r="216" spans="1:12" hidden="1" x14ac:dyDescent="0.25">
      <c r="A216" s="1399"/>
      <c r="B216" s="1393"/>
      <c r="C216" s="1403"/>
      <c r="D216" s="28" t="s">
        <v>357</v>
      </c>
      <c r="E216" s="94"/>
      <c r="F216" s="97">
        <f>(F215/F213)*100</f>
        <v>32.214765100671137</v>
      </c>
      <c r="G216" s="94"/>
      <c r="H216" s="94"/>
      <c r="I216" s="97">
        <f>I215/I213*100</f>
        <v>23.728813559322035</v>
      </c>
      <c r="J216" s="28"/>
      <c r="K216" s="28"/>
      <c r="L216" s="21"/>
    </row>
    <row r="217" spans="1:12" ht="14.85" hidden="1" customHeight="1" x14ac:dyDescent="0.25">
      <c r="A217" s="1399"/>
      <c r="B217" s="1393"/>
      <c r="C217" s="1403" t="s">
        <v>395</v>
      </c>
      <c r="D217" s="144" t="s">
        <v>251</v>
      </c>
      <c r="E217" s="94"/>
      <c r="F217" s="80">
        <v>170</v>
      </c>
      <c r="G217" s="80"/>
      <c r="H217" s="80"/>
      <c r="I217" s="80">
        <v>84</v>
      </c>
      <c r="J217" s="94"/>
      <c r="K217" s="28"/>
      <c r="L217" s="21"/>
    </row>
    <row r="218" spans="1:12" ht="14.85" hidden="1" customHeight="1" x14ac:dyDescent="0.25">
      <c r="A218" s="1399"/>
      <c r="B218" s="1393"/>
      <c r="C218" s="1403"/>
      <c r="D218" s="28" t="s">
        <v>257</v>
      </c>
      <c r="E218" s="94"/>
      <c r="F218" s="80">
        <v>105</v>
      </c>
      <c r="G218" s="80"/>
      <c r="H218" s="80"/>
      <c r="I218" s="80">
        <v>48</v>
      </c>
      <c r="J218" s="94"/>
      <c r="K218" s="28"/>
      <c r="L218" s="21"/>
    </row>
    <row r="219" spans="1:12" hidden="1" x14ac:dyDescent="0.25">
      <c r="A219" s="1399"/>
      <c r="B219" s="1393"/>
      <c r="C219" s="1403"/>
      <c r="D219" s="28" t="s">
        <v>263</v>
      </c>
      <c r="E219" s="94"/>
      <c r="F219" s="80">
        <v>65</v>
      </c>
      <c r="G219" s="80"/>
      <c r="H219" s="80"/>
      <c r="I219" s="80">
        <v>36</v>
      </c>
      <c r="J219" s="94"/>
      <c r="K219" s="28"/>
      <c r="L219" s="21"/>
    </row>
    <row r="220" spans="1:12" hidden="1" x14ac:dyDescent="0.25">
      <c r="A220" s="1399"/>
      <c r="B220" s="1393"/>
      <c r="C220" s="1403"/>
      <c r="D220" s="28" t="s">
        <v>357</v>
      </c>
      <c r="E220" s="94"/>
      <c r="F220" s="97">
        <f>(F219/F217)*100</f>
        <v>38.235294117647058</v>
      </c>
      <c r="G220" s="94"/>
      <c r="H220" s="94"/>
      <c r="I220" s="98">
        <f>I219/I217*100</f>
        <v>42.857142857142854</v>
      </c>
      <c r="J220" s="94"/>
      <c r="K220" s="28"/>
      <c r="L220" s="21"/>
    </row>
    <row r="221" spans="1:12" ht="14.85" hidden="1" customHeight="1" x14ac:dyDescent="0.25">
      <c r="A221" s="1399"/>
      <c r="B221" s="1393"/>
      <c r="C221" s="1403" t="s">
        <v>396</v>
      </c>
      <c r="D221" s="144" t="s">
        <v>251</v>
      </c>
      <c r="E221" s="94"/>
      <c r="F221" s="80">
        <v>45</v>
      </c>
      <c r="G221" s="80"/>
      <c r="H221" s="80"/>
      <c r="I221" s="80">
        <v>15</v>
      </c>
      <c r="J221" s="94"/>
      <c r="K221" s="28"/>
      <c r="L221" s="21"/>
    </row>
    <row r="222" spans="1:12" hidden="1" x14ac:dyDescent="0.25">
      <c r="A222" s="1399"/>
      <c r="B222" s="1393"/>
      <c r="C222" s="1403"/>
      <c r="D222" s="28" t="s">
        <v>257</v>
      </c>
      <c r="E222" s="94"/>
      <c r="F222" s="80">
        <v>35</v>
      </c>
      <c r="G222" s="80"/>
      <c r="H222" s="80"/>
      <c r="I222" s="80">
        <v>6</v>
      </c>
      <c r="J222" s="94"/>
      <c r="K222" s="28"/>
      <c r="L222" s="21"/>
    </row>
    <row r="223" spans="1:12" hidden="1" x14ac:dyDescent="0.25">
      <c r="A223" s="1399"/>
      <c r="B223" s="1393"/>
      <c r="C223" s="1403"/>
      <c r="D223" s="28" t="s">
        <v>263</v>
      </c>
      <c r="E223" s="94"/>
      <c r="F223" s="80">
        <v>10</v>
      </c>
      <c r="G223" s="80"/>
      <c r="H223" s="80"/>
      <c r="I223" s="80">
        <v>3</v>
      </c>
      <c r="J223" s="94"/>
      <c r="K223" s="28"/>
      <c r="L223" s="21"/>
    </row>
    <row r="224" spans="1:12" hidden="1" x14ac:dyDescent="0.25">
      <c r="A224" s="1399"/>
      <c r="B224" s="1393"/>
      <c r="C224" s="1403"/>
      <c r="D224" s="28" t="s">
        <v>357</v>
      </c>
      <c r="E224" s="94"/>
      <c r="F224" s="97">
        <f>(F223/F221)*100</f>
        <v>22.222222222222221</v>
      </c>
      <c r="G224" s="94"/>
      <c r="H224" s="94"/>
      <c r="I224" s="97">
        <f>I223/I221*100</f>
        <v>20</v>
      </c>
      <c r="J224" s="94"/>
      <c r="K224" s="28"/>
      <c r="L224" s="21"/>
    </row>
    <row r="225" spans="1:12" ht="14.85" hidden="1" customHeight="1" x14ac:dyDescent="0.25">
      <c r="A225" s="1399"/>
      <c r="B225" s="1393"/>
      <c r="C225" s="1403" t="s">
        <v>397</v>
      </c>
      <c r="D225" s="144" t="s">
        <v>251</v>
      </c>
      <c r="E225" s="94"/>
      <c r="F225" s="80">
        <v>20</v>
      </c>
      <c r="G225" s="80"/>
      <c r="H225" s="80"/>
      <c r="I225" s="80">
        <v>12</v>
      </c>
      <c r="J225" s="94"/>
      <c r="K225" s="28"/>
      <c r="L225" s="21"/>
    </row>
    <row r="226" spans="1:12" hidden="1" x14ac:dyDescent="0.25">
      <c r="A226" s="1399"/>
      <c r="B226" s="1393"/>
      <c r="C226" s="1403"/>
      <c r="D226" s="28" t="s">
        <v>257</v>
      </c>
      <c r="E226" s="94"/>
      <c r="F226" s="80">
        <v>10</v>
      </c>
      <c r="G226" s="80"/>
      <c r="H226" s="80"/>
      <c r="I226" s="80">
        <v>6</v>
      </c>
      <c r="J226" s="94"/>
      <c r="K226" s="28"/>
      <c r="L226" s="21"/>
    </row>
    <row r="227" spans="1:12" hidden="1" x14ac:dyDescent="0.25">
      <c r="A227" s="1399"/>
      <c r="B227" s="1393"/>
      <c r="C227" s="1403"/>
      <c r="D227" s="28" t="s">
        <v>263</v>
      </c>
      <c r="E227" s="94"/>
      <c r="F227" s="80">
        <v>5</v>
      </c>
      <c r="G227" s="80"/>
      <c r="H227" s="80"/>
      <c r="I227" s="80">
        <v>3</v>
      </c>
      <c r="J227" s="94"/>
      <c r="K227" s="28"/>
      <c r="L227" s="21"/>
    </row>
    <row r="228" spans="1:12" hidden="1" x14ac:dyDescent="0.25">
      <c r="A228" s="1399"/>
      <c r="B228" s="1393"/>
      <c r="C228" s="1403"/>
      <c r="D228" s="28" t="s">
        <v>357</v>
      </c>
      <c r="E228" s="94"/>
      <c r="F228" s="97">
        <f>F227/F225*100</f>
        <v>25</v>
      </c>
      <c r="G228" s="94"/>
      <c r="H228" s="94"/>
      <c r="I228" s="97">
        <f>I227/I225*100</f>
        <v>25</v>
      </c>
      <c r="J228" s="94"/>
      <c r="K228" s="28"/>
      <c r="L228" s="21"/>
    </row>
    <row r="229" spans="1:12" ht="14.85" hidden="1" customHeight="1" x14ac:dyDescent="0.25">
      <c r="A229" s="1399"/>
      <c r="B229" s="1393"/>
      <c r="C229" s="1403" t="s">
        <v>398</v>
      </c>
      <c r="D229" s="144" t="s">
        <v>251</v>
      </c>
      <c r="E229" s="94"/>
      <c r="F229" s="80"/>
      <c r="G229" s="80"/>
      <c r="H229" s="80"/>
      <c r="I229" s="80">
        <v>3</v>
      </c>
      <c r="J229" s="94"/>
      <c r="K229" s="28"/>
      <c r="L229" s="21"/>
    </row>
    <row r="230" spans="1:12" ht="14.85" hidden="1" customHeight="1" x14ac:dyDescent="0.25">
      <c r="A230" s="1399"/>
      <c r="B230" s="1393"/>
      <c r="C230" s="1403"/>
      <c r="D230" s="28" t="s">
        <v>257</v>
      </c>
      <c r="E230" s="94"/>
      <c r="F230" s="80"/>
      <c r="G230" s="80"/>
      <c r="H230" s="80"/>
      <c r="I230" s="80">
        <v>3</v>
      </c>
      <c r="J230" s="94"/>
      <c r="K230" s="28"/>
      <c r="L230" s="21"/>
    </row>
    <row r="231" spans="1:12" hidden="1" x14ac:dyDescent="0.25">
      <c r="A231" s="1399"/>
      <c r="B231" s="1393"/>
      <c r="C231" s="1403"/>
      <c r="D231" s="28" t="s">
        <v>263</v>
      </c>
      <c r="E231" s="94"/>
      <c r="F231" s="80"/>
      <c r="G231" s="80"/>
      <c r="H231" s="80"/>
      <c r="I231" s="80">
        <v>3</v>
      </c>
      <c r="J231" s="94"/>
      <c r="K231" s="28"/>
      <c r="L231" s="21"/>
    </row>
    <row r="232" spans="1:12" hidden="1" x14ac:dyDescent="0.25">
      <c r="A232" s="1399"/>
      <c r="B232" s="1393"/>
      <c r="C232" s="1403"/>
      <c r="D232" s="28" t="s">
        <v>357</v>
      </c>
      <c r="E232" s="94"/>
      <c r="F232" s="94"/>
      <c r="G232" s="94"/>
      <c r="H232" s="94"/>
      <c r="I232" s="99">
        <f>I231/I229*100</f>
        <v>100</v>
      </c>
      <c r="J232" s="94"/>
      <c r="K232" s="28"/>
      <c r="L232" s="21"/>
    </row>
    <row r="233" spans="1:12" ht="14.85" hidden="1" customHeight="1" x14ac:dyDescent="0.25">
      <c r="A233" s="1399"/>
      <c r="B233" s="1393"/>
      <c r="C233" s="1403" t="s">
        <v>399</v>
      </c>
      <c r="D233" s="144" t="s">
        <v>251</v>
      </c>
      <c r="E233" s="94"/>
      <c r="F233" s="80">
        <v>365</v>
      </c>
      <c r="G233" s="80"/>
      <c r="H233" s="80"/>
      <c r="I233" s="80">
        <v>294</v>
      </c>
      <c r="J233" s="94"/>
      <c r="K233" s="28"/>
      <c r="L233" s="21"/>
    </row>
    <row r="234" spans="1:12" ht="14.85" hidden="1" customHeight="1" x14ac:dyDescent="0.25">
      <c r="A234" s="1399"/>
      <c r="B234" s="1393"/>
      <c r="C234" s="1403"/>
      <c r="D234" s="28" t="s">
        <v>257</v>
      </c>
      <c r="E234" s="94"/>
      <c r="F234" s="80">
        <v>270</v>
      </c>
      <c r="G234" s="80"/>
      <c r="H234" s="80"/>
      <c r="I234" s="80">
        <v>237</v>
      </c>
      <c r="J234" s="94"/>
      <c r="K234" s="28"/>
      <c r="L234" s="21"/>
    </row>
    <row r="235" spans="1:12" hidden="1" x14ac:dyDescent="0.25">
      <c r="A235" s="1399"/>
      <c r="B235" s="1393"/>
      <c r="C235" s="1403"/>
      <c r="D235" s="28" t="s">
        <v>263</v>
      </c>
      <c r="E235" s="94"/>
      <c r="F235" s="80">
        <v>100</v>
      </c>
      <c r="G235" s="80"/>
      <c r="H235" s="80"/>
      <c r="I235" s="80">
        <v>57</v>
      </c>
      <c r="J235" s="94"/>
      <c r="K235" s="28"/>
      <c r="L235" s="21"/>
    </row>
    <row r="236" spans="1:12" hidden="1" x14ac:dyDescent="0.25">
      <c r="A236" s="1399"/>
      <c r="B236" s="1393"/>
      <c r="C236" s="1403"/>
      <c r="D236" s="28" t="s">
        <v>357</v>
      </c>
      <c r="E236" s="94"/>
      <c r="F236" s="97">
        <f>(F235/F233)*100</f>
        <v>27.397260273972602</v>
      </c>
      <c r="G236" s="94"/>
      <c r="H236" s="94"/>
      <c r="I236" s="97">
        <f>I235/I233*100</f>
        <v>19.387755102040817</v>
      </c>
      <c r="J236" s="94"/>
      <c r="K236" s="28"/>
      <c r="L236" s="21"/>
    </row>
    <row r="237" spans="1:12" ht="14.85" hidden="1" customHeight="1" x14ac:dyDescent="0.25">
      <c r="A237" s="1399"/>
      <c r="B237" s="1393"/>
      <c r="C237" s="1403" t="s">
        <v>400</v>
      </c>
      <c r="D237" s="144" t="s">
        <v>251</v>
      </c>
      <c r="E237" s="94"/>
      <c r="F237" s="80">
        <v>440</v>
      </c>
      <c r="G237" s="80"/>
      <c r="H237" s="80"/>
      <c r="I237" s="80">
        <v>105</v>
      </c>
      <c r="J237" s="94"/>
      <c r="K237" s="28"/>
      <c r="L237" s="21"/>
    </row>
    <row r="238" spans="1:12" hidden="1" x14ac:dyDescent="0.25">
      <c r="A238" s="1399"/>
      <c r="B238" s="1393"/>
      <c r="C238" s="1403"/>
      <c r="D238" s="28" t="s">
        <v>257</v>
      </c>
      <c r="E238" s="94"/>
      <c r="F238" s="80">
        <v>365</v>
      </c>
      <c r="G238" s="80"/>
      <c r="H238" s="80"/>
      <c r="I238" s="80">
        <v>93</v>
      </c>
      <c r="J238" s="94"/>
      <c r="K238" s="28"/>
      <c r="L238" s="21"/>
    </row>
    <row r="239" spans="1:12" hidden="1" x14ac:dyDescent="0.25">
      <c r="A239" s="1399"/>
      <c r="B239" s="1393"/>
      <c r="C239" s="1403"/>
      <c r="D239" s="28" t="s">
        <v>263</v>
      </c>
      <c r="E239" s="94"/>
      <c r="F239" s="80">
        <v>75</v>
      </c>
      <c r="G239" s="80"/>
      <c r="H239" s="80"/>
      <c r="I239" s="80">
        <v>12</v>
      </c>
      <c r="J239" s="94"/>
      <c r="K239" s="28"/>
      <c r="L239" s="21"/>
    </row>
    <row r="240" spans="1:12" hidden="1" x14ac:dyDescent="0.25">
      <c r="A240" s="1399"/>
      <c r="B240" s="1393"/>
      <c r="C240" s="1403"/>
      <c r="D240" s="28" t="s">
        <v>357</v>
      </c>
      <c r="E240" s="94"/>
      <c r="F240" s="97">
        <f>(F239/F237)*100</f>
        <v>17.045454545454543</v>
      </c>
      <c r="G240" s="94"/>
      <c r="H240" s="94"/>
      <c r="I240" s="97">
        <f>I239/I237*100</f>
        <v>11.428571428571429</v>
      </c>
      <c r="J240" s="94"/>
      <c r="K240" s="28"/>
      <c r="L240" s="21"/>
    </row>
    <row r="241" spans="1:12" ht="14.85" hidden="1" customHeight="1" x14ac:dyDescent="0.25">
      <c r="A241" s="1399"/>
      <c r="B241" s="1393"/>
      <c r="C241" s="1403" t="s">
        <v>401</v>
      </c>
      <c r="D241" s="144" t="s">
        <v>251</v>
      </c>
      <c r="E241" s="94"/>
      <c r="F241" s="80">
        <v>165</v>
      </c>
      <c r="G241" s="80"/>
      <c r="H241" s="80"/>
      <c r="I241" s="80">
        <v>60</v>
      </c>
      <c r="J241" s="94"/>
      <c r="K241" s="28"/>
      <c r="L241" s="21"/>
    </row>
    <row r="242" spans="1:12" hidden="1" x14ac:dyDescent="0.25">
      <c r="A242" s="1399"/>
      <c r="B242" s="1393"/>
      <c r="C242" s="1403"/>
      <c r="D242" s="28" t="s">
        <v>257</v>
      </c>
      <c r="E242" s="94"/>
      <c r="F242" s="80">
        <v>120</v>
      </c>
      <c r="G242" s="80"/>
      <c r="H242" s="80"/>
      <c r="I242" s="80">
        <v>60</v>
      </c>
      <c r="J242" s="94"/>
      <c r="K242" s="28"/>
      <c r="L242" s="21"/>
    </row>
    <row r="243" spans="1:12" hidden="1" x14ac:dyDescent="0.25">
      <c r="A243" s="1399"/>
      <c r="B243" s="1393"/>
      <c r="C243" s="1403"/>
      <c r="D243" s="28" t="s">
        <v>263</v>
      </c>
      <c r="E243" s="94"/>
      <c r="F243" s="80">
        <v>45</v>
      </c>
      <c r="G243" s="80"/>
      <c r="H243" s="80"/>
      <c r="I243" s="80">
        <v>3</v>
      </c>
      <c r="J243" s="94"/>
      <c r="K243" s="28"/>
      <c r="L243" s="21"/>
    </row>
    <row r="244" spans="1:12" hidden="1" x14ac:dyDescent="0.25">
      <c r="A244" s="1399"/>
      <c r="B244" s="1393"/>
      <c r="C244" s="1403"/>
      <c r="D244" s="28" t="s">
        <v>357</v>
      </c>
      <c r="E244" s="94"/>
      <c r="F244" s="206">
        <f>(F243/F241)*100</f>
        <v>27.27272727272727</v>
      </c>
      <c r="G244" s="94"/>
      <c r="H244" s="94"/>
      <c r="I244" s="97">
        <f>I243/I241*100</f>
        <v>5</v>
      </c>
      <c r="J244" s="94"/>
      <c r="K244" s="28"/>
      <c r="L244" s="21"/>
    </row>
    <row r="245" spans="1:12" ht="14.85" hidden="1" customHeight="1" x14ac:dyDescent="0.25">
      <c r="A245" s="1399"/>
      <c r="B245" s="1393"/>
      <c r="C245" s="1403" t="s">
        <v>402</v>
      </c>
      <c r="D245" s="144" t="s">
        <v>251</v>
      </c>
      <c r="E245" s="94"/>
      <c r="F245" s="80">
        <v>135</v>
      </c>
      <c r="G245" s="80"/>
      <c r="H245" s="80"/>
      <c r="I245" s="80">
        <v>141</v>
      </c>
      <c r="J245" s="94"/>
      <c r="K245" s="28"/>
      <c r="L245" s="21"/>
    </row>
    <row r="246" spans="1:12" hidden="1" x14ac:dyDescent="0.25">
      <c r="A246" s="1399"/>
      <c r="B246" s="1393"/>
      <c r="C246" s="1403"/>
      <c r="D246" s="28" t="s">
        <v>257</v>
      </c>
      <c r="E246" s="94"/>
      <c r="F246" s="80">
        <v>105</v>
      </c>
      <c r="G246" s="80"/>
      <c r="H246" s="80"/>
      <c r="I246" s="80">
        <v>129</v>
      </c>
      <c r="J246" s="94"/>
      <c r="K246" s="28"/>
      <c r="L246" s="21"/>
    </row>
    <row r="247" spans="1:12" hidden="1" x14ac:dyDescent="0.25">
      <c r="A247" s="1399"/>
      <c r="B247" s="1393"/>
      <c r="C247" s="1403"/>
      <c r="D247" s="28" t="s">
        <v>263</v>
      </c>
      <c r="E247" s="94"/>
      <c r="F247" s="80">
        <v>25</v>
      </c>
      <c r="G247" s="80"/>
      <c r="H247" s="80"/>
      <c r="I247" s="80">
        <v>12</v>
      </c>
      <c r="J247" s="94"/>
      <c r="K247" s="28"/>
      <c r="L247" s="21"/>
    </row>
    <row r="248" spans="1:12" hidden="1" x14ac:dyDescent="0.25">
      <c r="A248" s="1399"/>
      <c r="B248" s="1393"/>
      <c r="C248" s="1403"/>
      <c r="D248" s="28" t="s">
        <v>357</v>
      </c>
      <c r="E248" s="94"/>
      <c r="F248" s="97">
        <f>(F247/F245)*100</f>
        <v>18.518518518518519</v>
      </c>
      <c r="G248" s="94"/>
      <c r="H248" s="94"/>
      <c r="I248" s="97">
        <f>I247/I245*100</f>
        <v>8.5106382978723403</v>
      </c>
      <c r="J248" s="94"/>
      <c r="K248" s="28"/>
      <c r="L248" s="21"/>
    </row>
    <row r="249" spans="1:12" ht="14.85" hidden="1" customHeight="1" x14ac:dyDescent="0.25">
      <c r="A249" s="1399"/>
      <c r="B249" s="1393"/>
      <c r="C249" s="1403" t="s">
        <v>403</v>
      </c>
      <c r="D249" s="144" t="s">
        <v>251</v>
      </c>
      <c r="E249" s="94"/>
      <c r="F249" s="80">
        <v>175</v>
      </c>
      <c r="G249" s="80"/>
      <c r="H249" s="80"/>
      <c r="I249" s="80">
        <v>237</v>
      </c>
      <c r="J249" s="94"/>
      <c r="K249" s="28"/>
      <c r="L249" s="21"/>
    </row>
    <row r="250" spans="1:12" hidden="1" x14ac:dyDescent="0.25">
      <c r="A250" s="1399"/>
      <c r="B250" s="1393"/>
      <c r="C250" s="1403"/>
      <c r="D250" s="28" t="s">
        <v>257</v>
      </c>
      <c r="E250" s="94"/>
      <c r="F250" s="80">
        <v>100</v>
      </c>
      <c r="G250" s="80"/>
      <c r="H250" s="80"/>
      <c r="I250" s="80">
        <v>195</v>
      </c>
      <c r="J250" s="94"/>
      <c r="K250" s="28"/>
      <c r="L250" s="21"/>
    </row>
    <row r="251" spans="1:12" hidden="1" x14ac:dyDescent="0.25">
      <c r="A251" s="1399"/>
      <c r="B251" s="1393"/>
      <c r="C251" s="1403"/>
      <c r="D251" s="28" t="s">
        <v>263</v>
      </c>
      <c r="E251" s="94"/>
      <c r="F251" s="80">
        <v>75</v>
      </c>
      <c r="G251" s="80"/>
      <c r="H251" s="80"/>
      <c r="I251" s="80">
        <v>39</v>
      </c>
      <c r="J251" s="94"/>
      <c r="K251" s="28"/>
      <c r="L251" s="21"/>
    </row>
    <row r="252" spans="1:12" hidden="1" x14ac:dyDescent="0.25">
      <c r="A252" s="1399"/>
      <c r="B252" s="1393"/>
      <c r="C252" s="1403"/>
      <c r="D252" s="28" t="s">
        <v>357</v>
      </c>
      <c r="E252" s="94"/>
      <c r="F252" s="98">
        <f>(F251/F249)*100</f>
        <v>42.857142857142854</v>
      </c>
      <c r="G252" s="94"/>
      <c r="H252" s="94"/>
      <c r="I252" s="97">
        <f>I251/I249*100</f>
        <v>16.455696202531644</v>
      </c>
      <c r="J252" s="94"/>
      <c r="K252" s="28"/>
      <c r="L252" s="21"/>
    </row>
    <row r="253" spans="1:12" ht="14.85" hidden="1" customHeight="1" x14ac:dyDescent="0.25">
      <c r="A253" s="1399"/>
      <c r="B253" s="1393"/>
      <c r="C253" s="1403" t="s">
        <v>404</v>
      </c>
      <c r="D253" s="144" t="s">
        <v>251</v>
      </c>
      <c r="E253" s="94"/>
      <c r="F253" s="80">
        <v>180</v>
      </c>
      <c r="G253" s="80"/>
      <c r="H253" s="80"/>
      <c r="I253" s="80">
        <v>72</v>
      </c>
      <c r="J253" s="94"/>
      <c r="K253" s="28"/>
      <c r="L253" s="21"/>
    </row>
    <row r="254" spans="1:12" ht="14.85" hidden="1" customHeight="1" x14ac:dyDescent="0.25">
      <c r="A254" s="1399"/>
      <c r="B254" s="1393"/>
      <c r="C254" s="1403"/>
      <c r="D254" s="28" t="s">
        <v>257</v>
      </c>
      <c r="E254" s="94"/>
      <c r="F254" s="80">
        <v>115</v>
      </c>
      <c r="G254" s="80"/>
      <c r="H254" s="80"/>
      <c r="I254" s="80">
        <v>42</v>
      </c>
      <c r="J254" s="94"/>
      <c r="K254" s="28"/>
      <c r="L254" s="21"/>
    </row>
    <row r="255" spans="1:12" hidden="1" x14ac:dyDescent="0.25">
      <c r="A255" s="1399"/>
      <c r="B255" s="1393"/>
      <c r="C255" s="1403"/>
      <c r="D255" s="28" t="s">
        <v>263</v>
      </c>
      <c r="E255" s="94"/>
      <c r="F255" s="80">
        <v>60</v>
      </c>
      <c r="G255" s="80"/>
      <c r="H255" s="80"/>
      <c r="I255" s="80">
        <v>27</v>
      </c>
      <c r="J255" s="94"/>
      <c r="K255" s="28"/>
      <c r="L255" s="21"/>
    </row>
    <row r="256" spans="1:12" hidden="1" x14ac:dyDescent="0.25">
      <c r="A256" s="1399"/>
      <c r="B256" s="1393"/>
      <c r="C256" s="1403"/>
      <c r="D256" s="28" t="s">
        <v>357</v>
      </c>
      <c r="E256" s="94"/>
      <c r="F256" s="97">
        <f>(F255/F253)*100</f>
        <v>33.333333333333329</v>
      </c>
      <c r="G256" s="94"/>
      <c r="H256" s="94"/>
      <c r="I256" s="97">
        <f>I255/I253*100</f>
        <v>37.5</v>
      </c>
      <c r="J256" s="94"/>
      <c r="K256" s="28"/>
      <c r="L256" s="21"/>
    </row>
    <row r="257" spans="1:12" ht="14.85" hidden="1" customHeight="1" x14ac:dyDescent="0.25">
      <c r="A257" s="1399"/>
      <c r="B257" s="1393"/>
      <c r="C257" s="1403" t="s">
        <v>405</v>
      </c>
      <c r="D257" s="144" t="s">
        <v>251</v>
      </c>
      <c r="E257" s="94"/>
      <c r="F257" s="80">
        <v>60</v>
      </c>
      <c r="G257" s="80"/>
      <c r="H257" s="80"/>
      <c r="I257" s="80">
        <v>45</v>
      </c>
      <c r="J257" s="94"/>
      <c r="K257" s="28"/>
      <c r="L257" s="21"/>
    </row>
    <row r="258" spans="1:12" hidden="1" x14ac:dyDescent="0.25">
      <c r="A258" s="1399"/>
      <c r="B258" s="1393"/>
      <c r="C258" s="1403"/>
      <c r="D258" s="28" t="s">
        <v>257</v>
      </c>
      <c r="E258" s="94"/>
      <c r="F258" s="80">
        <v>30</v>
      </c>
      <c r="G258" s="80"/>
      <c r="H258" s="80"/>
      <c r="I258" s="80">
        <v>27</v>
      </c>
      <c r="J258" s="94"/>
      <c r="K258" s="28"/>
      <c r="L258" s="21"/>
    </row>
    <row r="259" spans="1:12" hidden="1" x14ac:dyDescent="0.25">
      <c r="A259" s="1399"/>
      <c r="B259" s="1393"/>
      <c r="C259" s="1403"/>
      <c r="D259" s="28" t="s">
        <v>263</v>
      </c>
      <c r="E259" s="94"/>
      <c r="F259" s="80">
        <v>30</v>
      </c>
      <c r="G259" s="80"/>
      <c r="H259" s="80"/>
      <c r="I259" s="80">
        <v>18</v>
      </c>
      <c r="J259" s="94"/>
      <c r="K259" s="28"/>
      <c r="L259" s="21"/>
    </row>
    <row r="260" spans="1:12" hidden="1" x14ac:dyDescent="0.25">
      <c r="A260" s="1399"/>
      <c r="B260" s="1393"/>
      <c r="C260" s="1403"/>
      <c r="D260" s="28" t="s">
        <v>357</v>
      </c>
      <c r="E260" s="94"/>
      <c r="F260" s="98">
        <f>(F259/F257)*100</f>
        <v>50</v>
      </c>
      <c r="G260" s="94"/>
      <c r="H260" s="94"/>
      <c r="I260" s="98">
        <f>I259/I257*100</f>
        <v>40</v>
      </c>
      <c r="J260" s="94"/>
      <c r="K260" s="28"/>
      <c r="L260" s="21"/>
    </row>
    <row r="261" spans="1:12" ht="14.85" hidden="1" customHeight="1" x14ac:dyDescent="0.25">
      <c r="A261" s="1399"/>
      <c r="B261" s="1393"/>
      <c r="C261" s="1403" t="s">
        <v>406</v>
      </c>
      <c r="D261" s="144" t="s">
        <v>251</v>
      </c>
      <c r="E261" s="94"/>
      <c r="F261" s="80">
        <v>115</v>
      </c>
      <c r="G261" s="80"/>
      <c r="H261" s="80"/>
      <c r="I261" s="80">
        <v>69</v>
      </c>
      <c r="J261" s="94"/>
      <c r="K261" s="28"/>
      <c r="L261" s="21"/>
    </row>
    <row r="262" spans="1:12" hidden="1" x14ac:dyDescent="0.25">
      <c r="A262" s="1399"/>
      <c r="B262" s="1393"/>
      <c r="C262" s="1403"/>
      <c r="D262" s="28" t="s">
        <v>257</v>
      </c>
      <c r="E262" s="94"/>
      <c r="F262" s="80">
        <v>65</v>
      </c>
      <c r="G262" s="80"/>
      <c r="H262" s="80"/>
      <c r="I262" s="80">
        <v>42</v>
      </c>
      <c r="J262" s="94"/>
      <c r="K262" s="28"/>
      <c r="L262" s="21"/>
    </row>
    <row r="263" spans="1:12" hidden="1" x14ac:dyDescent="0.25">
      <c r="A263" s="1399"/>
      <c r="B263" s="1393"/>
      <c r="C263" s="1403"/>
      <c r="D263" s="28" t="s">
        <v>263</v>
      </c>
      <c r="E263" s="94"/>
      <c r="F263" s="80">
        <v>50</v>
      </c>
      <c r="G263" s="80"/>
      <c r="H263" s="80"/>
      <c r="I263" s="80">
        <v>30</v>
      </c>
      <c r="J263" s="94"/>
      <c r="K263" s="28"/>
      <c r="L263" s="21"/>
    </row>
    <row r="264" spans="1:12" hidden="1" x14ac:dyDescent="0.25">
      <c r="A264" s="1399"/>
      <c r="B264" s="1393"/>
      <c r="C264" s="1403"/>
      <c r="D264" s="28" t="s">
        <v>357</v>
      </c>
      <c r="E264" s="94"/>
      <c r="F264" s="98">
        <f>(F263/F261)*100</f>
        <v>43.478260869565219</v>
      </c>
      <c r="G264" s="94"/>
      <c r="H264" s="94"/>
      <c r="I264" s="98">
        <f>I263/I261*100</f>
        <v>43.478260869565219</v>
      </c>
      <c r="J264" s="94"/>
      <c r="K264" s="28"/>
      <c r="L264" s="21"/>
    </row>
    <row r="265" spans="1:12" ht="14.85" hidden="1" customHeight="1" x14ac:dyDescent="0.25">
      <c r="A265" s="1399"/>
      <c r="B265" s="1393"/>
      <c r="C265" s="1403" t="s">
        <v>407</v>
      </c>
      <c r="D265" s="144" t="s">
        <v>251</v>
      </c>
      <c r="E265" s="94"/>
      <c r="F265" s="80">
        <v>190</v>
      </c>
      <c r="G265" s="80"/>
      <c r="H265" s="80"/>
      <c r="I265" s="80">
        <v>78</v>
      </c>
      <c r="J265" s="94"/>
      <c r="K265" s="28"/>
      <c r="L265" s="21"/>
    </row>
    <row r="266" spans="1:12" hidden="1" x14ac:dyDescent="0.25">
      <c r="A266" s="1399"/>
      <c r="B266" s="1393"/>
      <c r="C266" s="1403"/>
      <c r="D266" s="28" t="s">
        <v>257</v>
      </c>
      <c r="E266" s="94"/>
      <c r="F266" s="80">
        <v>65</v>
      </c>
      <c r="G266" s="80"/>
      <c r="H266" s="80"/>
      <c r="I266" s="80">
        <v>63</v>
      </c>
      <c r="J266" s="94"/>
      <c r="K266" s="28"/>
      <c r="L266" s="21"/>
    </row>
    <row r="267" spans="1:12" hidden="1" x14ac:dyDescent="0.25">
      <c r="A267" s="1399"/>
      <c r="B267" s="1393"/>
      <c r="C267" s="1403"/>
      <c r="D267" s="28" t="s">
        <v>263</v>
      </c>
      <c r="E267" s="94"/>
      <c r="F267" s="80">
        <v>125</v>
      </c>
      <c r="G267" s="80"/>
      <c r="H267" s="80"/>
      <c r="I267" s="80">
        <v>15</v>
      </c>
      <c r="J267" s="94"/>
      <c r="K267" s="28"/>
      <c r="L267" s="21"/>
    </row>
    <row r="268" spans="1:12" hidden="1" x14ac:dyDescent="0.25">
      <c r="A268" s="1399"/>
      <c r="B268" s="1393"/>
      <c r="C268" s="1403"/>
      <c r="D268" s="28" t="s">
        <v>357</v>
      </c>
      <c r="E268" s="94"/>
      <c r="F268" s="99">
        <f>(F267/F265)*100</f>
        <v>65.789473684210535</v>
      </c>
      <c r="G268" s="94"/>
      <c r="H268" s="94"/>
      <c r="I268" s="97">
        <f>I267/I265*100</f>
        <v>19.230769230769234</v>
      </c>
      <c r="J268" s="94"/>
      <c r="K268" s="28"/>
      <c r="L268" s="21"/>
    </row>
    <row r="269" spans="1:12" ht="14.85" hidden="1" customHeight="1" x14ac:dyDescent="0.25">
      <c r="A269" s="1399"/>
      <c r="B269" s="1393"/>
      <c r="C269" s="1403" t="s">
        <v>408</v>
      </c>
      <c r="D269" s="144" t="s">
        <v>251</v>
      </c>
      <c r="E269" s="94"/>
      <c r="F269" s="80">
        <v>15</v>
      </c>
      <c r="G269" s="80"/>
      <c r="H269" s="80"/>
      <c r="I269" s="80">
        <v>39</v>
      </c>
      <c r="J269" s="94"/>
      <c r="K269" s="28"/>
      <c r="L269" s="21"/>
    </row>
    <row r="270" spans="1:12" hidden="1" x14ac:dyDescent="0.25">
      <c r="A270" s="1399"/>
      <c r="B270" s="1393"/>
      <c r="C270" s="1403"/>
      <c r="D270" s="28" t="s">
        <v>257</v>
      </c>
      <c r="E270" s="94"/>
      <c r="F270" s="80">
        <v>0</v>
      </c>
      <c r="G270" s="80"/>
      <c r="H270" s="80"/>
      <c r="I270" s="80">
        <v>30</v>
      </c>
      <c r="J270" s="94"/>
      <c r="K270" s="28"/>
      <c r="L270" s="21"/>
    </row>
    <row r="271" spans="1:12" hidden="1" x14ac:dyDescent="0.25">
      <c r="A271" s="1399"/>
      <c r="B271" s="1393"/>
      <c r="C271" s="1403"/>
      <c r="D271" s="28" t="s">
        <v>263</v>
      </c>
      <c r="E271" s="94"/>
      <c r="F271" s="80">
        <v>15</v>
      </c>
      <c r="G271" s="80"/>
      <c r="H271" s="80"/>
      <c r="I271" s="80">
        <v>6</v>
      </c>
      <c r="J271" s="94"/>
      <c r="K271" s="28"/>
      <c r="L271" s="21"/>
    </row>
    <row r="272" spans="1:12" hidden="1" x14ac:dyDescent="0.25">
      <c r="A272" s="1399"/>
      <c r="B272" s="1393"/>
      <c r="C272" s="1403"/>
      <c r="D272" s="28" t="s">
        <v>357</v>
      </c>
      <c r="E272" s="94"/>
      <c r="F272" s="99">
        <f>(F271/F269)*100</f>
        <v>100</v>
      </c>
      <c r="G272" s="94"/>
      <c r="H272" s="94"/>
      <c r="I272" s="97">
        <f>I271/I269*100</f>
        <v>15.384615384615385</v>
      </c>
      <c r="J272" s="94"/>
      <c r="K272" s="28"/>
      <c r="L272" s="21"/>
    </row>
    <row r="273" spans="1:12" ht="14.85" hidden="1" customHeight="1" x14ac:dyDescent="0.25">
      <c r="A273" s="1399"/>
      <c r="B273" s="1393"/>
      <c r="C273" s="1403" t="s">
        <v>409</v>
      </c>
      <c r="D273" s="144" t="s">
        <v>251</v>
      </c>
      <c r="E273" s="94"/>
      <c r="F273" s="80">
        <v>120</v>
      </c>
      <c r="G273" s="80"/>
      <c r="H273" s="80"/>
      <c r="I273" s="80">
        <v>63</v>
      </c>
      <c r="J273" s="94"/>
      <c r="K273" s="28"/>
      <c r="L273" s="21"/>
    </row>
    <row r="274" spans="1:12" ht="14.85" hidden="1" customHeight="1" x14ac:dyDescent="0.25">
      <c r="A274" s="1399"/>
      <c r="B274" s="1393"/>
      <c r="C274" s="1403"/>
      <c r="D274" s="28" t="s">
        <v>257</v>
      </c>
      <c r="E274" s="94"/>
      <c r="F274" s="80">
        <v>95</v>
      </c>
      <c r="G274" s="80"/>
      <c r="H274" s="80"/>
      <c r="I274" s="80">
        <v>51</v>
      </c>
      <c r="J274" s="94"/>
      <c r="K274" s="28"/>
      <c r="L274" s="21"/>
    </row>
    <row r="275" spans="1:12" hidden="1" x14ac:dyDescent="0.25">
      <c r="A275" s="1399"/>
      <c r="B275" s="1393"/>
      <c r="C275" s="1403"/>
      <c r="D275" s="28" t="s">
        <v>263</v>
      </c>
      <c r="E275" s="94"/>
      <c r="F275" s="80">
        <v>25</v>
      </c>
      <c r="G275" s="80"/>
      <c r="H275" s="80"/>
      <c r="I275" s="80">
        <v>9</v>
      </c>
      <c r="J275" s="94"/>
      <c r="K275" s="28"/>
      <c r="L275" s="21"/>
    </row>
    <row r="276" spans="1:12" hidden="1" x14ac:dyDescent="0.25">
      <c r="A276" s="1399"/>
      <c r="B276" s="1393"/>
      <c r="C276" s="1403"/>
      <c r="D276" s="28" t="s">
        <v>357</v>
      </c>
      <c r="E276" s="94"/>
      <c r="F276" s="97">
        <f>(F275/F273)*100</f>
        <v>20.833333333333336</v>
      </c>
      <c r="G276" s="94"/>
      <c r="H276" s="94"/>
      <c r="I276" s="97">
        <f>I275/I273*100</f>
        <v>14.285714285714285</v>
      </c>
      <c r="J276" s="94"/>
      <c r="K276" s="28"/>
      <c r="L276" s="21"/>
    </row>
    <row r="277" spans="1:12" ht="14.85" hidden="1" customHeight="1" x14ac:dyDescent="0.25">
      <c r="A277" s="1399"/>
      <c r="B277" s="1393"/>
      <c r="C277" s="1403" t="s">
        <v>410</v>
      </c>
      <c r="D277" s="144" t="s">
        <v>251</v>
      </c>
      <c r="E277" s="94"/>
      <c r="F277" s="80">
        <v>560</v>
      </c>
      <c r="G277" s="80"/>
      <c r="H277" s="80"/>
      <c r="I277" s="80">
        <v>477</v>
      </c>
      <c r="J277" s="94"/>
      <c r="K277" s="28"/>
      <c r="L277" s="21"/>
    </row>
    <row r="278" spans="1:12" hidden="1" x14ac:dyDescent="0.25">
      <c r="A278" s="1399"/>
      <c r="B278" s="1393"/>
      <c r="C278" s="1403"/>
      <c r="D278" s="28" t="s">
        <v>257</v>
      </c>
      <c r="E278" s="94"/>
      <c r="F278" s="80">
        <v>510</v>
      </c>
      <c r="G278" s="80"/>
      <c r="H278" s="80"/>
      <c r="I278" s="80">
        <v>417</v>
      </c>
      <c r="J278" s="94"/>
      <c r="K278" s="28"/>
      <c r="L278" s="21"/>
    </row>
    <row r="279" spans="1:12" hidden="1" x14ac:dyDescent="0.25">
      <c r="A279" s="1399"/>
      <c r="B279" s="1393"/>
      <c r="C279" s="1403"/>
      <c r="D279" s="28" t="s">
        <v>263</v>
      </c>
      <c r="E279" s="94"/>
      <c r="F279" s="80">
        <v>50</v>
      </c>
      <c r="G279" s="80"/>
      <c r="H279" s="80"/>
      <c r="I279" s="80">
        <v>60</v>
      </c>
      <c r="J279" s="94"/>
      <c r="K279" s="28"/>
      <c r="L279" s="21"/>
    </row>
    <row r="280" spans="1:12" hidden="1" x14ac:dyDescent="0.25">
      <c r="A280" s="1399"/>
      <c r="B280" s="1393"/>
      <c r="C280" s="1403"/>
      <c r="D280" s="28" t="s">
        <v>357</v>
      </c>
      <c r="E280" s="94"/>
      <c r="F280" s="97">
        <f>(F279/F277)*100</f>
        <v>8.9285714285714288</v>
      </c>
      <c r="G280" s="94"/>
      <c r="H280" s="94"/>
      <c r="I280" s="97">
        <f>I279/I277*100</f>
        <v>12.578616352201259</v>
      </c>
      <c r="J280" s="94"/>
      <c r="K280" s="28"/>
      <c r="L280" s="21"/>
    </row>
    <row r="281" spans="1:12" ht="14.85" hidden="1" customHeight="1" x14ac:dyDescent="0.25">
      <c r="A281" s="1399"/>
      <c r="B281" s="1393"/>
      <c r="C281" s="1403" t="s">
        <v>411</v>
      </c>
      <c r="D281" s="144" t="s">
        <v>251</v>
      </c>
      <c r="E281" s="94"/>
      <c r="F281" s="80">
        <v>810</v>
      </c>
      <c r="G281" s="80"/>
      <c r="H281" s="80"/>
      <c r="I281" s="80">
        <v>1008</v>
      </c>
      <c r="J281" s="94"/>
      <c r="K281" s="28"/>
      <c r="L281" s="21"/>
    </row>
    <row r="282" spans="1:12" hidden="1" x14ac:dyDescent="0.25">
      <c r="A282" s="1399"/>
      <c r="B282" s="1393"/>
      <c r="C282" s="1403"/>
      <c r="D282" s="28" t="s">
        <v>257</v>
      </c>
      <c r="E282" s="94"/>
      <c r="F282" s="80">
        <v>15</v>
      </c>
      <c r="G282" s="80"/>
      <c r="H282" s="80"/>
      <c r="I282" s="80">
        <v>39</v>
      </c>
      <c r="J282" s="94"/>
      <c r="K282" s="28"/>
      <c r="L282" s="21"/>
    </row>
    <row r="283" spans="1:12" hidden="1" x14ac:dyDescent="0.25">
      <c r="A283" s="1399"/>
      <c r="B283" s="1393"/>
      <c r="C283" s="1403"/>
      <c r="D283" s="28" t="s">
        <v>263</v>
      </c>
      <c r="E283" s="94"/>
      <c r="F283" s="80">
        <v>790</v>
      </c>
      <c r="G283" s="80"/>
      <c r="H283" s="80"/>
      <c r="I283" s="80">
        <v>969</v>
      </c>
      <c r="J283" s="94"/>
      <c r="K283" s="28"/>
      <c r="L283" s="21"/>
    </row>
    <row r="284" spans="1:12" hidden="1" x14ac:dyDescent="0.25">
      <c r="A284" s="1399"/>
      <c r="B284" s="1393"/>
      <c r="C284" s="1403"/>
      <c r="D284" s="28" t="s">
        <v>357</v>
      </c>
      <c r="E284" s="94"/>
      <c r="F284" s="99">
        <f>(F283/F281)*100</f>
        <v>97.53086419753086</v>
      </c>
      <c r="G284" s="94"/>
      <c r="H284" s="94"/>
      <c r="I284" s="99">
        <f>I283/I281*100</f>
        <v>96.13095238095238</v>
      </c>
      <c r="J284" s="94"/>
      <c r="K284" s="28"/>
      <c r="L284" s="21"/>
    </row>
    <row r="285" spans="1:12" ht="14.85" hidden="1" customHeight="1" x14ac:dyDescent="0.25">
      <c r="A285" s="1399"/>
      <c r="B285" s="1393"/>
      <c r="C285" s="1403" t="s">
        <v>412</v>
      </c>
      <c r="D285" s="144" t="s">
        <v>251</v>
      </c>
      <c r="E285" s="94"/>
      <c r="F285" s="80">
        <v>515</v>
      </c>
      <c r="G285" s="80"/>
      <c r="H285" s="80"/>
      <c r="I285" s="80">
        <v>591</v>
      </c>
      <c r="J285" s="94"/>
      <c r="K285" s="28"/>
      <c r="L285" s="21"/>
    </row>
    <row r="286" spans="1:12" hidden="1" x14ac:dyDescent="0.25">
      <c r="A286" s="1399"/>
      <c r="B286" s="1393"/>
      <c r="C286" s="1403"/>
      <c r="D286" s="28" t="s">
        <v>257</v>
      </c>
      <c r="E286" s="94"/>
      <c r="F286" s="80">
        <v>100</v>
      </c>
      <c r="G286" s="80"/>
      <c r="H286" s="80"/>
      <c r="I286" s="80">
        <v>186</v>
      </c>
      <c r="J286" s="94"/>
      <c r="K286" s="28"/>
      <c r="L286" s="21"/>
    </row>
    <row r="287" spans="1:12" hidden="1" x14ac:dyDescent="0.25">
      <c r="A287" s="1399"/>
      <c r="B287" s="1393"/>
      <c r="C287" s="1403"/>
      <c r="D287" s="28" t="s">
        <v>263</v>
      </c>
      <c r="E287" s="94"/>
      <c r="F287" s="80">
        <v>415</v>
      </c>
      <c r="G287" s="80"/>
      <c r="H287" s="80"/>
      <c r="I287" s="80">
        <v>408</v>
      </c>
      <c r="J287" s="94"/>
      <c r="K287" s="28"/>
      <c r="L287" s="21"/>
    </row>
    <row r="288" spans="1:12" hidden="1" x14ac:dyDescent="0.25">
      <c r="A288" s="1399"/>
      <c r="B288" s="1393"/>
      <c r="C288" s="1403"/>
      <c r="D288" s="28" t="s">
        <v>357</v>
      </c>
      <c r="E288" s="94"/>
      <c r="F288" s="99">
        <f>(F287/F285)*100</f>
        <v>80.582524271844662</v>
      </c>
      <c r="G288" s="94"/>
      <c r="H288" s="94"/>
      <c r="I288" s="99">
        <f>I287/I285*100</f>
        <v>69.035532994923855</v>
      </c>
      <c r="J288" s="94"/>
      <c r="K288" s="28"/>
      <c r="L288" s="21"/>
    </row>
    <row r="289" spans="1:12" ht="14.85" hidden="1" customHeight="1" x14ac:dyDescent="0.25">
      <c r="A289" s="1399"/>
      <c r="B289" s="1393"/>
      <c r="C289" s="1403" t="s">
        <v>413</v>
      </c>
      <c r="D289" s="144" t="s">
        <v>251</v>
      </c>
      <c r="E289" s="94"/>
      <c r="F289" s="80">
        <v>135</v>
      </c>
      <c r="G289" s="80"/>
      <c r="H289" s="80"/>
      <c r="I289" s="80">
        <v>96</v>
      </c>
      <c r="J289" s="94"/>
      <c r="K289" s="28"/>
      <c r="L289" s="21"/>
    </row>
    <row r="290" spans="1:12" ht="14.85" hidden="1" customHeight="1" x14ac:dyDescent="0.25">
      <c r="A290" s="1399"/>
      <c r="B290" s="1393"/>
      <c r="C290" s="1403"/>
      <c r="D290" s="28" t="s">
        <v>257</v>
      </c>
      <c r="E290" s="94"/>
      <c r="F290" s="80">
        <v>70</v>
      </c>
      <c r="G290" s="80"/>
      <c r="H290" s="80"/>
      <c r="I290" s="80">
        <v>57</v>
      </c>
      <c r="J290" s="94"/>
      <c r="K290" s="28"/>
      <c r="L290" s="21"/>
    </row>
    <row r="291" spans="1:12" hidden="1" x14ac:dyDescent="0.25">
      <c r="A291" s="1399"/>
      <c r="B291" s="1393"/>
      <c r="C291" s="1403"/>
      <c r="D291" s="28" t="s">
        <v>263</v>
      </c>
      <c r="E291" s="94"/>
      <c r="F291" s="80">
        <v>65</v>
      </c>
      <c r="G291" s="80"/>
      <c r="H291" s="80"/>
      <c r="I291" s="80">
        <v>36</v>
      </c>
      <c r="J291" s="94"/>
      <c r="K291" s="28"/>
      <c r="L291" s="21"/>
    </row>
    <row r="292" spans="1:12" hidden="1" x14ac:dyDescent="0.25">
      <c r="A292" s="1399"/>
      <c r="B292" s="1393"/>
      <c r="C292" s="1403"/>
      <c r="D292" s="28" t="s">
        <v>357</v>
      </c>
      <c r="E292" s="94"/>
      <c r="F292" s="98">
        <f>(F291/F289)*100</f>
        <v>48.148148148148145</v>
      </c>
      <c r="G292" s="94"/>
      <c r="H292" s="94"/>
      <c r="I292" s="97">
        <f>I291/I289*100</f>
        <v>37.5</v>
      </c>
      <c r="J292" s="94"/>
      <c r="K292" s="28"/>
      <c r="L292" s="21"/>
    </row>
    <row r="293" spans="1:12" ht="14.85" hidden="1" customHeight="1" x14ac:dyDescent="0.25">
      <c r="A293" s="1399"/>
      <c r="B293" s="1393"/>
      <c r="C293" s="1403" t="s">
        <v>414</v>
      </c>
      <c r="D293" s="144" t="s">
        <v>251</v>
      </c>
      <c r="E293" s="94"/>
      <c r="F293" s="80">
        <v>200</v>
      </c>
      <c r="G293" s="80"/>
      <c r="H293" s="80"/>
      <c r="I293" s="80">
        <v>237</v>
      </c>
      <c r="J293" s="94"/>
      <c r="K293" s="28"/>
      <c r="L293" s="21"/>
    </row>
    <row r="294" spans="1:12" ht="14.85" hidden="1" customHeight="1" x14ac:dyDescent="0.25">
      <c r="A294" s="1399"/>
      <c r="B294" s="1393"/>
      <c r="C294" s="1403"/>
      <c r="D294" s="28" t="s">
        <v>257</v>
      </c>
      <c r="E294" s="94"/>
      <c r="F294" s="80">
        <v>125</v>
      </c>
      <c r="G294" s="80"/>
      <c r="H294" s="80"/>
      <c r="I294" s="80">
        <v>150</v>
      </c>
      <c r="J294" s="94"/>
      <c r="K294" s="28"/>
      <c r="L294" s="21"/>
    </row>
    <row r="295" spans="1:12" hidden="1" x14ac:dyDescent="0.25">
      <c r="A295" s="1399"/>
      <c r="B295" s="1393"/>
      <c r="C295" s="1403"/>
      <c r="D295" s="28" t="s">
        <v>263</v>
      </c>
      <c r="E295" s="94"/>
      <c r="F295" s="80">
        <v>75</v>
      </c>
      <c r="G295" s="80"/>
      <c r="H295" s="80"/>
      <c r="I295" s="80">
        <v>87</v>
      </c>
      <c r="J295" s="94"/>
      <c r="K295" s="28"/>
      <c r="L295" s="21"/>
    </row>
    <row r="296" spans="1:12" hidden="1" x14ac:dyDescent="0.25">
      <c r="A296" s="1399"/>
      <c r="B296" s="1393"/>
      <c r="C296" s="1403"/>
      <c r="D296" s="28" t="s">
        <v>357</v>
      </c>
      <c r="E296" s="94"/>
      <c r="F296" s="97">
        <f>(F295/F293)*100</f>
        <v>37.5</v>
      </c>
      <c r="G296" s="94"/>
      <c r="H296" s="94"/>
      <c r="I296" s="97">
        <f>I295/I293*100</f>
        <v>36.708860759493675</v>
      </c>
      <c r="J296" s="94"/>
      <c r="K296" s="28"/>
      <c r="L296" s="21"/>
    </row>
    <row r="297" spans="1:12" ht="14.85" hidden="1" customHeight="1" x14ac:dyDescent="0.25">
      <c r="A297" s="1399"/>
      <c r="B297" s="1393"/>
      <c r="C297" s="1403" t="s">
        <v>415</v>
      </c>
      <c r="D297" s="144" t="s">
        <v>251</v>
      </c>
      <c r="E297" s="94"/>
      <c r="F297" s="80">
        <v>165</v>
      </c>
      <c r="G297" s="80"/>
      <c r="H297" s="80"/>
      <c r="I297" s="80">
        <v>42</v>
      </c>
      <c r="J297" s="94"/>
      <c r="K297" s="28"/>
      <c r="L297" s="21"/>
    </row>
    <row r="298" spans="1:12" hidden="1" x14ac:dyDescent="0.25">
      <c r="A298" s="1399"/>
      <c r="B298" s="1393"/>
      <c r="C298" s="1403"/>
      <c r="D298" s="28" t="s">
        <v>257</v>
      </c>
      <c r="E298" s="94"/>
      <c r="F298" s="80">
        <v>75</v>
      </c>
      <c r="G298" s="80"/>
      <c r="H298" s="80"/>
      <c r="I298" s="80">
        <v>30</v>
      </c>
      <c r="J298" s="94"/>
      <c r="K298" s="28"/>
      <c r="L298" s="21"/>
    </row>
    <row r="299" spans="1:12" hidden="1" x14ac:dyDescent="0.25">
      <c r="A299" s="1399"/>
      <c r="B299" s="1393"/>
      <c r="C299" s="1403"/>
      <c r="D299" s="28" t="s">
        <v>263</v>
      </c>
      <c r="E299" s="94"/>
      <c r="F299" s="80">
        <v>85</v>
      </c>
      <c r="G299" s="80"/>
      <c r="H299" s="80"/>
      <c r="I299" s="80">
        <v>15</v>
      </c>
      <c r="J299" s="94"/>
      <c r="K299" s="28"/>
      <c r="L299" s="21"/>
    </row>
    <row r="300" spans="1:12" hidden="1" x14ac:dyDescent="0.25">
      <c r="A300" s="1399"/>
      <c r="B300" s="1393"/>
      <c r="C300" s="1403"/>
      <c r="D300" s="28" t="s">
        <v>357</v>
      </c>
      <c r="E300" s="94"/>
      <c r="F300" s="98">
        <f>(F299/F297)*100</f>
        <v>51.515151515151516</v>
      </c>
      <c r="G300" s="94"/>
      <c r="H300" s="94"/>
      <c r="I300" s="97">
        <f>I299/I297*100</f>
        <v>35.714285714285715</v>
      </c>
      <c r="J300" s="94"/>
      <c r="K300" s="28"/>
      <c r="L300" s="21"/>
    </row>
    <row r="301" spans="1:12" ht="14.85" hidden="1" customHeight="1" x14ac:dyDescent="0.25">
      <c r="A301" s="1399"/>
      <c r="B301" s="1393"/>
      <c r="C301" s="1403" t="s">
        <v>416</v>
      </c>
      <c r="D301" s="144" t="s">
        <v>251</v>
      </c>
      <c r="E301" s="94"/>
      <c r="F301" s="80">
        <v>25</v>
      </c>
      <c r="G301" s="80"/>
      <c r="H301" s="80"/>
      <c r="I301" s="80">
        <v>27</v>
      </c>
      <c r="J301" s="94"/>
      <c r="K301" s="28"/>
      <c r="L301" s="21"/>
    </row>
    <row r="302" spans="1:12" hidden="1" x14ac:dyDescent="0.25">
      <c r="A302" s="1399"/>
      <c r="B302" s="1393"/>
      <c r="C302" s="1403"/>
      <c r="D302" s="28" t="s">
        <v>257</v>
      </c>
      <c r="E302" s="94"/>
      <c r="F302" s="80">
        <v>25</v>
      </c>
      <c r="G302" s="80"/>
      <c r="H302" s="80"/>
      <c r="I302" s="80">
        <v>27</v>
      </c>
      <c r="J302" s="94"/>
      <c r="K302" s="28"/>
      <c r="L302" s="21"/>
    </row>
    <row r="303" spans="1:12" hidden="1" x14ac:dyDescent="0.25">
      <c r="A303" s="1399"/>
      <c r="B303" s="1393"/>
      <c r="C303" s="1403"/>
      <c r="D303" s="28" t="s">
        <v>263</v>
      </c>
      <c r="E303" s="94"/>
      <c r="F303" s="80">
        <v>0</v>
      </c>
      <c r="G303" s="80"/>
      <c r="H303" s="80"/>
      <c r="I303" s="80">
        <v>0</v>
      </c>
      <c r="J303" s="94"/>
      <c r="K303" s="28"/>
      <c r="L303" s="21"/>
    </row>
    <row r="304" spans="1:12" hidden="1" x14ac:dyDescent="0.25">
      <c r="A304" s="1399"/>
      <c r="B304" s="1393"/>
      <c r="C304" s="1403"/>
      <c r="D304" s="28" t="s">
        <v>357</v>
      </c>
      <c r="E304" s="94"/>
      <c r="F304" s="97">
        <f>(F303/F301)*100</f>
        <v>0</v>
      </c>
      <c r="G304" s="94"/>
      <c r="H304" s="94"/>
      <c r="I304" s="97">
        <f>I303/I301*100</f>
        <v>0</v>
      </c>
      <c r="J304" s="94"/>
      <c r="K304" s="28"/>
      <c r="L304" s="21"/>
    </row>
    <row r="305" spans="1:12" ht="14.85" hidden="1" customHeight="1" x14ac:dyDescent="0.25">
      <c r="A305" s="1399"/>
      <c r="B305" s="1393"/>
      <c r="C305" s="1403" t="s">
        <v>417</v>
      </c>
      <c r="D305" s="144" t="s">
        <v>251</v>
      </c>
      <c r="E305" s="94"/>
      <c r="F305" s="80">
        <v>45</v>
      </c>
      <c r="G305" s="80"/>
      <c r="H305" s="80"/>
      <c r="I305" s="80">
        <v>141</v>
      </c>
      <c r="J305" s="94"/>
      <c r="K305" s="28"/>
      <c r="L305" s="21"/>
    </row>
    <row r="306" spans="1:12" hidden="1" x14ac:dyDescent="0.25">
      <c r="A306" s="1399"/>
      <c r="B306" s="1393"/>
      <c r="C306" s="1403"/>
      <c r="D306" s="28" t="s">
        <v>257</v>
      </c>
      <c r="E306" s="94"/>
      <c r="F306" s="80">
        <v>35</v>
      </c>
      <c r="G306" s="80"/>
      <c r="H306" s="80"/>
      <c r="I306" s="80">
        <v>84</v>
      </c>
      <c r="J306" s="94"/>
      <c r="K306" s="28"/>
      <c r="L306" s="21"/>
    </row>
    <row r="307" spans="1:12" hidden="1" x14ac:dyDescent="0.25">
      <c r="A307" s="1399"/>
      <c r="B307" s="1393"/>
      <c r="C307" s="1403"/>
      <c r="D307" s="28" t="s">
        <v>263</v>
      </c>
      <c r="E307" s="94"/>
      <c r="F307" s="80">
        <v>15</v>
      </c>
      <c r="G307" s="80"/>
      <c r="H307" s="80"/>
      <c r="I307" s="80">
        <v>54</v>
      </c>
      <c r="J307" s="94"/>
      <c r="K307" s="28"/>
      <c r="L307" s="21"/>
    </row>
    <row r="308" spans="1:12" hidden="1" x14ac:dyDescent="0.25">
      <c r="A308" s="1399"/>
      <c r="B308" s="1393"/>
      <c r="C308" s="1403"/>
      <c r="D308" s="28" t="s">
        <v>357</v>
      </c>
      <c r="E308" s="94"/>
      <c r="F308" s="97">
        <f>(F307/F305)*100</f>
        <v>33.333333333333329</v>
      </c>
      <c r="G308" s="94"/>
      <c r="H308" s="94"/>
      <c r="I308" s="97">
        <f>I307/I305*100</f>
        <v>38.297872340425535</v>
      </c>
      <c r="J308" s="94"/>
      <c r="K308" s="28"/>
      <c r="L308" s="21"/>
    </row>
    <row r="309" spans="1:12" ht="14.85" hidden="1" customHeight="1" x14ac:dyDescent="0.25">
      <c r="A309" s="1399"/>
      <c r="B309" s="1393"/>
      <c r="C309" s="1403" t="s">
        <v>418</v>
      </c>
      <c r="D309" s="144" t="s">
        <v>251</v>
      </c>
      <c r="E309" s="94"/>
      <c r="F309" s="80">
        <v>140</v>
      </c>
      <c r="G309" s="80"/>
      <c r="H309" s="80"/>
      <c r="I309" s="80">
        <v>222</v>
      </c>
      <c r="J309" s="94"/>
      <c r="K309" s="28"/>
      <c r="L309" s="21"/>
    </row>
    <row r="310" spans="1:12" hidden="1" x14ac:dyDescent="0.25">
      <c r="A310" s="1399"/>
      <c r="B310" s="1393"/>
      <c r="C310" s="1403"/>
      <c r="D310" s="28" t="s">
        <v>263</v>
      </c>
      <c r="E310" s="94"/>
      <c r="F310" s="80">
        <v>85</v>
      </c>
      <c r="G310" s="80"/>
      <c r="H310" s="80"/>
      <c r="I310" s="80">
        <v>174</v>
      </c>
      <c r="J310" s="94"/>
      <c r="K310" s="28"/>
      <c r="L310" s="21"/>
    </row>
    <row r="311" spans="1:12" ht="14.85" hidden="1" customHeight="1" x14ac:dyDescent="0.25">
      <c r="A311" s="1399"/>
      <c r="B311" s="1393"/>
      <c r="C311" s="1403"/>
      <c r="D311" s="28" t="s">
        <v>257</v>
      </c>
      <c r="E311" s="94"/>
      <c r="F311" s="80">
        <v>55</v>
      </c>
      <c r="G311" s="80"/>
      <c r="H311" s="80"/>
      <c r="I311" s="80">
        <v>48</v>
      </c>
      <c r="J311" s="94"/>
      <c r="K311" s="28"/>
      <c r="L311" s="21"/>
    </row>
    <row r="312" spans="1:12" hidden="1" x14ac:dyDescent="0.25">
      <c r="A312" s="1399"/>
      <c r="B312" s="1393"/>
      <c r="C312" s="1403"/>
      <c r="D312" s="28" t="s">
        <v>357</v>
      </c>
      <c r="E312" s="94"/>
      <c r="F312" s="97">
        <f>(F311/F309)*100</f>
        <v>39.285714285714285</v>
      </c>
      <c r="G312" s="94"/>
      <c r="H312" s="94"/>
      <c r="I312" s="97">
        <f>I311/I309*100</f>
        <v>21.621621621621621</v>
      </c>
      <c r="J312" s="94"/>
      <c r="K312" s="28"/>
      <c r="L312" s="21"/>
    </row>
    <row r="313" spans="1:12" x14ac:dyDescent="0.25">
      <c r="A313" s="1399"/>
      <c r="B313" s="1393"/>
      <c r="C313" s="1110" t="s">
        <v>419</v>
      </c>
      <c r="D313" s="1110"/>
      <c r="E313" s="94"/>
      <c r="F313" s="100">
        <f>27/61*100</f>
        <v>44.26229508196721</v>
      </c>
      <c r="G313" s="94"/>
      <c r="H313" s="94"/>
      <c r="I313" s="101">
        <f>30/61*100</f>
        <v>49.180327868852459</v>
      </c>
      <c r="J313" s="94"/>
      <c r="K313" s="28"/>
      <c r="L313" s="21"/>
    </row>
    <row r="314" spans="1:12" x14ac:dyDescent="0.25">
      <c r="A314" s="1399"/>
      <c r="B314" s="1393"/>
      <c r="C314" s="1110" t="s">
        <v>420</v>
      </c>
      <c r="D314" s="1110"/>
      <c r="E314" s="94"/>
      <c r="F314" s="102">
        <f>16/61*100</f>
        <v>26.229508196721312</v>
      </c>
      <c r="G314" s="94"/>
      <c r="H314" s="94"/>
      <c r="I314" s="102">
        <f>15/61*100</f>
        <v>24.590163934426229</v>
      </c>
      <c r="J314" s="94"/>
      <c r="K314" s="28"/>
      <c r="L314" s="21"/>
    </row>
    <row r="315" spans="1:12" ht="16.5" thickBot="1" x14ac:dyDescent="0.3">
      <c r="A315" s="1401"/>
      <c r="B315" s="1394"/>
      <c r="C315" s="1157" t="s">
        <v>421</v>
      </c>
      <c r="D315" s="1157"/>
      <c r="E315" s="126"/>
      <c r="F315" s="127">
        <f>18/61*100</f>
        <v>29.508196721311474</v>
      </c>
      <c r="G315" s="126"/>
      <c r="H315" s="126"/>
      <c r="I315" s="127">
        <f>16/61*100</f>
        <v>26.229508196721312</v>
      </c>
      <c r="J315" s="126"/>
      <c r="K315" s="110"/>
      <c r="L315" s="53"/>
    </row>
    <row r="316" spans="1:12" ht="16.5" thickBot="1" x14ac:dyDescent="0.3">
      <c r="A316" s="151" t="s">
        <v>248</v>
      </c>
      <c r="B316" s="725" t="s">
        <v>249</v>
      </c>
      <c r="C316" s="1129"/>
      <c r="D316" s="1129"/>
      <c r="E316" s="695">
        <v>2005</v>
      </c>
      <c r="F316" s="695">
        <v>2010</v>
      </c>
      <c r="G316" s="695">
        <v>2015</v>
      </c>
      <c r="H316" s="695">
        <v>2020</v>
      </c>
      <c r="I316" s="695">
        <v>2021</v>
      </c>
      <c r="J316" s="695">
        <v>2022</v>
      </c>
      <c r="K316" s="695">
        <v>2023</v>
      </c>
      <c r="L316" s="696">
        <v>2024</v>
      </c>
    </row>
    <row r="317" spans="1:12" s="64" customFormat="1" ht="14.85" customHeight="1" x14ac:dyDescent="0.25">
      <c r="A317" s="1413" t="s">
        <v>422</v>
      </c>
      <c r="B317" s="1271" t="s">
        <v>164</v>
      </c>
      <c r="C317" s="1415" t="s">
        <v>424</v>
      </c>
      <c r="D317" s="1415"/>
      <c r="E317" s="202"/>
      <c r="F317" s="213">
        <v>1113.3599999999999</v>
      </c>
      <c r="G317" s="213">
        <v>1283.4100000000001</v>
      </c>
      <c r="H317" s="213">
        <v>1456</v>
      </c>
      <c r="I317" s="213">
        <v>1495</v>
      </c>
      <c r="J317" s="213">
        <v>1519</v>
      </c>
      <c r="K317" s="213">
        <v>1706</v>
      </c>
      <c r="L317" s="422">
        <v>1716</v>
      </c>
    </row>
    <row r="318" spans="1:12" x14ac:dyDescent="0.25">
      <c r="A318" s="1413"/>
      <c r="B318" s="1272"/>
      <c r="C318" s="1331" t="s">
        <v>425</v>
      </c>
      <c r="D318" s="1331"/>
      <c r="E318" s="28"/>
      <c r="F318" s="29">
        <v>1461.07</v>
      </c>
      <c r="G318" s="29">
        <v>1632.63</v>
      </c>
      <c r="H318" s="29">
        <v>1795</v>
      </c>
      <c r="I318" s="29">
        <v>1843</v>
      </c>
      <c r="J318" s="29">
        <v>1864</v>
      </c>
      <c r="K318" s="29">
        <v>2072</v>
      </c>
      <c r="L318" s="30">
        <v>2073</v>
      </c>
    </row>
    <row r="319" spans="1:12" x14ac:dyDescent="0.25">
      <c r="A319" s="1413"/>
      <c r="B319" s="1272"/>
      <c r="C319" s="1331" t="s">
        <v>426</v>
      </c>
      <c r="D319" s="1331"/>
      <c r="E319" s="28"/>
      <c r="F319" s="29">
        <v>883.83</v>
      </c>
      <c r="G319" s="29">
        <v>1052.8599999999999</v>
      </c>
      <c r="H319" s="29">
        <v>1218</v>
      </c>
      <c r="I319" s="29">
        <v>1258</v>
      </c>
      <c r="J319" s="29">
        <v>1289</v>
      </c>
      <c r="K319" s="29">
        <v>1462</v>
      </c>
      <c r="L319" s="30">
        <v>1479</v>
      </c>
    </row>
    <row r="320" spans="1:12" x14ac:dyDescent="0.25">
      <c r="A320" s="1413"/>
      <c r="B320" s="1272"/>
      <c r="C320" s="1333" t="s">
        <v>427</v>
      </c>
      <c r="D320" s="1333"/>
      <c r="E320" s="28"/>
      <c r="F320" s="31">
        <f t="shared" ref="F320:L320" si="17">+F319-F318</f>
        <v>-577.2399999999999</v>
      </c>
      <c r="G320" s="31">
        <f t="shared" si="17"/>
        <v>-579.77000000000021</v>
      </c>
      <c r="H320" s="31">
        <f t="shared" si="17"/>
        <v>-577</v>
      </c>
      <c r="I320" s="31">
        <f t="shared" si="17"/>
        <v>-585</v>
      </c>
      <c r="J320" s="31">
        <f t="shared" si="17"/>
        <v>-575</v>
      </c>
      <c r="K320" s="31">
        <f t="shared" si="17"/>
        <v>-610</v>
      </c>
      <c r="L320" s="32">
        <f t="shared" si="17"/>
        <v>-594</v>
      </c>
    </row>
    <row r="321" spans="1:12" ht="16.5" thickBot="1" x14ac:dyDescent="0.3">
      <c r="A321" s="1413"/>
      <c r="B321" s="1409"/>
      <c r="C321" s="1335" t="s">
        <v>428</v>
      </c>
      <c r="D321" s="1335"/>
      <c r="E321" s="33"/>
      <c r="F321" s="34">
        <f t="shared" ref="F321:L321" si="18">(F319-F318)/F318*100</f>
        <v>-39.508031784924739</v>
      </c>
      <c r="G321" s="34">
        <f t="shared" si="18"/>
        <v>-35.511414098724153</v>
      </c>
      <c r="H321" s="34">
        <f t="shared" si="18"/>
        <v>-32.144846796657383</v>
      </c>
      <c r="I321" s="34">
        <f t="shared" si="18"/>
        <v>-31.74172544763972</v>
      </c>
      <c r="J321" s="34">
        <f t="shared" si="18"/>
        <v>-30.84763948497854</v>
      </c>
      <c r="K321" s="34">
        <f t="shared" si="18"/>
        <v>-29.440154440154444</v>
      </c>
      <c r="L321" s="35">
        <f t="shared" si="18"/>
        <v>-28.654124457308249</v>
      </c>
    </row>
    <row r="322" spans="1:12" s="64" customFormat="1" ht="15" customHeight="1" x14ac:dyDescent="0.25">
      <c r="A322" s="1413"/>
      <c r="B322" s="1408" t="s">
        <v>429</v>
      </c>
      <c r="C322" s="1147" t="s">
        <v>430</v>
      </c>
      <c r="D322" s="1147"/>
      <c r="E322" s="40"/>
      <c r="F322" s="40"/>
      <c r="G322" s="37">
        <v>40.806045340050382</v>
      </c>
      <c r="H322" s="37">
        <v>37.558974358974353</v>
      </c>
      <c r="I322" s="37">
        <v>41.339155749636099</v>
      </c>
      <c r="J322" s="37">
        <v>47.798360157910722</v>
      </c>
      <c r="K322" s="37">
        <v>46.837820914214149</v>
      </c>
      <c r="L322" s="334">
        <v>48.7</v>
      </c>
    </row>
    <row r="323" spans="1:12" x14ac:dyDescent="0.25">
      <c r="A323" s="1413"/>
      <c r="B323" s="1272"/>
      <c r="C323" s="1124" t="s">
        <v>431</v>
      </c>
      <c r="D323" s="1124"/>
      <c r="E323" s="28"/>
      <c r="F323" s="28"/>
      <c r="G323" s="29">
        <v>42.030237580993521</v>
      </c>
      <c r="H323" s="29">
        <v>40.111162575266327</v>
      </c>
      <c r="I323" s="29">
        <v>43.303571428571431</v>
      </c>
      <c r="J323" s="29">
        <v>51.52643335815339</v>
      </c>
      <c r="K323" s="29">
        <v>50.074962518740627</v>
      </c>
      <c r="L323" s="39">
        <v>50.6</v>
      </c>
    </row>
    <row r="324" spans="1:12" x14ac:dyDescent="0.25">
      <c r="A324" s="1413"/>
      <c r="B324" s="1272"/>
      <c r="C324" s="1124" t="s">
        <v>432</v>
      </c>
      <c r="D324" s="1124"/>
      <c r="E324" s="28"/>
      <c r="F324" s="28"/>
      <c r="G324" s="29">
        <v>39.810260014054819</v>
      </c>
      <c r="H324" s="29">
        <v>35.530191458026508</v>
      </c>
      <c r="I324" s="29">
        <v>39.828326180257513</v>
      </c>
      <c r="J324" s="29">
        <v>45.230769230769226</v>
      </c>
      <c r="K324" s="29">
        <v>44.516129032258064</v>
      </c>
      <c r="L324" s="39">
        <v>47.3</v>
      </c>
    </row>
    <row r="325" spans="1:12" ht="16.5" thickBot="1" x14ac:dyDescent="0.3">
      <c r="A325" s="1413"/>
      <c r="B325" s="1409"/>
      <c r="C325" s="1225" t="s">
        <v>354</v>
      </c>
      <c r="D325" s="1225"/>
      <c r="E325" s="33"/>
      <c r="F325" s="33"/>
      <c r="G325" s="34">
        <f t="shared" ref="G325:L325" si="19">+G324-G323</f>
        <v>-2.2199775669387023</v>
      </c>
      <c r="H325" s="34">
        <f t="shared" si="19"/>
        <v>-4.5809711172398195</v>
      </c>
      <c r="I325" s="34">
        <f t="shared" si="19"/>
        <v>-3.475245248313918</v>
      </c>
      <c r="J325" s="34">
        <f t="shared" si="19"/>
        <v>-6.295664127384164</v>
      </c>
      <c r="K325" s="34">
        <f t="shared" si="19"/>
        <v>-5.5588334864825626</v>
      </c>
      <c r="L325" s="35">
        <f t="shared" si="19"/>
        <v>-3.3000000000000043</v>
      </c>
    </row>
    <row r="326" spans="1:12" s="64" customFormat="1" ht="18.75" x14ac:dyDescent="0.25">
      <c r="A326" s="1413"/>
      <c r="B326" s="1408" t="s">
        <v>521</v>
      </c>
      <c r="C326" s="1317" t="s">
        <v>434</v>
      </c>
      <c r="D326" s="146" t="s">
        <v>435</v>
      </c>
      <c r="E326" s="40"/>
      <c r="F326" s="40"/>
      <c r="G326" s="40"/>
      <c r="H326" s="40"/>
      <c r="I326" s="40">
        <v>26</v>
      </c>
      <c r="J326" s="40">
        <v>17</v>
      </c>
      <c r="K326" s="40">
        <v>10</v>
      </c>
      <c r="L326" s="1059">
        <v>5</v>
      </c>
    </row>
    <row r="327" spans="1:12" ht="18.75" x14ac:dyDescent="0.25">
      <c r="A327" s="1413"/>
      <c r="B327" s="1272"/>
      <c r="C327" s="1309"/>
      <c r="D327" s="147" t="s">
        <v>436</v>
      </c>
      <c r="E327" s="28"/>
      <c r="F327" s="28"/>
      <c r="G327" s="28"/>
      <c r="H327" s="28"/>
      <c r="I327" s="28">
        <v>13</v>
      </c>
      <c r="J327" s="28">
        <v>9</v>
      </c>
      <c r="K327" s="28">
        <v>6</v>
      </c>
      <c r="L327" s="1059">
        <v>3</v>
      </c>
    </row>
    <row r="328" spans="1:12" ht="18.75" x14ac:dyDescent="0.25">
      <c r="A328" s="1413"/>
      <c r="B328" s="1272"/>
      <c r="C328" s="1309"/>
      <c r="D328" s="28" t="s">
        <v>437</v>
      </c>
      <c r="E328" s="28"/>
      <c r="F328" s="28"/>
      <c r="G328" s="28"/>
      <c r="H328" s="28"/>
      <c r="I328" s="28">
        <v>13</v>
      </c>
      <c r="J328" s="28">
        <v>8</v>
      </c>
      <c r="K328" s="28">
        <v>4</v>
      </c>
      <c r="L328" s="1059">
        <v>2</v>
      </c>
    </row>
    <row r="329" spans="1:12" x14ac:dyDescent="0.25">
      <c r="A329" s="1413"/>
      <c r="B329" s="1272"/>
      <c r="C329" s="1309"/>
      <c r="D329" s="148" t="s">
        <v>353</v>
      </c>
      <c r="E329" s="28"/>
      <c r="F329" s="28"/>
      <c r="G329" s="28"/>
      <c r="H329" s="28"/>
      <c r="I329" s="157">
        <f>I328-I327</f>
        <v>0</v>
      </c>
      <c r="J329" s="157">
        <f>J328-J327</f>
        <v>-1</v>
      </c>
      <c r="K329" s="157">
        <f>K328-K327</f>
        <v>-2</v>
      </c>
      <c r="L329" s="157">
        <f>L328-L327</f>
        <v>-1</v>
      </c>
    </row>
    <row r="330" spans="1:12" x14ac:dyDescent="0.25">
      <c r="A330" s="1413"/>
      <c r="B330" s="1272"/>
      <c r="C330" s="1309"/>
      <c r="D330" s="148" t="s">
        <v>270</v>
      </c>
      <c r="E330" s="28"/>
      <c r="F330" s="28"/>
      <c r="G330" s="28"/>
      <c r="H330" s="28"/>
      <c r="I330" s="158">
        <f>I328/I326*100</f>
        <v>50</v>
      </c>
      <c r="J330" s="158">
        <f>J328/J326*100</f>
        <v>47.058823529411761</v>
      </c>
      <c r="K330" s="158">
        <f>K328/K326*100</f>
        <v>40</v>
      </c>
      <c r="L330" s="158">
        <f>L328/L326*100</f>
        <v>40</v>
      </c>
    </row>
    <row r="331" spans="1:12" s="64" customFormat="1" ht="18.75" x14ac:dyDescent="0.25">
      <c r="A331" s="1413"/>
      <c r="B331" s="1272"/>
      <c r="C331" s="1309" t="s">
        <v>438</v>
      </c>
      <c r="D331" s="149" t="s">
        <v>435</v>
      </c>
      <c r="E331" s="44"/>
      <c r="F331" s="44"/>
      <c r="G331" s="44"/>
      <c r="H331" s="44"/>
      <c r="I331" s="44">
        <v>54</v>
      </c>
      <c r="J331" s="44">
        <v>22</v>
      </c>
      <c r="K331" s="44">
        <v>3</v>
      </c>
      <c r="L331" s="1059">
        <v>5</v>
      </c>
    </row>
    <row r="332" spans="1:12" ht="18.75" x14ac:dyDescent="0.25">
      <c r="A332" s="1413"/>
      <c r="B332" s="1272"/>
      <c r="C332" s="1309"/>
      <c r="D332" s="147" t="s">
        <v>436</v>
      </c>
      <c r="E332" s="28"/>
      <c r="F332" s="28"/>
      <c r="G332" s="28"/>
      <c r="H332" s="28"/>
      <c r="I332" s="28">
        <v>22</v>
      </c>
      <c r="J332" s="28">
        <v>10</v>
      </c>
      <c r="K332" s="28">
        <v>1</v>
      </c>
      <c r="L332" s="1059">
        <v>1</v>
      </c>
    </row>
    <row r="333" spans="1:12" ht="18.75" x14ac:dyDescent="0.25">
      <c r="A333" s="1413"/>
      <c r="B333" s="1272"/>
      <c r="C333" s="1309"/>
      <c r="D333" s="28" t="s">
        <v>437</v>
      </c>
      <c r="E333" s="28"/>
      <c r="F333" s="28"/>
      <c r="G333" s="28"/>
      <c r="H333" s="28"/>
      <c r="I333" s="28">
        <v>32</v>
      </c>
      <c r="J333" s="28">
        <v>12</v>
      </c>
      <c r="K333" s="28">
        <v>2</v>
      </c>
      <c r="L333" s="1059">
        <v>4</v>
      </c>
    </row>
    <row r="334" spans="1:12" x14ac:dyDescent="0.25">
      <c r="A334" s="1413"/>
      <c r="B334" s="1272"/>
      <c r="C334" s="1309"/>
      <c r="D334" s="148" t="s">
        <v>353</v>
      </c>
      <c r="E334" s="28"/>
      <c r="F334" s="28"/>
      <c r="G334" s="28"/>
      <c r="H334" s="28"/>
      <c r="I334" s="333">
        <f>I333-I332</f>
        <v>10</v>
      </c>
      <c r="J334" s="333">
        <f>J333-J332</f>
        <v>2</v>
      </c>
      <c r="K334" s="333">
        <f>K333-K332</f>
        <v>1</v>
      </c>
      <c r="L334" s="333">
        <f>L333-L332</f>
        <v>3</v>
      </c>
    </row>
    <row r="335" spans="1:12" ht="16.5" thickBot="1" x14ac:dyDescent="0.3">
      <c r="A335" s="1413"/>
      <c r="B335" s="1409"/>
      <c r="C335" s="1416"/>
      <c r="D335" s="217" t="s">
        <v>270</v>
      </c>
      <c r="E335" s="33"/>
      <c r="F335" s="33"/>
      <c r="G335" s="33"/>
      <c r="H335" s="33"/>
      <c r="I335" s="335">
        <f>I333/I331*100</f>
        <v>59.259259259259252</v>
      </c>
      <c r="J335" s="335">
        <f>J333/J331*100</f>
        <v>54.54545454545454</v>
      </c>
      <c r="K335" s="335">
        <f>K333/K331*100</f>
        <v>66.666666666666657</v>
      </c>
      <c r="L335" s="335">
        <f>L333/L331*100</f>
        <v>80</v>
      </c>
    </row>
    <row r="336" spans="1:12" ht="15" customHeight="1" x14ac:dyDescent="0.25">
      <c r="A336" s="1413"/>
      <c r="B336" s="1408" t="s">
        <v>180</v>
      </c>
      <c r="C336" s="1147" t="s">
        <v>435</v>
      </c>
      <c r="D336" s="1147"/>
      <c r="E336" s="40"/>
      <c r="F336" s="40"/>
      <c r="G336" s="40"/>
      <c r="H336" s="195">
        <v>10012</v>
      </c>
      <c r="I336" s="195">
        <v>10154</v>
      </c>
      <c r="J336" s="195">
        <v>10093</v>
      </c>
      <c r="K336" s="195">
        <v>10280</v>
      </c>
      <c r="L336" s="20"/>
    </row>
    <row r="337" spans="1:14" x14ac:dyDescent="0.25">
      <c r="A337" s="1413"/>
      <c r="B337" s="1272"/>
      <c r="C337" s="1124" t="s">
        <v>436</v>
      </c>
      <c r="D337" s="1124"/>
      <c r="E337" s="28"/>
      <c r="F337" s="28"/>
      <c r="G337" s="28"/>
      <c r="H337" s="96">
        <v>3257</v>
      </c>
      <c r="I337" s="96">
        <v>3246</v>
      </c>
      <c r="J337" s="96">
        <v>3263</v>
      </c>
      <c r="K337" s="96">
        <v>3317</v>
      </c>
      <c r="L337" s="21"/>
    </row>
    <row r="338" spans="1:14" x14ac:dyDescent="0.25">
      <c r="A338" s="1413"/>
      <c r="B338" s="1272"/>
      <c r="C338" s="1124" t="s">
        <v>437</v>
      </c>
      <c r="D338" s="1124"/>
      <c r="E338" s="28"/>
      <c r="F338" s="28"/>
      <c r="G338" s="28"/>
      <c r="H338" s="96">
        <v>6755</v>
      </c>
      <c r="I338" s="96">
        <v>6908</v>
      </c>
      <c r="J338" s="96">
        <v>6830</v>
      </c>
      <c r="K338" s="96">
        <v>6963</v>
      </c>
      <c r="L338" s="21"/>
    </row>
    <row r="339" spans="1:14" x14ac:dyDescent="0.25">
      <c r="A339" s="1413"/>
      <c r="B339" s="1272"/>
      <c r="C339" s="1112" t="s">
        <v>353</v>
      </c>
      <c r="D339" s="1112"/>
      <c r="E339" s="28"/>
      <c r="F339" s="28"/>
      <c r="G339" s="44"/>
      <c r="H339" s="157">
        <f>H338-H337</f>
        <v>3498</v>
      </c>
      <c r="I339" s="157">
        <f>I338-I337</f>
        <v>3662</v>
      </c>
      <c r="J339" s="157">
        <f>J338-J337</f>
        <v>3567</v>
      </c>
      <c r="K339" s="157">
        <f>K338-K337</f>
        <v>3646</v>
      </c>
      <c r="L339" s="21"/>
    </row>
    <row r="340" spans="1:14" ht="16.5" thickBot="1" x14ac:dyDescent="0.3">
      <c r="A340" s="1414"/>
      <c r="B340" s="1273"/>
      <c r="C340" s="1178" t="s">
        <v>270</v>
      </c>
      <c r="D340" s="1178"/>
      <c r="E340" s="110"/>
      <c r="F340" s="110"/>
      <c r="G340" s="336"/>
      <c r="H340" s="165">
        <f>H338/H336*100</f>
        <v>67.469037155413503</v>
      </c>
      <c r="I340" s="165">
        <f>I338/I336*100</f>
        <v>68.032302540870589</v>
      </c>
      <c r="J340" s="165">
        <f>J338/J336*100</f>
        <v>67.670662835628661</v>
      </c>
      <c r="K340" s="165">
        <f>K338/K336*100</f>
        <v>67.733463035019454</v>
      </c>
      <c r="L340" s="53"/>
    </row>
    <row r="341" spans="1:14" ht="16.5" thickBot="1" x14ac:dyDescent="0.3">
      <c r="A341" s="142" t="s">
        <v>248</v>
      </c>
      <c r="B341" s="338" t="s">
        <v>249</v>
      </c>
      <c r="C341" s="1433"/>
      <c r="D341" s="1433"/>
      <c r="E341" s="621">
        <v>2005</v>
      </c>
      <c r="F341" s="621">
        <v>2010</v>
      </c>
      <c r="G341" s="621">
        <v>2015</v>
      </c>
      <c r="H341" s="621">
        <v>2020</v>
      </c>
      <c r="I341" s="621">
        <v>2021</v>
      </c>
      <c r="J341" s="621">
        <v>2022</v>
      </c>
      <c r="K341" s="621">
        <v>2023</v>
      </c>
      <c r="L341" s="621">
        <v>2024</v>
      </c>
    </row>
    <row r="342" spans="1:14" s="64" customFormat="1" x14ac:dyDescent="0.25">
      <c r="A342" s="1391" t="s">
        <v>439</v>
      </c>
      <c r="B342" s="1434" t="s">
        <v>440</v>
      </c>
      <c r="C342" s="1250" t="s">
        <v>251</v>
      </c>
      <c r="D342" s="1250"/>
      <c r="E342" s="123">
        <v>83.4</v>
      </c>
      <c r="F342" s="124">
        <v>84.8</v>
      </c>
      <c r="G342" s="124">
        <v>85.2</v>
      </c>
      <c r="H342" s="124">
        <v>83.5</v>
      </c>
      <c r="I342" s="124">
        <v>85.4</v>
      </c>
      <c r="J342" s="353">
        <v>86.022116995322392</v>
      </c>
      <c r="K342" s="202">
        <v>86.3</v>
      </c>
      <c r="L342" s="125"/>
      <c r="M342" s="326"/>
      <c r="N342" s="326"/>
    </row>
    <row r="343" spans="1:14" x14ac:dyDescent="0.25">
      <c r="A343" s="1385"/>
      <c r="B343" s="1435"/>
      <c r="C343" s="1236" t="s">
        <v>257</v>
      </c>
      <c r="D343" s="1236"/>
      <c r="E343" s="57">
        <v>80.3</v>
      </c>
      <c r="F343" s="58">
        <v>81.599999999999994</v>
      </c>
      <c r="G343" s="58">
        <v>82.6</v>
      </c>
      <c r="H343" s="58">
        <v>80.400000000000006</v>
      </c>
      <c r="I343" s="58">
        <v>81.900000000000006</v>
      </c>
      <c r="J343" s="337">
        <v>82.921234373402129</v>
      </c>
      <c r="K343" s="28">
        <v>84.1</v>
      </c>
      <c r="L343" s="21"/>
    </row>
    <row r="344" spans="1:14" x14ac:dyDescent="0.25">
      <c r="A344" s="1385"/>
      <c r="B344" s="1435"/>
      <c r="C344" s="1236" t="s">
        <v>263</v>
      </c>
      <c r="D344" s="1236"/>
      <c r="E344" s="57">
        <v>85.9</v>
      </c>
      <c r="F344" s="58">
        <v>87.4</v>
      </c>
      <c r="G344" s="58">
        <v>87.2</v>
      </c>
      <c r="H344" s="58">
        <v>86.1</v>
      </c>
      <c r="I344" s="58">
        <v>88.3</v>
      </c>
      <c r="J344" s="337">
        <v>88.529656399859817</v>
      </c>
      <c r="K344" s="28">
        <v>87.9</v>
      </c>
      <c r="L344" s="21"/>
    </row>
    <row r="345" spans="1:14" s="64" customFormat="1" ht="16.5" thickBot="1" x14ac:dyDescent="0.3">
      <c r="A345" s="1385"/>
      <c r="B345" s="1436"/>
      <c r="C345" s="1243" t="s">
        <v>441</v>
      </c>
      <c r="D345" s="1243"/>
      <c r="E345" s="339">
        <f t="shared" ref="E345:K345" si="20">+E344-E343</f>
        <v>5.6000000000000085</v>
      </c>
      <c r="F345" s="339">
        <f t="shared" si="20"/>
        <v>5.8000000000000114</v>
      </c>
      <c r="G345" s="339">
        <f t="shared" si="20"/>
        <v>4.6000000000000085</v>
      </c>
      <c r="H345" s="339">
        <f t="shared" si="20"/>
        <v>5.6999999999999886</v>
      </c>
      <c r="I345" s="339">
        <f t="shared" si="20"/>
        <v>6.3999999999999915</v>
      </c>
      <c r="J345" s="339">
        <f t="shared" si="20"/>
        <v>5.6084220264576885</v>
      </c>
      <c r="K345" s="339">
        <f t="shared" si="20"/>
        <v>3.8000000000000114</v>
      </c>
      <c r="L345" s="204"/>
    </row>
    <row r="346" spans="1:14" s="64" customFormat="1" x14ac:dyDescent="0.25">
      <c r="A346" s="1385"/>
      <c r="B346" s="1395" t="s">
        <v>192</v>
      </c>
      <c r="C346" s="1249" t="s">
        <v>251</v>
      </c>
      <c r="D346" s="1250"/>
      <c r="E346" s="107"/>
      <c r="F346" s="341"/>
      <c r="G346" s="224">
        <v>5788</v>
      </c>
      <c r="H346" s="224">
        <v>6376</v>
      </c>
      <c r="I346" s="224">
        <v>6313</v>
      </c>
      <c r="J346" s="195">
        <v>6592</v>
      </c>
      <c r="K346" s="225">
        <v>6890</v>
      </c>
      <c r="L346" s="325"/>
    </row>
    <row r="347" spans="1:14" x14ac:dyDescent="0.25">
      <c r="A347" s="1385"/>
      <c r="B347" s="1396"/>
      <c r="C347" s="1235" t="s">
        <v>257</v>
      </c>
      <c r="D347" s="1236"/>
      <c r="E347" s="57"/>
      <c r="F347" s="218"/>
      <c r="G347" s="219">
        <v>2699</v>
      </c>
      <c r="H347" s="219">
        <v>2898</v>
      </c>
      <c r="I347" s="219">
        <v>2857</v>
      </c>
      <c r="J347" s="96">
        <v>2959</v>
      </c>
      <c r="K347" s="96">
        <v>3235</v>
      </c>
      <c r="L347" s="21"/>
    </row>
    <row r="348" spans="1:14" x14ac:dyDescent="0.25">
      <c r="A348" s="1385"/>
      <c r="B348" s="1396"/>
      <c r="C348" s="1235" t="s">
        <v>263</v>
      </c>
      <c r="D348" s="1236"/>
      <c r="E348" s="57"/>
      <c r="F348" s="218"/>
      <c r="G348" s="219">
        <v>3089</v>
      </c>
      <c r="H348" s="219">
        <v>3478</v>
      </c>
      <c r="I348" s="219">
        <v>3456</v>
      </c>
      <c r="J348" s="96">
        <v>3633</v>
      </c>
      <c r="K348" s="96">
        <v>3655</v>
      </c>
      <c r="L348" s="21"/>
    </row>
    <row r="349" spans="1:14" s="64" customFormat="1" ht="16.5" thickBot="1" x14ac:dyDescent="0.3">
      <c r="A349" s="1385"/>
      <c r="B349" s="1397"/>
      <c r="C349" s="1141" t="s">
        <v>270</v>
      </c>
      <c r="D349" s="1410"/>
      <c r="E349" s="350"/>
      <c r="F349" s="350"/>
      <c r="G349" s="351">
        <f>G348/G346*100</f>
        <v>53.369039391845199</v>
      </c>
      <c r="H349" s="351">
        <f>H348/H346*100</f>
        <v>54.548306148055204</v>
      </c>
      <c r="I349" s="351">
        <f>I348/I346*100</f>
        <v>54.744178678916519</v>
      </c>
      <c r="J349" s="351">
        <f>J348/J346*100</f>
        <v>55.112257281553397</v>
      </c>
      <c r="K349" s="351">
        <f>K348/K346*100</f>
        <v>53.047895500725694</v>
      </c>
      <c r="L349" s="352"/>
    </row>
    <row r="350" spans="1:14" ht="16.5" thickBot="1" x14ac:dyDescent="0.3">
      <c r="A350" s="151" t="s">
        <v>248</v>
      </c>
      <c r="B350" s="725" t="s">
        <v>249</v>
      </c>
      <c r="C350" s="1129"/>
      <c r="D350" s="1129"/>
      <c r="E350" s="695"/>
      <c r="F350" s="695" t="s">
        <v>443</v>
      </c>
      <c r="G350" s="695" t="s">
        <v>444</v>
      </c>
      <c r="H350" s="695" t="s">
        <v>445</v>
      </c>
      <c r="I350" s="695" t="s">
        <v>446</v>
      </c>
      <c r="J350" s="695" t="s">
        <v>447</v>
      </c>
      <c r="K350" s="695" t="s">
        <v>448</v>
      </c>
      <c r="L350" s="696">
        <v>2024</v>
      </c>
    </row>
    <row r="351" spans="1:14" x14ac:dyDescent="0.25">
      <c r="A351" s="1386" t="s">
        <v>450</v>
      </c>
      <c r="B351" s="1427" t="s">
        <v>199</v>
      </c>
      <c r="C351" s="1388" t="s">
        <v>451</v>
      </c>
      <c r="D351" s="238" t="s">
        <v>435</v>
      </c>
      <c r="E351" s="220"/>
      <c r="F351" s="192">
        <v>6918</v>
      </c>
      <c r="G351" s="192">
        <v>6833</v>
      </c>
      <c r="H351" s="192">
        <v>6194</v>
      </c>
      <c r="I351" s="192">
        <v>5950</v>
      </c>
      <c r="J351" s="192">
        <v>5704</v>
      </c>
      <c r="K351" s="220">
        <v>5601</v>
      </c>
      <c r="L351" s="87"/>
    </row>
    <row r="352" spans="1:14" x14ac:dyDescent="0.25">
      <c r="A352" s="1386"/>
      <c r="B352" s="1245"/>
      <c r="C352" s="1348"/>
      <c r="D352" s="227" t="s">
        <v>436</v>
      </c>
      <c r="E352" s="96"/>
      <c r="F352" s="96">
        <v>3524</v>
      </c>
      <c r="G352" s="96">
        <v>3420</v>
      </c>
      <c r="H352" s="96">
        <v>3152</v>
      </c>
      <c r="I352" s="96">
        <v>3046</v>
      </c>
      <c r="J352" s="96">
        <v>2946</v>
      </c>
      <c r="K352" s="96">
        <v>2855</v>
      </c>
      <c r="L352" s="21"/>
    </row>
    <row r="353" spans="1:12" ht="16.5" thickBot="1" x14ac:dyDescent="0.3">
      <c r="A353" s="1386"/>
      <c r="B353" s="1245"/>
      <c r="C353" s="1349"/>
      <c r="D353" s="239" t="s">
        <v>437</v>
      </c>
      <c r="E353" s="190"/>
      <c r="F353" s="190">
        <v>3394</v>
      </c>
      <c r="G353" s="190">
        <v>3413</v>
      </c>
      <c r="H353" s="190">
        <v>3042</v>
      </c>
      <c r="I353" s="190">
        <v>2904</v>
      </c>
      <c r="J353" s="190">
        <v>2758</v>
      </c>
      <c r="K353" s="190">
        <v>2746</v>
      </c>
      <c r="L353" s="22"/>
    </row>
    <row r="354" spans="1:12" ht="15" customHeight="1" x14ac:dyDescent="0.25">
      <c r="A354" s="1386"/>
      <c r="B354" s="1245"/>
      <c r="C354" s="1347" t="s">
        <v>452</v>
      </c>
      <c r="D354" s="229" t="s">
        <v>435</v>
      </c>
      <c r="E354" s="225"/>
      <c r="F354" s="342">
        <v>3664</v>
      </c>
      <c r="G354" s="343">
        <v>3839</v>
      </c>
      <c r="H354" s="343">
        <v>3707</v>
      </c>
      <c r="I354" s="343">
        <v>3824</v>
      </c>
      <c r="J354" s="342">
        <v>3825</v>
      </c>
      <c r="K354" s="225">
        <v>3668</v>
      </c>
      <c r="L354" s="20"/>
    </row>
    <row r="355" spans="1:12" x14ac:dyDescent="0.25">
      <c r="A355" s="1386"/>
      <c r="B355" s="1245"/>
      <c r="C355" s="1348"/>
      <c r="D355" s="227" t="s">
        <v>436</v>
      </c>
      <c r="E355" s="96"/>
      <c r="F355" s="96">
        <v>1908</v>
      </c>
      <c r="G355" s="96">
        <v>1980</v>
      </c>
      <c r="H355" s="96">
        <v>1969</v>
      </c>
      <c r="I355" s="96">
        <v>2028</v>
      </c>
      <c r="J355" s="96">
        <v>2000</v>
      </c>
      <c r="K355" s="96">
        <v>1902</v>
      </c>
      <c r="L355" s="21"/>
    </row>
    <row r="356" spans="1:12" ht="16.5" thickBot="1" x14ac:dyDescent="0.3">
      <c r="A356" s="1386"/>
      <c r="B356" s="1245"/>
      <c r="C356" s="1349"/>
      <c r="D356" s="239" t="s">
        <v>437</v>
      </c>
      <c r="E356" s="190"/>
      <c r="F356" s="190">
        <v>1756</v>
      </c>
      <c r="G356" s="190">
        <v>1859</v>
      </c>
      <c r="H356" s="190">
        <v>1738</v>
      </c>
      <c r="I356" s="190">
        <v>1796</v>
      </c>
      <c r="J356" s="190">
        <v>1825</v>
      </c>
      <c r="K356" s="190">
        <v>1766</v>
      </c>
      <c r="L356" s="22"/>
    </row>
    <row r="357" spans="1:12" x14ac:dyDescent="0.25">
      <c r="A357" s="1386"/>
      <c r="B357" s="1245"/>
      <c r="C357" s="1352" t="s">
        <v>453</v>
      </c>
      <c r="D357" s="1250"/>
      <c r="E357" s="225"/>
      <c r="F357" s="260">
        <f>+(F354/F351)*100</f>
        <v>52.963284186180978</v>
      </c>
      <c r="G357" s="260">
        <f t="shared" ref="G357:J357" si="21">+(G354/G351)*100</f>
        <v>56.183228450168301</v>
      </c>
      <c r="H357" s="260">
        <f t="shared" si="21"/>
        <v>59.84824023248305</v>
      </c>
      <c r="I357" s="260">
        <f t="shared" si="21"/>
        <v>64.268907563025209</v>
      </c>
      <c r="J357" s="260">
        <f t="shared" si="21"/>
        <v>67.058204768583451</v>
      </c>
      <c r="K357" s="260">
        <f>+(K354/K351)*100</f>
        <v>65.488305659703627</v>
      </c>
      <c r="L357" s="20"/>
    </row>
    <row r="358" spans="1:12" x14ac:dyDescent="0.25">
      <c r="A358" s="1386"/>
      <c r="B358" s="1245"/>
      <c r="C358" s="1363" t="s">
        <v>454</v>
      </c>
      <c r="D358" s="1236"/>
      <c r="E358" s="96"/>
      <c r="F358" s="340">
        <v>54.143019296254259</v>
      </c>
      <c r="G358" s="340">
        <v>57.894736842105267</v>
      </c>
      <c r="H358" s="340">
        <v>62.468274111675129</v>
      </c>
      <c r="I358" s="340">
        <v>66.579120157583716</v>
      </c>
      <c r="J358" s="340">
        <v>67.888662593346922</v>
      </c>
      <c r="K358" s="340">
        <v>67.888662593346922</v>
      </c>
      <c r="L358" s="21"/>
    </row>
    <row r="359" spans="1:12" x14ac:dyDescent="0.25">
      <c r="A359" s="1386"/>
      <c r="B359" s="1245"/>
      <c r="C359" s="1363" t="s">
        <v>455</v>
      </c>
      <c r="D359" s="1236"/>
      <c r="E359" s="28"/>
      <c r="F359" s="340">
        <v>51.73836181496759</v>
      </c>
      <c r="G359" s="340">
        <v>54.46820978611192</v>
      </c>
      <c r="H359" s="340">
        <v>57.133464825772521</v>
      </c>
      <c r="I359" s="340">
        <v>61.845730027548207</v>
      </c>
      <c r="J359" s="340">
        <v>66.171138506163885</v>
      </c>
      <c r="K359" s="340">
        <v>66.171138506163885</v>
      </c>
      <c r="L359" s="21"/>
    </row>
    <row r="360" spans="1:12" ht="16.5" thickBot="1" x14ac:dyDescent="0.3">
      <c r="A360" s="1386"/>
      <c r="B360" s="1428"/>
      <c r="C360" s="1383" t="s">
        <v>354</v>
      </c>
      <c r="D360" s="1384"/>
      <c r="E360" s="110"/>
      <c r="F360" s="348">
        <f t="shared" ref="F360:J360" si="22">+F359-F358</f>
        <v>-2.4046574812866695</v>
      </c>
      <c r="G360" s="349">
        <f t="shared" si="22"/>
        <v>-3.4265270559933469</v>
      </c>
      <c r="H360" s="349">
        <f t="shared" si="22"/>
        <v>-5.3348092859026082</v>
      </c>
      <c r="I360" s="349">
        <f t="shared" si="22"/>
        <v>-4.7333901300355095</v>
      </c>
      <c r="J360" s="349">
        <f t="shared" si="22"/>
        <v>-1.7175240871830368</v>
      </c>
      <c r="K360" s="349">
        <f>+K359-K358</f>
        <v>-1.7175240871830368</v>
      </c>
      <c r="L360" s="53"/>
    </row>
    <row r="361" spans="1:12" ht="16.5" thickBot="1" x14ac:dyDescent="0.3">
      <c r="A361" s="151" t="s">
        <v>248</v>
      </c>
      <c r="B361" s="725" t="s">
        <v>249</v>
      </c>
      <c r="C361" s="1129"/>
      <c r="D361" s="1129"/>
      <c r="E361" s="695" t="s">
        <v>442</v>
      </c>
      <c r="F361" s="695" t="s">
        <v>443</v>
      </c>
      <c r="G361" s="695" t="s">
        <v>444</v>
      </c>
      <c r="H361" s="695" t="s">
        <v>445</v>
      </c>
      <c r="I361" s="695" t="s">
        <v>446</v>
      </c>
      <c r="J361" s="695" t="s">
        <v>447</v>
      </c>
      <c r="K361" s="695" t="s">
        <v>448</v>
      </c>
      <c r="L361" s="696" t="s">
        <v>449</v>
      </c>
    </row>
    <row r="362" spans="1:12" x14ac:dyDescent="0.25">
      <c r="A362" s="1429" t="s">
        <v>456</v>
      </c>
      <c r="B362" s="1355" t="s">
        <v>457</v>
      </c>
      <c r="C362" s="1388" t="s">
        <v>458</v>
      </c>
      <c r="D362" s="238" t="s">
        <v>459</v>
      </c>
      <c r="E362" s="192" t="s">
        <v>460</v>
      </c>
      <c r="F362" s="192">
        <v>2562</v>
      </c>
      <c r="G362" s="192">
        <v>2701</v>
      </c>
      <c r="H362" s="192">
        <v>2568</v>
      </c>
      <c r="I362" s="192">
        <v>2433</v>
      </c>
      <c r="J362" s="192">
        <v>2557</v>
      </c>
      <c r="K362" s="968">
        <v>2515</v>
      </c>
      <c r="L362" s="87"/>
    </row>
    <row r="363" spans="1:12" ht="14.1" customHeight="1" x14ac:dyDescent="0.25">
      <c r="A363" s="1429"/>
      <c r="B363" s="1355"/>
      <c r="C363" s="1348"/>
      <c r="D363" s="227" t="s">
        <v>436</v>
      </c>
      <c r="E363" s="96"/>
      <c r="F363" s="96">
        <v>1166</v>
      </c>
      <c r="G363" s="96">
        <v>1225</v>
      </c>
      <c r="H363" s="96">
        <v>1163</v>
      </c>
      <c r="I363" s="96">
        <v>1108</v>
      </c>
      <c r="J363" s="96">
        <v>1158</v>
      </c>
      <c r="K363" s="969">
        <v>1145</v>
      </c>
      <c r="L363" s="21"/>
    </row>
    <row r="364" spans="1:12" ht="16.5" thickBot="1" x14ac:dyDescent="0.3">
      <c r="A364" s="1429"/>
      <c r="B364" s="1355"/>
      <c r="C364" s="1349"/>
      <c r="D364" s="239" t="s">
        <v>437</v>
      </c>
      <c r="E364" s="190"/>
      <c r="F364" s="190">
        <v>1396</v>
      </c>
      <c r="G364" s="190">
        <v>1476</v>
      </c>
      <c r="H364" s="190">
        <v>1405</v>
      </c>
      <c r="I364" s="190">
        <v>1325</v>
      </c>
      <c r="J364" s="190">
        <v>1399</v>
      </c>
      <c r="K364" s="970">
        <v>1370</v>
      </c>
      <c r="L364" s="22"/>
    </row>
    <row r="365" spans="1:12" x14ac:dyDescent="0.25">
      <c r="A365" s="1429"/>
      <c r="B365" s="1355"/>
      <c r="C365" s="1347" t="s">
        <v>461</v>
      </c>
      <c r="D365" s="229" t="s">
        <v>459</v>
      </c>
      <c r="E365" s="195"/>
      <c r="F365" s="195">
        <v>1074</v>
      </c>
      <c r="G365" s="195">
        <f>544+592</f>
        <v>1136</v>
      </c>
      <c r="H365" s="195">
        <v>1229</v>
      </c>
      <c r="I365" s="195">
        <v>1208</v>
      </c>
      <c r="J365" s="195">
        <f>574+620</f>
        <v>1194</v>
      </c>
      <c r="K365" s="971">
        <v>1215</v>
      </c>
      <c r="L365" s="20"/>
    </row>
    <row r="366" spans="1:12" x14ac:dyDescent="0.25">
      <c r="A366" s="1429"/>
      <c r="B366" s="1355"/>
      <c r="C366" s="1348"/>
      <c r="D366" s="227" t="s">
        <v>436</v>
      </c>
      <c r="E366" s="96"/>
      <c r="F366" s="96">
        <v>553</v>
      </c>
      <c r="G366" s="96">
        <f>276+322</f>
        <v>598</v>
      </c>
      <c r="H366" s="96">
        <v>661</v>
      </c>
      <c r="I366" s="96">
        <v>646</v>
      </c>
      <c r="J366" s="96">
        <f>327+345</f>
        <v>672</v>
      </c>
      <c r="K366" s="969">
        <v>646</v>
      </c>
      <c r="L366" s="21"/>
    </row>
    <row r="367" spans="1:12" ht="16.5" thickBot="1" x14ac:dyDescent="0.3">
      <c r="A367" s="1429"/>
      <c r="B367" s="1355"/>
      <c r="C367" s="1349"/>
      <c r="D367" s="239" t="s">
        <v>437</v>
      </c>
      <c r="E367" s="190"/>
      <c r="F367" s="190">
        <v>521</v>
      </c>
      <c r="G367" s="190">
        <f>268+270</f>
        <v>538</v>
      </c>
      <c r="H367" s="190">
        <v>568</v>
      </c>
      <c r="I367" s="190">
        <v>562</v>
      </c>
      <c r="J367" s="190">
        <f>247+275</f>
        <v>522</v>
      </c>
      <c r="K367" s="190">
        <v>570</v>
      </c>
      <c r="L367" s="22"/>
    </row>
    <row r="368" spans="1:12" x14ac:dyDescent="0.25">
      <c r="A368" s="1429"/>
      <c r="B368" s="1355"/>
      <c r="C368" s="1445" t="s">
        <v>462</v>
      </c>
      <c r="D368" s="1186"/>
      <c r="E368" s="220"/>
      <c r="F368" s="240">
        <f>F366/F363*100</f>
        <v>47.427101200686103</v>
      </c>
      <c r="G368" s="240">
        <f t="shared" ref="G368:I369" si="23">G366/G363*100</f>
        <v>48.816326530612244</v>
      </c>
      <c r="H368" s="240">
        <f t="shared" si="23"/>
        <v>56.835769561478934</v>
      </c>
      <c r="I368" s="240">
        <f t="shared" si="23"/>
        <v>58.303249097472921</v>
      </c>
      <c r="J368" s="240">
        <f>J366/J363*100</f>
        <v>58.031088082901547</v>
      </c>
      <c r="K368" s="240">
        <f>K366/K363*100</f>
        <v>56.419213973799131</v>
      </c>
      <c r="L368" s="87"/>
    </row>
    <row r="369" spans="1:12" x14ac:dyDescent="0.25">
      <c r="A369" s="1429"/>
      <c r="B369" s="1355"/>
      <c r="C369" s="1123" t="s">
        <v>463</v>
      </c>
      <c r="D369" s="1124"/>
      <c r="E369" s="96"/>
      <c r="F369" s="29">
        <f>F367/F364*100</f>
        <v>37.320916905444122</v>
      </c>
      <c r="G369" s="29">
        <f t="shared" si="23"/>
        <v>36.449864498644985</v>
      </c>
      <c r="H369" s="29">
        <f t="shared" si="23"/>
        <v>40.427046263345197</v>
      </c>
      <c r="I369" s="29">
        <f t="shared" si="23"/>
        <v>42.415094339622641</v>
      </c>
      <c r="J369" s="29">
        <f>J367/J364*100</f>
        <v>37.312365975696927</v>
      </c>
      <c r="K369" s="29">
        <f>K367/K364*100</f>
        <v>41.605839416058394</v>
      </c>
      <c r="L369" s="21"/>
    </row>
    <row r="370" spans="1:12" ht="16.5" thickBot="1" x14ac:dyDescent="0.3">
      <c r="A370" s="1429"/>
      <c r="B370" s="1355"/>
      <c r="C370" s="1353" t="s">
        <v>354</v>
      </c>
      <c r="D370" s="1178"/>
      <c r="E370" s="33"/>
      <c r="F370" s="161">
        <f>+F369-F368</f>
        <v>-10.106184295241981</v>
      </c>
      <c r="G370" s="161">
        <f t="shared" ref="G370:I370" si="24">+G369-G368</f>
        <v>-12.366462031967259</v>
      </c>
      <c r="H370" s="161">
        <f t="shared" si="24"/>
        <v>-16.408723298133737</v>
      </c>
      <c r="I370" s="161">
        <f t="shared" si="24"/>
        <v>-15.88815475785028</v>
      </c>
      <c r="J370" s="161">
        <f>+J369-J368</f>
        <v>-20.71872210720462</v>
      </c>
      <c r="K370" s="161">
        <f>+K369-K368</f>
        <v>-14.813374557740737</v>
      </c>
      <c r="L370" s="22"/>
    </row>
    <row r="371" spans="1:12" ht="16.5" thickBot="1" x14ac:dyDescent="0.3">
      <c r="A371" s="1382"/>
      <c r="B371" s="151" t="s">
        <v>249</v>
      </c>
      <c r="C371" s="1129"/>
      <c r="D371" s="1440"/>
      <c r="E371" s="708" t="s">
        <v>442</v>
      </c>
      <c r="F371" s="621" t="s">
        <v>443</v>
      </c>
      <c r="G371" s="621" t="s">
        <v>444</v>
      </c>
      <c r="H371" s="621" t="s">
        <v>445</v>
      </c>
      <c r="I371" s="621" t="s">
        <v>446</v>
      </c>
      <c r="J371" s="621" t="s">
        <v>447</v>
      </c>
      <c r="K371" s="621" t="s">
        <v>448</v>
      </c>
      <c r="L371" s="621" t="s">
        <v>449</v>
      </c>
    </row>
    <row r="372" spans="1:12" ht="15" customHeight="1" x14ac:dyDescent="0.25">
      <c r="A372" s="1382"/>
      <c r="B372" s="1355" t="s">
        <v>464</v>
      </c>
      <c r="C372" s="1153" t="s">
        <v>435</v>
      </c>
      <c r="D372" s="1122"/>
      <c r="E372" s="40"/>
      <c r="F372" s="195">
        <v>176</v>
      </c>
      <c r="G372" s="195">
        <v>167</v>
      </c>
      <c r="H372" s="195">
        <v>186</v>
      </c>
      <c r="I372" s="195">
        <v>148</v>
      </c>
      <c r="J372" s="195">
        <v>160</v>
      </c>
      <c r="K372" s="195">
        <v>147</v>
      </c>
      <c r="L372" s="20"/>
    </row>
    <row r="373" spans="1:12" x14ac:dyDescent="0.25">
      <c r="A373" s="1382"/>
      <c r="B373" s="1449"/>
      <c r="C373" s="1148" t="s">
        <v>436</v>
      </c>
      <c r="D373" s="1124"/>
      <c r="E373" s="96"/>
      <c r="F373" s="96">
        <v>174</v>
      </c>
      <c r="G373" s="96">
        <v>155</v>
      </c>
      <c r="H373" s="96">
        <v>178</v>
      </c>
      <c r="I373" s="96">
        <v>141</v>
      </c>
      <c r="J373" s="96">
        <v>148</v>
      </c>
      <c r="K373" s="96">
        <v>142</v>
      </c>
      <c r="L373" s="21"/>
    </row>
    <row r="374" spans="1:12" x14ac:dyDescent="0.25">
      <c r="A374" s="1382"/>
      <c r="B374" s="1449"/>
      <c r="C374" s="1148" t="s">
        <v>437</v>
      </c>
      <c r="D374" s="1124"/>
      <c r="E374" s="96"/>
      <c r="F374" s="96">
        <v>2</v>
      </c>
      <c r="G374" s="96">
        <v>12</v>
      </c>
      <c r="H374" s="96">
        <v>8</v>
      </c>
      <c r="I374" s="96">
        <v>7</v>
      </c>
      <c r="J374" s="96">
        <v>12</v>
      </c>
      <c r="K374" s="96">
        <v>5</v>
      </c>
      <c r="L374" s="21"/>
    </row>
    <row r="375" spans="1:12" ht="16.5" thickBot="1" x14ac:dyDescent="0.3">
      <c r="A375" s="1382"/>
      <c r="B375" s="1449"/>
      <c r="C375" s="1154" t="s">
        <v>270</v>
      </c>
      <c r="D375" s="1288"/>
      <c r="E375" s="190"/>
      <c r="F375" s="285">
        <f t="shared" ref="F375:K375" si="25">F374/F372*100</f>
        <v>1.1363636363636365</v>
      </c>
      <c r="G375" s="285">
        <f t="shared" si="25"/>
        <v>7.1856287425149699</v>
      </c>
      <c r="H375" s="285">
        <f t="shared" si="25"/>
        <v>4.3010752688172049</v>
      </c>
      <c r="I375" s="285">
        <f t="shared" si="25"/>
        <v>4.7297297297297298</v>
      </c>
      <c r="J375" s="285">
        <f t="shared" si="25"/>
        <v>7.5</v>
      </c>
      <c r="K375" s="285">
        <f t="shared" si="25"/>
        <v>3.4013605442176873</v>
      </c>
      <c r="L375" s="22"/>
    </row>
    <row r="376" spans="1:12" ht="15" customHeight="1" x14ac:dyDescent="0.25">
      <c r="A376" s="1382"/>
      <c r="B376" s="1449"/>
      <c r="C376" s="1116" t="s">
        <v>522</v>
      </c>
      <c r="D376" s="248" t="s">
        <v>251</v>
      </c>
      <c r="E376" s="249"/>
      <c r="F376" s="344">
        <v>176</v>
      </c>
      <c r="G376" s="344">
        <v>167</v>
      </c>
      <c r="H376" s="344">
        <v>186</v>
      </c>
      <c r="I376" s="344">
        <v>148</v>
      </c>
      <c r="J376" s="344">
        <v>160</v>
      </c>
      <c r="K376" s="225">
        <v>147</v>
      </c>
      <c r="L376" s="20"/>
    </row>
    <row r="377" spans="1:12" ht="15" customHeight="1" x14ac:dyDescent="0.25">
      <c r="A377" s="1382"/>
      <c r="B377" s="1449"/>
      <c r="C377" s="1117"/>
      <c r="D377" s="28" t="s">
        <v>257</v>
      </c>
      <c r="E377" s="94"/>
      <c r="F377" s="181">
        <v>174</v>
      </c>
      <c r="G377" s="181">
        <v>155</v>
      </c>
      <c r="H377" s="181">
        <v>178</v>
      </c>
      <c r="I377" s="181">
        <v>141</v>
      </c>
      <c r="J377" s="181">
        <v>148</v>
      </c>
      <c r="K377" s="96">
        <v>142</v>
      </c>
      <c r="L377" s="21"/>
    </row>
    <row r="378" spans="1:12" ht="15" customHeight="1" x14ac:dyDescent="0.25">
      <c r="A378" s="1382"/>
      <c r="B378" s="1449"/>
      <c r="C378" s="1117"/>
      <c r="D378" s="28" t="s">
        <v>263</v>
      </c>
      <c r="E378" s="94"/>
      <c r="F378" s="181">
        <v>2</v>
      </c>
      <c r="G378" s="181">
        <v>12</v>
      </c>
      <c r="H378" s="181">
        <v>8</v>
      </c>
      <c r="I378" s="181">
        <v>7</v>
      </c>
      <c r="J378" s="181">
        <v>12</v>
      </c>
      <c r="K378" s="96">
        <v>5</v>
      </c>
      <c r="L378" s="21"/>
    </row>
    <row r="379" spans="1:12" ht="15" customHeight="1" thickBot="1" x14ac:dyDescent="0.3">
      <c r="A379" s="1382"/>
      <c r="B379" s="1449"/>
      <c r="C379" s="1118"/>
      <c r="D379" s="203" t="s">
        <v>270</v>
      </c>
      <c r="E379" s="106"/>
      <c r="F379" s="253">
        <f>(F378*100)/F376</f>
        <v>1.1363636363636365</v>
      </c>
      <c r="G379" s="253">
        <f t="shared" ref="G379:K379" si="26">(G378*100)/G376</f>
        <v>7.1856287425149699</v>
      </c>
      <c r="H379" s="253">
        <f t="shared" si="26"/>
        <v>4.301075268817204</v>
      </c>
      <c r="I379" s="253">
        <f t="shared" si="26"/>
        <v>4.7297297297297298</v>
      </c>
      <c r="J379" s="253">
        <f t="shared" si="26"/>
        <v>7.5</v>
      </c>
      <c r="K379" s="285">
        <f t="shared" si="26"/>
        <v>3.4013605442176869</v>
      </c>
      <c r="L379" s="22"/>
    </row>
    <row r="380" spans="1:12" x14ac:dyDescent="0.25">
      <c r="A380" s="1382"/>
      <c r="B380" s="1449"/>
      <c r="C380" s="1447" t="s">
        <v>472</v>
      </c>
      <c r="D380" s="345" t="s">
        <v>473</v>
      </c>
      <c r="E380" s="249"/>
      <c r="F380" s="261">
        <v>100</v>
      </c>
      <c r="G380" s="261">
        <v>100</v>
      </c>
      <c r="H380" s="261">
        <v>100</v>
      </c>
      <c r="I380" s="261">
        <v>100</v>
      </c>
      <c r="J380" s="261">
        <v>100</v>
      </c>
      <c r="K380" s="261">
        <v>100</v>
      </c>
      <c r="L380" s="20"/>
    </row>
    <row r="381" spans="1:12" x14ac:dyDescent="0.25">
      <c r="A381" s="1382"/>
      <c r="B381" s="1449"/>
      <c r="C381" s="1448"/>
      <c r="D381" s="346" t="s">
        <v>474</v>
      </c>
      <c r="E381" s="94"/>
      <c r="F381" s="234">
        <v>0</v>
      </c>
      <c r="G381" s="234">
        <v>0</v>
      </c>
      <c r="H381" s="235">
        <v>0</v>
      </c>
      <c r="I381" s="234">
        <v>0</v>
      </c>
      <c r="J381" s="235">
        <v>0</v>
      </c>
      <c r="K381" s="235">
        <v>0</v>
      </c>
      <c r="L381" s="21"/>
    </row>
    <row r="382" spans="1:12" ht="16.5" thickBot="1" x14ac:dyDescent="0.3">
      <c r="A382" s="1382"/>
      <c r="B382" s="1450"/>
      <c r="C382" s="1448"/>
      <c r="D382" s="347" t="s">
        <v>475</v>
      </c>
      <c r="E382" s="126"/>
      <c r="F382" s="355">
        <v>0</v>
      </c>
      <c r="G382" s="355">
        <v>0</v>
      </c>
      <c r="H382" s="356">
        <v>0</v>
      </c>
      <c r="I382" s="355">
        <v>0</v>
      </c>
      <c r="J382" s="356">
        <v>0</v>
      </c>
      <c r="K382" s="356">
        <v>0</v>
      </c>
      <c r="L382" s="53"/>
    </row>
    <row r="383" spans="1:12" ht="16.5" thickBot="1" x14ac:dyDescent="0.3">
      <c r="A383" s="1382"/>
      <c r="B383" s="727" t="s">
        <v>249</v>
      </c>
      <c r="C383" s="1438"/>
      <c r="D383" s="1439"/>
      <c r="E383" s="621" t="s">
        <v>442</v>
      </c>
      <c r="F383" s="621" t="s">
        <v>443</v>
      </c>
      <c r="G383" s="621" t="s">
        <v>444</v>
      </c>
      <c r="H383" s="621" t="s">
        <v>445</v>
      </c>
      <c r="I383" s="621" t="s">
        <v>446</v>
      </c>
      <c r="J383" s="621" t="s">
        <v>447</v>
      </c>
      <c r="K383" s="621" t="s">
        <v>448</v>
      </c>
      <c r="L383" s="621" t="s">
        <v>449</v>
      </c>
    </row>
    <row r="384" spans="1:12" ht="15" customHeight="1" x14ac:dyDescent="0.25">
      <c r="A384" s="1382"/>
      <c r="B384" s="1378" t="s">
        <v>476</v>
      </c>
      <c r="C384" s="1251" t="s">
        <v>435</v>
      </c>
      <c r="D384" s="1206"/>
      <c r="E384" s="202"/>
      <c r="F384" s="192">
        <v>236</v>
      </c>
      <c r="G384" s="192">
        <v>145</v>
      </c>
      <c r="H384" s="192">
        <v>223</v>
      </c>
      <c r="I384" s="192">
        <v>180</v>
      </c>
      <c r="J384" s="192">
        <v>208</v>
      </c>
      <c r="K384" s="122">
        <v>206</v>
      </c>
      <c r="L384" s="87"/>
    </row>
    <row r="385" spans="1:12" x14ac:dyDescent="0.25">
      <c r="A385" s="1382"/>
      <c r="B385" s="1378"/>
      <c r="C385" s="1123" t="s">
        <v>436</v>
      </c>
      <c r="D385" s="1124"/>
      <c r="E385" s="96"/>
      <c r="F385" s="96">
        <v>140</v>
      </c>
      <c r="G385" s="96">
        <v>99</v>
      </c>
      <c r="H385" s="96">
        <v>205</v>
      </c>
      <c r="I385" s="96">
        <v>162</v>
      </c>
      <c r="J385" s="96">
        <v>186</v>
      </c>
      <c r="K385" s="96">
        <v>180</v>
      </c>
      <c r="L385" s="21"/>
    </row>
    <row r="386" spans="1:12" x14ac:dyDescent="0.25">
      <c r="A386" s="1382"/>
      <c r="B386" s="1378"/>
      <c r="C386" s="1123" t="s">
        <v>437</v>
      </c>
      <c r="D386" s="1124"/>
      <c r="E386" s="96"/>
      <c r="F386" s="96">
        <v>96</v>
      </c>
      <c r="G386" s="96">
        <v>46</v>
      </c>
      <c r="H386" s="96">
        <v>18</v>
      </c>
      <c r="I386" s="96">
        <v>18</v>
      </c>
      <c r="J386" s="96">
        <v>22</v>
      </c>
      <c r="K386" s="96">
        <v>26</v>
      </c>
      <c r="L386" s="21"/>
    </row>
    <row r="387" spans="1:12" x14ac:dyDescent="0.25">
      <c r="A387" s="1382"/>
      <c r="B387" s="1378"/>
      <c r="C387" s="1170" t="s">
        <v>270</v>
      </c>
      <c r="D387" s="1407"/>
      <c r="E387" s="190"/>
      <c r="F387" s="285">
        <f t="shared" ref="F387:K387" si="27">F386/F384*100</f>
        <v>40.677966101694921</v>
      </c>
      <c r="G387" s="285">
        <f t="shared" si="27"/>
        <v>31.724137931034484</v>
      </c>
      <c r="H387" s="285">
        <f t="shared" si="27"/>
        <v>8.071748878923767</v>
      </c>
      <c r="I387" s="285">
        <f t="shared" si="27"/>
        <v>10</v>
      </c>
      <c r="J387" s="285">
        <f t="shared" si="27"/>
        <v>10.576923076923077</v>
      </c>
      <c r="K387" s="285">
        <f t="shared" si="27"/>
        <v>12.621359223300971</v>
      </c>
      <c r="L387" s="22"/>
    </row>
    <row r="388" spans="1:12" ht="14.85" customHeight="1" x14ac:dyDescent="0.25">
      <c r="A388" s="1382"/>
      <c r="B388" s="1378"/>
      <c r="C388" s="1159" t="s">
        <v>522</v>
      </c>
      <c r="D388" s="248" t="s">
        <v>251</v>
      </c>
      <c r="E388" s="249"/>
      <c r="F388" s="225">
        <v>120</v>
      </c>
      <c r="G388" s="225">
        <v>96</v>
      </c>
      <c r="H388" s="225">
        <v>223</v>
      </c>
      <c r="I388" s="225">
        <v>153</v>
      </c>
      <c r="J388" s="225">
        <v>154</v>
      </c>
      <c r="K388" s="838">
        <v>168</v>
      </c>
      <c r="L388" s="839"/>
    </row>
    <row r="389" spans="1:12" x14ac:dyDescent="0.25">
      <c r="A389" s="1382"/>
      <c r="B389" s="1378"/>
      <c r="C389" s="1160"/>
      <c r="D389" s="28" t="s">
        <v>257</v>
      </c>
      <c r="E389" s="94"/>
      <c r="F389" s="354">
        <v>107</v>
      </c>
      <c r="G389" s="354">
        <v>87</v>
      </c>
      <c r="H389" s="354">
        <v>205</v>
      </c>
      <c r="I389" s="354">
        <v>142</v>
      </c>
      <c r="J389" s="837">
        <v>145</v>
      </c>
      <c r="K389" s="996">
        <v>157</v>
      </c>
      <c r="L389" s="995"/>
    </row>
    <row r="390" spans="1:12" x14ac:dyDescent="0.25">
      <c r="A390" s="1382"/>
      <c r="B390" s="1378"/>
      <c r="C390" s="1160"/>
      <c r="D390" s="28" t="s">
        <v>263</v>
      </c>
      <c r="E390" s="94"/>
      <c r="F390" s="354">
        <v>13</v>
      </c>
      <c r="G390" s="354">
        <v>9</v>
      </c>
      <c r="H390" s="354">
        <v>18</v>
      </c>
      <c r="I390" s="354">
        <v>11</v>
      </c>
      <c r="J390" s="354">
        <v>9</v>
      </c>
      <c r="K390" s="122">
        <v>11</v>
      </c>
      <c r="L390" s="87"/>
    </row>
    <row r="391" spans="1:12" ht="16.5" thickBot="1" x14ac:dyDescent="0.3">
      <c r="A391" s="1382"/>
      <c r="B391" s="1378"/>
      <c r="C391" s="1161"/>
      <c r="D391" s="203" t="s">
        <v>270</v>
      </c>
      <c r="E391" s="106"/>
      <c r="F391" s="258">
        <f>(F390*100)/F388</f>
        <v>10.833333333333334</v>
      </c>
      <c r="G391" s="258">
        <f t="shared" ref="G391:K391" si="28">(G390*100)/G388</f>
        <v>9.375</v>
      </c>
      <c r="H391" s="258">
        <f t="shared" si="28"/>
        <v>8.071748878923767</v>
      </c>
      <c r="I391" s="258">
        <f t="shared" si="28"/>
        <v>7.1895424836601309</v>
      </c>
      <c r="J391" s="258">
        <f t="shared" si="28"/>
        <v>5.8441558441558445</v>
      </c>
      <c r="K391" s="258">
        <f t="shared" si="28"/>
        <v>6.5476190476190474</v>
      </c>
      <c r="L391" s="22"/>
    </row>
    <row r="392" spans="1:12" x14ac:dyDescent="0.25">
      <c r="A392" s="1382"/>
      <c r="B392" s="1378"/>
      <c r="C392" s="810"/>
      <c r="D392" s="248" t="s">
        <v>251</v>
      </c>
      <c r="E392" s="249"/>
      <c r="F392" s="225"/>
      <c r="G392" s="225"/>
      <c r="H392" s="225"/>
      <c r="I392" s="225"/>
      <c r="J392" s="225"/>
      <c r="K392" s="838">
        <v>11</v>
      </c>
      <c r="L392" s="839"/>
    </row>
    <row r="393" spans="1:12" x14ac:dyDescent="0.25">
      <c r="A393" s="1382"/>
      <c r="B393" s="1378"/>
      <c r="C393" s="810" t="s">
        <v>466</v>
      </c>
      <c r="D393" s="28" t="s">
        <v>257</v>
      </c>
      <c r="E393" s="94"/>
      <c r="F393" s="354"/>
      <c r="G393" s="354"/>
      <c r="H393" s="354"/>
      <c r="I393" s="354"/>
      <c r="J393" s="837"/>
      <c r="K393" s="996">
        <v>3</v>
      </c>
      <c r="L393" s="995"/>
    </row>
    <row r="394" spans="1:12" x14ac:dyDescent="0.25">
      <c r="A394" s="1382"/>
      <c r="B394" s="1378"/>
      <c r="C394" s="810"/>
      <c r="D394" s="28" t="s">
        <v>263</v>
      </c>
      <c r="E394" s="94"/>
      <c r="F394" s="354"/>
      <c r="G394" s="354"/>
      <c r="H394" s="354"/>
      <c r="I394" s="354"/>
      <c r="J394" s="354"/>
      <c r="K394" s="122">
        <v>8</v>
      </c>
      <c r="L394" s="87"/>
    </row>
    <row r="395" spans="1:12" ht="16.5" thickBot="1" x14ac:dyDescent="0.3">
      <c r="A395" s="1382"/>
      <c r="B395" s="1378"/>
      <c r="C395" s="810"/>
      <c r="D395" s="203" t="s">
        <v>270</v>
      </c>
      <c r="E395" s="106"/>
      <c r="F395" s="258"/>
      <c r="G395" s="258"/>
      <c r="H395" s="258"/>
      <c r="I395" s="258"/>
      <c r="J395" s="258"/>
      <c r="K395" s="258">
        <f>K394/K392*100</f>
        <v>72.727272727272734</v>
      </c>
      <c r="L395" s="840"/>
    </row>
    <row r="396" spans="1:12" x14ac:dyDescent="0.25">
      <c r="A396" s="1382"/>
      <c r="B396" s="1378"/>
      <c r="C396" s="1159" t="s">
        <v>465</v>
      </c>
      <c r="D396" s="248" t="s">
        <v>251</v>
      </c>
      <c r="E396" s="249"/>
      <c r="F396" s="225">
        <v>116</v>
      </c>
      <c r="G396" s="225">
        <v>49</v>
      </c>
      <c r="H396" s="225"/>
      <c r="I396" s="225"/>
      <c r="J396" s="225"/>
      <c r="K396" s="36"/>
      <c r="L396" s="20"/>
    </row>
    <row r="397" spans="1:12" x14ac:dyDescent="0.25">
      <c r="A397" s="1382"/>
      <c r="B397" s="1378"/>
      <c r="C397" s="1160"/>
      <c r="D397" s="28" t="s">
        <v>257</v>
      </c>
      <c r="E397" s="94"/>
      <c r="F397" s="96">
        <v>33</v>
      </c>
      <c r="G397" s="96">
        <v>12</v>
      </c>
      <c r="H397" s="96"/>
      <c r="I397" s="96"/>
      <c r="J397" s="96"/>
      <c r="K397" s="28"/>
      <c r="L397" s="21"/>
    </row>
    <row r="398" spans="1:12" x14ac:dyDescent="0.25">
      <c r="A398" s="1382"/>
      <c r="B398" s="1378"/>
      <c r="C398" s="1160"/>
      <c r="D398" s="28" t="s">
        <v>263</v>
      </c>
      <c r="E398" s="94"/>
      <c r="F398" s="96">
        <v>83</v>
      </c>
      <c r="G398" s="96">
        <v>37</v>
      </c>
      <c r="H398" s="96"/>
      <c r="I398" s="96"/>
      <c r="J398" s="96"/>
      <c r="K398" s="28"/>
      <c r="L398" s="21"/>
    </row>
    <row r="399" spans="1:12" ht="16.5" thickBot="1" x14ac:dyDescent="0.3">
      <c r="A399" s="1382"/>
      <c r="B399" s="1378"/>
      <c r="C399" s="1161"/>
      <c r="D399" s="203" t="s">
        <v>270</v>
      </c>
      <c r="E399" s="106"/>
      <c r="F399" s="257">
        <f>(F398*100)/F396</f>
        <v>71.551724137931032</v>
      </c>
      <c r="G399" s="257">
        <f t="shared" ref="G399" si="29">(G398*100)/G396</f>
        <v>75.510204081632651</v>
      </c>
      <c r="H399" s="197"/>
      <c r="I399" s="197"/>
      <c r="J399" s="197"/>
      <c r="K399" s="33"/>
      <c r="L399" s="22"/>
    </row>
    <row r="400" spans="1:12" x14ac:dyDescent="0.25">
      <c r="A400" s="1382"/>
      <c r="B400" s="1378"/>
      <c r="C400" s="1159" t="s">
        <v>539</v>
      </c>
      <c r="D400" s="248" t="s">
        <v>251</v>
      </c>
      <c r="E400" s="249"/>
      <c r="F400" s="225">
        <v>116</v>
      </c>
      <c r="G400" s="225">
        <v>49</v>
      </c>
      <c r="H400" s="225"/>
      <c r="I400" s="225">
        <v>27</v>
      </c>
      <c r="J400" s="225">
        <v>54</v>
      </c>
      <c r="K400" s="36">
        <v>27</v>
      </c>
      <c r="L400" s="20"/>
    </row>
    <row r="401" spans="1:12" x14ac:dyDescent="0.25">
      <c r="A401" s="1382"/>
      <c r="B401" s="1378"/>
      <c r="C401" s="1160"/>
      <c r="D401" s="28" t="s">
        <v>257</v>
      </c>
      <c r="E401" s="94"/>
      <c r="F401" s="96">
        <v>33</v>
      </c>
      <c r="G401" s="96">
        <v>12</v>
      </c>
      <c r="H401" s="96"/>
      <c r="I401" s="96">
        <v>20</v>
      </c>
      <c r="J401" s="96">
        <v>41</v>
      </c>
      <c r="K401" s="28">
        <v>20</v>
      </c>
      <c r="L401" s="21"/>
    </row>
    <row r="402" spans="1:12" x14ac:dyDescent="0.25">
      <c r="A402" s="1382"/>
      <c r="B402" s="1378"/>
      <c r="C402" s="1160"/>
      <c r="D402" s="28" t="s">
        <v>263</v>
      </c>
      <c r="E402" s="94"/>
      <c r="F402" s="96">
        <v>83</v>
      </c>
      <c r="G402" s="96">
        <v>37</v>
      </c>
      <c r="H402" s="96"/>
      <c r="I402" s="96">
        <v>7</v>
      </c>
      <c r="J402" s="96">
        <v>13</v>
      </c>
      <c r="K402" s="28">
        <v>7</v>
      </c>
      <c r="L402" s="21"/>
    </row>
    <row r="403" spans="1:12" x14ac:dyDescent="0.25">
      <c r="A403" s="1382"/>
      <c r="B403" s="1378"/>
      <c r="C403" s="1161"/>
      <c r="D403" s="203" t="s">
        <v>270</v>
      </c>
      <c r="E403" s="106"/>
      <c r="F403" s="257">
        <f>(F402*100)/F400</f>
        <v>71.551724137931032</v>
      </c>
      <c r="G403" s="257">
        <f t="shared" ref="G403" si="30">(G402*100)/G400</f>
        <v>75.510204081632651</v>
      </c>
      <c r="H403" s="197"/>
      <c r="I403" s="258">
        <f t="shared" ref="I403" si="31">(I402*100)/I400</f>
        <v>25.925925925925927</v>
      </c>
      <c r="J403" s="258">
        <f t="shared" ref="J403:K403" si="32">(J402*100)/J400</f>
        <v>24.074074074074073</v>
      </c>
      <c r="K403" s="258">
        <f t="shared" si="32"/>
        <v>25.925925925925927</v>
      </c>
      <c r="L403" s="22"/>
    </row>
    <row r="404" spans="1:12" x14ac:dyDescent="0.25">
      <c r="A404" s="1382"/>
      <c r="B404" s="1378"/>
      <c r="C404" s="1166" t="s">
        <v>472</v>
      </c>
      <c r="D404" s="308" t="s">
        <v>473</v>
      </c>
      <c r="E404" s="249"/>
      <c r="F404" s="261">
        <f>1/3*100</f>
        <v>33.333333333333329</v>
      </c>
      <c r="G404" s="261">
        <f>1/3*100</f>
        <v>33.333333333333329</v>
      </c>
      <c r="H404" s="261">
        <v>100</v>
      </c>
      <c r="I404" s="261">
        <v>100</v>
      </c>
      <c r="J404" s="261">
        <v>100</v>
      </c>
      <c r="K404" s="259">
        <f>2/3*100</f>
        <v>66.666666666666657</v>
      </c>
      <c r="L404" s="20"/>
    </row>
    <row r="405" spans="1:12" x14ac:dyDescent="0.25">
      <c r="A405" s="1382"/>
      <c r="B405" s="1378"/>
      <c r="C405" s="1167"/>
      <c r="D405" s="232" t="s">
        <v>474</v>
      </c>
      <c r="E405" s="94"/>
      <c r="F405" s="234">
        <f>2/3*100</f>
        <v>66.666666666666657</v>
      </c>
      <c r="G405" s="234">
        <f>2/3*100</f>
        <v>66.666666666666657</v>
      </c>
      <c r="H405" s="235">
        <v>0</v>
      </c>
      <c r="I405" s="235">
        <v>0</v>
      </c>
      <c r="J405" s="235">
        <v>0</v>
      </c>
      <c r="K405" s="187">
        <f>1/3*100</f>
        <v>33.333333333333329</v>
      </c>
      <c r="L405" s="21"/>
    </row>
    <row r="406" spans="1:12" x14ac:dyDescent="0.25">
      <c r="A406" s="1382"/>
      <c r="B406" s="1378"/>
      <c r="C406" s="1168"/>
      <c r="D406" s="357" t="s">
        <v>475</v>
      </c>
      <c r="E406" s="126"/>
      <c r="F406" s="355">
        <v>0</v>
      </c>
      <c r="G406" s="355">
        <v>0</v>
      </c>
      <c r="H406" s="356">
        <v>0</v>
      </c>
      <c r="I406" s="356">
        <v>0</v>
      </c>
      <c r="J406" s="356">
        <v>0</v>
      </c>
      <c r="K406" s="356">
        <v>0</v>
      </c>
      <c r="L406" s="53"/>
    </row>
    <row r="407" spans="1:12" ht="16.5" thickBot="1" x14ac:dyDescent="0.3">
      <c r="A407" s="1382"/>
      <c r="B407" s="338" t="s">
        <v>249</v>
      </c>
      <c r="C407" s="1422"/>
      <c r="D407" s="1422"/>
      <c r="E407" s="616" t="s">
        <v>442</v>
      </c>
      <c r="F407" s="616" t="s">
        <v>443</v>
      </c>
      <c r="G407" s="616" t="s">
        <v>444</v>
      </c>
      <c r="H407" s="616" t="s">
        <v>445</v>
      </c>
      <c r="I407" s="616" t="s">
        <v>446</v>
      </c>
      <c r="J407" s="616" t="s">
        <v>447</v>
      </c>
      <c r="K407" s="616" t="s">
        <v>448</v>
      </c>
      <c r="L407" s="616" t="s">
        <v>449</v>
      </c>
    </row>
    <row r="408" spans="1:12" s="64" customFormat="1" x14ac:dyDescent="0.25">
      <c r="A408" s="1382"/>
      <c r="B408" s="1150" t="s">
        <v>219</v>
      </c>
      <c r="C408" s="1251" t="s">
        <v>459</v>
      </c>
      <c r="D408" s="1206"/>
      <c r="E408" s="40"/>
      <c r="F408" s="260"/>
      <c r="G408" s="260"/>
      <c r="H408" s="359">
        <v>73</v>
      </c>
      <c r="I408" s="359">
        <v>294</v>
      </c>
      <c r="J408" s="359">
        <v>337</v>
      </c>
      <c r="K408" s="359">
        <v>286</v>
      </c>
      <c r="L408" s="325"/>
    </row>
    <row r="409" spans="1:12" x14ac:dyDescent="0.25">
      <c r="A409" s="1382"/>
      <c r="B409" s="1151"/>
      <c r="C409" s="1123" t="s">
        <v>436</v>
      </c>
      <c r="D409" s="1124"/>
      <c r="E409" s="28"/>
      <c r="F409" s="187"/>
      <c r="G409" s="187"/>
      <c r="H409" s="358">
        <v>38</v>
      </c>
      <c r="I409" s="358">
        <v>160</v>
      </c>
      <c r="J409" s="358">
        <v>183</v>
      </c>
      <c r="K409" s="358">
        <v>144</v>
      </c>
      <c r="L409" s="21"/>
    </row>
    <row r="410" spans="1:12" x14ac:dyDescent="0.25">
      <c r="A410" s="1382"/>
      <c r="B410" s="1151"/>
      <c r="C410" s="1123" t="s">
        <v>437</v>
      </c>
      <c r="D410" s="1124"/>
      <c r="E410" s="96"/>
      <c r="F410" s="96"/>
      <c r="G410" s="96"/>
      <c r="H410" s="358">
        <v>35</v>
      </c>
      <c r="I410" s="358">
        <v>134</v>
      </c>
      <c r="J410" s="358">
        <v>154</v>
      </c>
      <c r="K410" s="358">
        <v>142</v>
      </c>
      <c r="L410" s="21"/>
    </row>
    <row r="411" spans="1:12" x14ac:dyDescent="0.25">
      <c r="A411" s="1382"/>
      <c r="B411" s="1151"/>
      <c r="C411" s="1111" t="s">
        <v>353</v>
      </c>
      <c r="D411" s="1112"/>
      <c r="E411" s="157"/>
      <c r="F411" s="157"/>
      <c r="G411" s="157"/>
      <c r="H411" s="157">
        <f>H410-H409</f>
        <v>-3</v>
      </c>
      <c r="I411" s="157">
        <f>I410-I409</f>
        <v>-26</v>
      </c>
      <c r="J411" s="157">
        <f>J410-J409</f>
        <v>-29</v>
      </c>
      <c r="K411" s="157">
        <f>K410-K409</f>
        <v>-2</v>
      </c>
      <c r="L411" s="21"/>
    </row>
    <row r="412" spans="1:12" ht="16.5" thickBot="1" x14ac:dyDescent="0.3">
      <c r="A412" s="1382"/>
      <c r="B412" s="1151"/>
      <c r="C412" s="1125" t="s">
        <v>270</v>
      </c>
      <c r="D412" s="1126"/>
      <c r="E412" s="190"/>
      <c r="F412" s="190"/>
      <c r="G412" s="190"/>
      <c r="H412" s="34">
        <f>H410/H408*100</f>
        <v>47.945205479452049</v>
      </c>
      <c r="I412" s="34">
        <f>I410/I408*100</f>
        <v>45.57823129251701</v>
      </c>
      <c r="J412" s="34">
        <f>J410/J408*100</f>
        <v>45.697329376854597</v>
      </c>
      <c r="K412" s="34">
        <f>K410/K408*100</f>
        <v>49.650349650349654</v>
      </c>
      <c r="L412" s="22"/>
    </row>
    <row r="413" spans="1:12" x14ac:dyDescent="0.25">
      <c r="A413" s="1382"/>
      <c r="B413" s="1151"/>
      <c r="C413" s="1406" t="s">
        <v>484</v>
      </c>
      <c r="D413" s="1405"/>
      <c r="E413" s="225"/>
      <c r="F413" s="225"/>
      <c r="G413" s="225"/>
      <c r="H413" s="261">
        <v>0</v>
      </c>
      <c r="I413" s="261">
        <f>3/6*100</f>
        <v>50</v>
      </c>
      <c r="J413" s="261">
        <f>2/6*100</f>
        <v>33.333333333333329</v>
      </c>
      <c r="K413" s="315">
        <v>25</v>
      </c>
      <c r="L413" s="20"/>
    </row>
    <row r="414" spans="1:12" x14ac:dyDescent="0.25">
      <c r="A414" s="1382"/>
      <c r="B414" s="1151"/>
      <c r="C414" s="1111" t="s">
        <v>485</v>
      </c>
      <c r="D414" s="1112"/>
      <c r="E414" s="96"/>
      <c r="F414" s="96"/>
      <c r="G414" s="96"/>
      <c r="H414" s="235">
        <v>25</v>
      </c>
      <c r="I414" s="235">
        <v>0</v>
      </c>
      <c r="J414" s="235">
        <f>1/6*100</f>
        <v>16.666666666666664</v>
      </c>
      <c r="K414" s="237">
        <v>25</v>
      </c>
      <c r="L414" s="21"/>
    </row>
    <row r="415" spans="1:12" ht="16.5" thickBot="1" x14ac:dyDescent="0.3">
      <c r="A415" s="1382"/>
      <c r="B415" s="1446"/>
      <c r="C415" s="1277" t="s">
        <v>486</v>
      </c>
      <c r="D415" s="1142"/>
      <c r="E415" s="360"/>
      <c r="F415" s="360"/>
      <c r="G415" s="360"/>
      <c r="H415" s="356">
        <v>75</v>
      </c>
      <c r="I415" s="356">
        <f>3/6*100</f>
        <v>50</v>
      </c>
      <c r="J415" s="356">
        <f>3/6*100</f>
        <v>50</v>
      </c>
      <c r="K415" s="361">
        <v>50</v>
      </c>
      <c r="L415" s="53"/>
    </row>
    <row r="416" spans="1:12" ht="16.5" thickBot="1" x14ac:dyDescent="0.3">
      <c r="A416" s="151" t="s">
        <v>248</v>
      </c>
      <c r="B416" s="151" t="s">
        <v>249</v>
      </c>
      <c r="C416" s="1129"/>
      <c r="D416" s="1129"/>
      <c r="E416" s="695">
        <v>2005</v>
      </c>
      <c r="F416" s="695">
        <v>2010</v>
      </c>
      <c r="G416" s="695">
        <v>2015</v>
      </c>
      <c r="H416" s="695">
        <v>2020</v>
      </c>
      <c r="I416" s="695">
        <v>2021</v>
      </c>
      <c r="J416" s="695">
        <v>2022</v>
      </c>
      <c r="K416" s="695">
        <v>2023</v>
      </c>
      <c r="L416" s="696">
        <v>2024</v>
      </c>
    </row>
    <row r="417" spans="1:12" ht="15" customHeight="1" x14ac:dyDescent="0.25">
      <c r="A417" s="1338" t="s">
        <v>487</v>
      </c>
      <c r="B417" s="1119" t="s">
        <v>227</v>
      </c>
      <c r="C417" s="1122" t="s">
        <v>435</v>
      </c>
      <c r="D417" s="1122"/>
      <c r="E417" s="122"/>
      <c r="F417" s="122"/>
      <c r="G417" s="122"/>
      <c r="H417" s="122"/>
      <c r="I417" s="122"/>
      <c r="J417" s="122"/>
      <c r="K417" s="192">
        <v>980</v>
      </c>
      <c r="L417" s="323">
        <v>1040</v>
      </c>
    </row>
    <row r="418" spans="1:12" x14ac:dyDescent="0.25">
      <c r="A418" s="1338"/>
      <c r="B418" s="1119"/>
      <c r="C418" s="1124" t="s">
        <v>533</v>
      </c>
      <c r="D418" s="1124"/>
      <c r="E418" s="28"/>
      <c r="F418" s="28"/>
      <c r="G418" s="28"/>
      <c r="H418" s="28"/>
      <c r="I418" s="28"/>
      <c r="J418" s="28"/>
      <c r="K418" s="28">
        <v>329</v>
      </c>
      <c r="L418" s="21">
        <v>344</v>
      </c>
    </row>
    <row r="419" spans="1:12" x14ac:dyDescent="0.25">
      <c r="A419" s="1338"/>
      <c r="B419" s="1119"/>
      <c r="C419" s="1124" t="s">
        <v>534</v>
      </c>
      <c r="D419" s="1124"/>
      <c r="E419" s="28"/>
      <c r="F419" s="28"/>
      <c r="G419" s="28"/>
      <c r="H419" s="28"/>
      <c r="I419" s="28"/>
      <c r="J419" s="28"/>
      <c r="K419" s="28">
        <v>651</v>
      </c>
      <c r="L419" s="21">
        <v>696</v>
      </c>
    </row>
    <row r="420" spans="1:12" x14ac:dyDescent="0.25">
      <c r="A420" s="1338"/>
      <c r="B420" s="1119"/>
      <c r="C420" s="1128" t="s">
        <v>353</v>
      </c>
      <c r="D420" s="1128"/>
      <c r="E420" s="28"/>
      <c r="F420" s="28"/>
      <c r="G420" s="28"/>
      <c r="H420" s="28"/>
      <c r="I420" s="28"/>
      <c r="J420" s="28"/>
      <c r="K420" s="262">
        <f t="shared" ref="K420" si="33">K419-K418</f>
        <v>322</v>
      </c>
      <c r="L420" s="317">
        <v>352</v>
      </c>
    </row>
    <row r="421" spans="1:12" ht="16.5" thickBot="1" x14ac:dyDescent="0.3">
      <c r="A421" s="1338"/>
      <c r="B421" s="1404"/>
      <c r="C421" s="1126" t="s">
        <v>270</v>
      </c>
      <c r="D421" s="1126"/>
      <c r="E421" s="197"/>
      <c r="F421" s="197"/>
      <c r="G421" s="197"/>
      <c r="H421" s="197"/>
      <c r="I421" s="197"/>
      <c r="J421" s="197"/>
      <c r="K421" s="161">
        <f t="shared" ref="K421" si="34">K419/K417*100</f>
        <v>66.428571428571431</v>
      </c>
      <c r="L421" s="162">
        <v>66.92307692307692</v>
      </c>
    </row>
    <row r="422" spans="1:12" x14ac:dyDescent="0.25">
      <c r="A422" s="1338"/>
      <c r="B422" s="1276" t="s">
        <v>488</v>
      </c>
      <c r="C422" s="1405" t="s">
        <v>489</v>
      </c>
      <c r="D422" s="1405"/>
      <c r="E422" s="36"/>
      <c r="F422" s="40">
        <v>58</v>
      </c>
      <c r="G422" s="40">
        <v>65</v>
      </c>
      <c r="H422" s="40">
        <v>94</v>
      </c>
      <c r="I422" s="40"/>
      <c r="J422" s="40"/>
      <c r="K422" s="40">
        <v>107</v>
      </c>
      <c r="L422" s="1070">
        <v>105</v>
      </c>
    </row>
    <row r="423" spans="1:12" x14ac:dyDescent="0.25">
      <c r="A423" s="1338"/>
      <c r="B423" s="1119"/>
      <c r="C423" s="1112" t="s">
        <v>490</v>
      </c>
      <c r="D423" s="1112"/>
      <c r="E423" s="28"/>
      <c r="F423" s="44">
        <v>3</v>
      </c>
      <c r="G423" s="44">
        <v>1</v>
      </c>
      <c r="H423" s="44">
        <v>4</v>
      </c>
      <c r="I423" s="44"/>
      <c r="J423" s="44"/>
      <c r="K423" s="44">
        <v>5</v>
      </c>
      <c r="L423" s="1070">
        <v>4</v>
      </c>
    </row>
    <row r="424" spans="1:12" ht="16.5" thickBot="1" x14ac:dyDescent="0.3">
      <c r="A424" s="1338"/>
      <c r="B424" s="1404"/>
      <c r="C424" s="1142" t="s">
        <v>491</v>
      </c>
      <c r="D424" s="1142"/>
      <c r="E424" s="336"/>
      <c r="F424" s="165">
        <f>F423/F422*100</f>
        <v>5.1724137931034484</v>
      </c>
      <c r="G424" s="165">
        <f t="shared" ref="G424:H424" si="35">G423/G422*100</f>
        <v>1.5384615384615385</v>
      </c>
      <c r="H424" s="165">
        <f t="shared" si="35"/>
        <v>4.2553191489361701</v>
      </c>
      <c r="I424" s="336"/>
      <c r="J424" s="336"/>
      <c r="K424" s="165">
        <f>K423/K422*100</f>
        <v>4.6728971962616823</v>
      </c>
      <c r="L424" s="1071">
        <v>3.8095238095238102</v>
      </c>
    </row>
    <row r="425" spans="1:12" ht="16.5" thickBot="1" x14ac:dyDescent="0.3">
      <c r="A425" s="727" t="s">
        <v>248</v>
      </c>
      <c r="B425" s="683" t="s">
        <v>249</v>
      </c>
      <c r="C425" s="1422"/>
      <c r="D425" s="1422"/>
      <c r="E425" s="616">
        <v>2005</v>
      </c>
      <c r="F425" s="616">
        <v>2010</v>
      </c>
      <c r="G425" s="616">
        <v>2015</v>
      </c>
      <c r="H425" s="616">
        <v>2020</v>
      </c>
      <c r="I425" s="616">
        <v>2021</v>
      </c>
      <c r="J425" s="616">
        <v>2022</v>
      </c>
      <c r="K425" s="616">
        <v>2023</v>
      </c>
      <c r="L425" s="616">
        <v>2024</v>
      </c>
    </row>
    <row r="426" spans="1:12" s="64" customFormat="1" ht="15" customHeight="1" x14ac:dyDescent="0.25">
      <c r="A426" s="1261" t="s">
        <v>492</v>
      </c>
      <c r="B426" s="1442" t="s">
        <v>493</v>
      </c>
      <c r="C426" s="1251" t="s">
        <v>459</v>
      </c>
      <c r="D426" s="1206"/>
      <c r="E426" s="40"/>
      <c r="F426" s="195">
        <v>1301</v>
      </c>
      <c r="G426" s="195">
        <v>1533</v>
      </c>
      <c r="H426" s="195">
        <v>1530</v>
      </c>
      <c r="I426" s="195">
        <v>2192</v>
      </c>
      <c r="J426" s="195">
        <v>2340</v>
      </c>
      <c r="K426" s="195">
        <v>2503</v>
      </c>
      <c r="L426" s="195">
        <v>2525</v>
      </c>
    </row>
    <row r="427" spans="1:12" x14ac:dyDescent="0.25">
      <c r="A427" s="1261"/>
      <c r="B427" s="1443"/>
      <c r="C427" s="1320" t="s">
        <v>436</v>
      </c>
      <c r="D427" s="28" t="s">
        <v>494</v>
      </c>
      <c r="E427" s="28"/>
      <c r="F427" s="96">
        <v>633</v>
      </c>
      <c r="G427" s="96">
        <v>742</v>
      </c>
      <c r="H427" s="96">
        <v>848</v>
      </c>
      <c r="I427" s="96">
        <v>1206</v>
      </c>
      <c r="J427" s="96">
        <v>1296</v>
      </c>
      <c r="K427" s="96">
        <v>1362</v>
      </c>
      <c r="L427" s="96">
        <v>1400</v>
      </c>
    </row>
    <row r="428" spans="1:12" x14ac:dyDescent="0.25">
      <c r="A428" s="1261"/>
      <c r="B428" s="1443"/>
      <c r="C428" s="1320"/>
      <c r="D428" s="28" t="s">
        <v>495</v>
      </c>
      <c r="E428" s="28"/>
      <c r="F428" s="96">
        <v>102</v>
      </c>
      <c r="G428" s="96">
        <v>109</v>
      </c>
      <c r="H428" s="96">
        <v>96</v>
      </c>
      <c r="I428" s="96">
        <v>154</v>
      </c>
      <c r="J428" s="96">
        <v>171</v>
      </c>
      <c r="K428" s="96">
        <v>186</v>
      </c>
      <c r="L428" s="1065">
        <v>183</v>
      </c>
    </row>
    <row r="429" spans="1:12" x14ac:dyDescent="0.25">
      <c r="A429" s="1261"/>
      <c r="B429" s="1443"/>
      <c r="C429" s="1320" t="s">
        <v>437</v>
      </c>
      <c r="D429" s="28" t="s">
        <v>496</v>
      </c>
      <c r="E429" s="28"/>
      <c r="F429" s="96">
        <v>152</v>
      </c>
      <c r="G429" s="96">
        <v>214</v>
      </c>
      <c r="H429" s="96">
        <v>279</v>
      </c>
      <c r="I429" s="96">
        <v>344</v>
      </c>
      <c r="J429" s="96">
        <v>382</v>
      </c>
      <c r="K429" s="96">
        <v>445</v>
      </c>
      <c r="L429" s="1065">
        <v>450</v>
      </c>
    </row>
    <row r="430" spans="1:12" ht="16.5" thickBot="1" x14ac:dyDescent="0.3">
      <c r="A430" s="1261"/>
      <c r="B430" s="1443"/>
      <c r="C430" s="1321"/>
      <c r="D430" s="33" t="s">
        <v>497</v>
      </c>
      <c r="E430" s="33"/>
      <c r="F430" s="190">
        <v>166</v>
      </c>
      <c r="G430" s="190">
        <v>185</v>
      </c>
      <c r="H430" s="190">
        <v>144</v>
      </c>
      <c r="I430" s="190">
        <v>267</v>
      </c>
      <c r="J430" s="190">
        <v>264</v>
      </c>
      <c r="K430" s="190">
        <v>280</v>
      </c>
      <c r="L430" s="1066">
        <v>274</v>
      </c>
    </row>
    <row r="431" spans="1:12" x14ac:dyDescent="0.25">
      <c r="A431" s="1261"/>
      <c r="B431" s="1443"/>
      <c r="C431" s="1420" t="s">
        <v>353</v>
      </c>
      <c r="D431" s="122" t="s">
        <v>498</v>
      </c>
      <c r="E431" s="122"/>
      <c r="F431" s="130">
        <f t="shared" ref="F431:L431" si="36">+F429-F427</f>
        <v>-481</v>
      </c>
      <c r="G431" s="130">
        <f t="shared" si="36"/>
        <v>-528</v>
      </c>
      <c r="H431" s="130">
        <f t="shared" si="36"/>
        <v>-569</v>
      </c>
      <c r="I431" s="130">
        <f t="shared" si="36"/>
        <v>-862</v>
      </c>
      <c r="J431" s="130">
        <f t="shared" si="36"/>
        <v>-914</v>
      </c>
      <c r="K431" s="130">
        <f t="shared" si="36"/>
        <v>-917</v>
      </c>
      <c r="L431" s="130">
        <f t="shared" si="36"/>
        <v>-950</v>
      </c>
    </row>
    <row r="432" spans="1:12" ht="16.5" thickBot="1" x14ac:dyDescent="0.3">
      <c r="A432" s="1261"/>
      <c r="B432" s="1443"/>
      <c r="C432" s="1421"/>
      <c r="D432" s="33" t="s">
        <v>499</v>
      </c>
      <c r="E432" s="33"/>
      <c r="F432" s="264">
        <f t="shared" ref="F432:L432" si="37">F430-F428</f>
        <v>64</v>
      </c>
      <c r="G432" s="264">
        <f t="shared" si="37"/>
        <v>76</v>
      </c>
      <c r="H432" s="264">
        <f t="shared" si="37"/>
        <v>48</v>
      </c>
      <c r="I432" s="264">
        <f t="shared" si="37"/>
        <v>113</v>
      </c>
      <c r="J432" s="264">
        <f t="shared" si="37"/>
        <v>93</v>
      </c>
      <c r="K432" s="264">
        <f t="shared" si="37"/>
        <v>94</v>
      </c>
      <c r="L432" s="264">
        <f t="shared" si="37"/>
        <v>91</v>
      </c>
    </row>
    <row r="433" spans="1:12" ht="16.5" customHeight="1" x14ac:dyDescent="0.25">
      <c r="A433" s="1261"/>
      <c r="B433" s="1443"/>
      <c r="C433" s="1441" t="s">
        <v>270</v>
      </c>
      <c r="D433" s="36" t="s">
        <v>500</v>
      </c>
      <c r="E433" s="36"/>
      <c r="F433" s="265">
        <f>+F429/(F429+F427)*100</f>
        <v>19.363057324840767</v>
      </c>
      <c r="G433" s="265">
        <f t="shared" ref="G433:L434" si="38">+G429/(G429+G427)*100</f>
        <v>22.384937238493723</v>
      </c>
      <c r="H433" s="265">
        <f t="shared" si="38"/>
        <v>24.755989352262645</v>
      </c>
      <c r="I433" s="265">
        <f t="shared" si="38"/>
        <v>22.193548387096772</v>
      </c>
      <c r="J433" s="265">
        <f t="shared" si="38"/>
        <v>22.765196662693683</v>
      </c>
      <c r="K433" s="265">
        <f t="shared" si="38"/>
        <v>24.62645268400664</v>
      </c>
      <c r="L433" s="265">
        <f t="shared" si="38"/>
        <v>24.324324324324326</v>
      </c>
    </row>
    <row r="434" spans="1:12" ht="16.5" thickBot="1" x14ac:dyDescent="0.3">
      <c r="A434" s="1262"/>
      <c r="B434" s="1444"/>
      <c r="C434" s="1421"/>
      <c r="D434" s="33" t="s">
        <v>501</v>
      </c>
      <c r="E434" s="33"/>
      <c r="F434" s="230">
        <f>+F430/(F430+F428)*100</f>
        <v>61.940298507462686</v>
      </c>
      <c r="G434" s="230">
        <f t="shared" si="38"/>
        <v>62.925170068027214</v>
      </c>
      <c r="H434" s="230">
        <f t="shared" si="38"/>
        <v>60</v>
      </c>
      <c r="I434" s="230">
        <f t="shared" si="38"/>
        <v>63.420427553444178</v>
      </c>
      <c r="J434" s="230">
        <f t="shared" si="38"/>
        <v>60.689655172413794</v>
      </c>
      <c r="K434" s="230">
        <f t="shared" si="38"/>
        <v>60.085836909871247</v>
      </c>
      <c r="L434" s="230">
        <f t="shared" si="38"/>
        <v>59.956236323851208</v>
      </c>
    </row>
  </sheetData>
  <mergeCells count="218">
    <mergeCell ref="C420:D420"/>
    <mergeCell ref="C433:C434"/>
    <mergeCell ref="A426:A434"/>
    <mergeCell ref="B426:B434"/>
    <mergeCell ref="B362:B370"/>
    <mergeCell ref="C362:C364"/>
    <mergeCell ref="C365:C367"/>
    <mergeCell ref="C368:D368"/>
    <mergeCell ref="C369:D369"/>
    <mergeCell ref="C370:D370"/>
    <mergeCell ref="C384:D384"/>
    <mergeCell ref="C385:D385"/>
    <mergeCell ref="B408:B415"/>
    <mergeCell ref="C408:D408"/>
    <mergeCell ref="C409:D409"/>
    <mergeCell ref="C410:D410"/>
    <mergeCell ref="C412:D412"/>
    <mergeCell ref="C372:D372"/>
    <mergeCell ref="C380:C382"/>
    <mergeCell ref="B372:B382"/>
    <mergeCell ref="C404:C406"/>
    <mergeCell ref="C407:D407"/>
    <mergeCell ref="B384:B406"/>
    <mergeCell ref="A417:A424"/>
    <mergeCell ref="C351:C353"/>
    <mergeCell ref="C354:C356"/>
    <mergeCell ref="C342:D342"/>
    <mergeCell ref="C376:C379"/>
    <mergeCell ref="C388:C391"/>
    <mergeCell ref="C109:C112"/>
    <mergeCell ref="C97:C100"/>
    <mergeCell ref="C113:C116"/>
    <mergeCell ref="C383:D383"/>
    <mergeCell ref="C344:D344"/>
    <mergeCell ref="C133:C136"/>
    <mergeCell ref="C273:C276"/>
    <mergeCell ref="C297:C300"/>
    <mergeCell ref="C301:C304"/>
    <mergeCell ref="C357:D357"/>
    <mergeCell ref="C371:D371"/>
    <mergeCell ref="C50:D50"/>
    <mergeCell ref="C51:D51"/>
    <mergeCell ref="B342:B345"/>
    <mergeCell ref="C137:C140"/>
    <mergeCell ref="C145:C148"/>
    <mergeCell ref="C121:C124"/>
    <mergeCell ref="C125:C128"/>
    <mergeCell ref="C117:C120"/>
    <mergeCell ref="C173:C176"/>
    <mergeCell ref="C177:C180"/>
    <mergeCell ref="C181:C184"/>
    <mergeCell ref="C161:C164"/>
    <mergeCell ref="C165:C168"/>
    <mergeCell ref="C169:C172"/>
    <mergeCell ref="C185:C188"/>
    <mergeCell ref="C189:C192"/>
    <mergeCell ref="C193:C196"/>
    <mergeCell ref="C281:C284"/>
    <mergeCell ref="C57:D57"/>
    <mergeCell ref="C129:C132"/>
    <mergeCell ref="C58:D58"/>
    <mergeCell ref="A351:A360"/>
    <mergeCell ref="B351:B360"/>
    <mergeCell ref="C414:D414"/>
    <mergeCell ref="C415:D415"/>
    <mergeCell ref="A362:A415"/>
    <mergeCell ref="C43:D43"/>
    <mergeCell ref="C44:D44"/>
    <mergeCell ref="C45:D45"/>
    <mergeCell ref="C386:D386"/>
    <mergeCell ref="C56:D56"/>
    <mergeCell ref="C347:D347"/>
    <mergeCell ref="C348:D348"/>
    <mergeCell ref="C73:C76"/>
    <mergeCell ref="C77:C80"/>
    <mergeCell ref="C81:C84"/>
    <mergeCell ref="C337:D337"/>
    <mergeCell ref="C62:C64"/>
    <mergeCell ref="C65:C68"/>
    <mergeCell ref="C341:D341"/>
    <mergeCell ref="C315:D315"/>
    <mergeCell ref="C285:C288"/>
    <mergeCell ref="B52:B55"/>
    <mergeCell ref="C241:C244"/>
    <mergeCell ref="C289:C292"/>
    <mergeCell ref="C30:D30"/>
    <mergeCell ref="B31:B35"/>
    <mergeCell ref="B36:B40"/>
    <mergeCell ref="B41:B45"/>
    <mergeCell ref="C7:D7"/>
    <mergeCell ref="C6:D6"/>
    <mergeCell ref="C5:D5"/>
    <mergeCell ref="B3:B7"/>
    <mergeCell ref="C42:D42"/>
    <mergeCell ref="C31:D31"/>
    <mergeCell ref="C32:D32"/>
    <mergeCell ref="C4:D4"/>
    <mergeCell ref="C3:D3"/>
    <mergeCell ref="C417:D417"/>
    <mergeCell ref="C418:D418"/>
    <mergeCell ref="C419:D419"/>
    <mergeCell ref="C33:D33"/>
    <mergeCell ref="C34:D34"/>
    <mergeCell ref="C48:D48"/>
    <mergeCell ref="C49:D49"/>
    <mergeCell ref="C336:D336"/>
    <mergeCell ref="C233:C236"/>
    <mergeCell ref="C59:D59"/>
    <mergeCell ref="C85:C88"/>
    <mergeCell ref="C89:C92"/>
    <mergeCell ref="C93:C96"/>
    <mergeCell ref="C105:C108"/>
    <mergeCell ref="C343:D343"/>
    <mergeCell ref="C309:C312"/>
    <mergeCell ref="C313:D313"/>
    <mergeCell ref="C314:D314"/>
    <mergeCell ref="C221:C224"/>
    <mergeCell ref="C225:C228"/>
    <mergeCell ref="C269:C272"/>
    <mergeCell ref="C141:C144"/>
    <mergeCell ref="C69:C72"/>
    <mergeCell ref="C60:D60"/>
    <mergeCell ref="C427:C428"/>
    <mergeCell ref="C429:C430"/>
    <mergeCell ref="C431:C432"/>
    <mergeCell ref="C35:D35"/>
    <mergeCell ref="C36:D36"/>
    <mergeCell ref="C37:D37"/>
    <mergeCell ref="C38:D38"/>
    <mergeCell ref="C39:D39"/>
    <mergeCell ref="C40:D40"/>
    <mergeCell ref="C41:D41"/>
    <mergeCell ref="C326:C330"/>
    <mergeCell ref="C149:C152"/>
    <mergeCell ref="C153:C156"/>
    <mergeCell ref="C157:C160"/>
    <mergeCell ref="C316:D316"/>
    <mergeCell ref="C425:D425"/>
    <mergeCell ref="C426:D426"/>
    <mergeCell ref="C361:D361"/>
    <mergeCell ref="C277:C280"/>
    <mergeCell ref="C293:C296"/>
    <mergeCell ref="C54:D54"/>
    <mergeCell ref="C411:D411"/>
    <mergeCell ref="C61:D61"/>
    <mergeCell ref="C421:D421"/>
    <mergeCell ref="C2:D2"/>
    <mergeCell ref="C46:D46"/>
    <mergeCell ref="A317:A340"/>
    <mergeCell ref="B317:B321"/>
    <mergeCell ref="C317:D317"/>
    <mergeCell ref="C318:D318"/>
    <mergeCell ref="C319:D319"/>
    <mergeCell ref="C320:D320"/>
    <mergeCell ref="C321:D321"/>
    <mergeCell ref="C322:D322"/>
    <mergeCell ref="C323:D323"/>
    <mergeCell ref="C324:D324"/>
    <mergeCell ref="C325:D325"/>
    <mergeCell ref="C331:C335"/>
    <mergeCell ref="B336:B340"/>
    <mergeCell ref="C55:D55"/>
    <mergeCell ref="C53:D53"/>
    <mergeCell ref="B326:B335"/>
    <mergeCell ref="A3:A45"/>
    <mergeCell ref="B8:B29"/>
    <mergeCell ref="C8:C13"/>
    <mergeCell ref="C14:C19"/>
    <mergeCell ref="C20:C24"/>
    <mergeCell ref="C25:C29"/>
    <mergeCell ref="B422:B424"/>
    <mergeCell ref="C422:D422"/>
    <mergeCell ref="C424:D424"/>
    <mergeCell ref="C416:D416"/>
    <mergeCell ref="C305:C308"/>
    <mergeCell ref="C350:D350"/>
    <mergeCell ref="C237:C240"/>
    <mergeCell ref="C373:D373"/>
    <mergeCell ref="C413:D413"/>
    <mergeCell ref="C396:C399"/>
    <mergeCell ref="C400:C403"/>
    <mergeCell ref="C374:D374"/>
    <mergeCell ref="C375:D375"/>
    <mergeCell ref="C387:D387"/>
    <mergeCell ref="C358:D358"/>
    <mergeCell ref="C359:D359"/>
    <mergeCell ref="C360:D360"/>
    <mergeCell ref="C423:D423"/>
    <mergeCell ref="B322:B325"/>
    <mergeCell ref="C338:D338"/>
    <mergeCell ref="C339:D339"/>
    <mergeCell ref="C340:D340"/>
    <mergeCell ref="C349:D349"/>
    <mergeCell ref="B417:B421"/>
    <mergeCell ref="A342:A349"/>
    <mergeCell ref="B62:B315"/>
    <mergeCell ref="C345:D345"/>
    <mergeCell ref="B346:B349"/>
    <mergeCell ref="C346:D346"/>
    <mergeCell ref="A47:A315"/>
    <mergeCell ref="B47:B51"/>
    <mergeCell ref="C47:D47"/>
    <mergeCell ref="C245:C248"/>
    <mergeCell ref="C249:C252"/>
    <mergeCell ref="C253:C256"/>
    <mergeCell ref="C257:C260"/>
    <mergeCell ref="C261:C264"/>
    <mergeCell ref="C265:C268"/>
    <mergeCell ref="C209:C212"/>
    <mergeCell ref="C213:C216"/>
    <mergeCell ref="C217:C220"/>
    <mergeCell ref="C197:C200"/>
    <mergeCell ref="C201:C204"/>
    <mergeCell ref="C205:C208"/>
    <mergeCell ref="C101:C104"/>
    <mergeCell ref="C52:D52"/>
    <mergeCell ref="B56:B60"/>
    <mergeCell ref="C229:C232"/>
  </mergeCells>
  <conditionalFormatting sqref="E349:F349">
    <cfRule type="cellIs" dxfId="1165" priority="152" operator="lessThan">
      <formula>0</formula>
    </cfRule>
    <cfRule type="cellIs" dxfId="1164" priority="153" operator="greaterThan">
      <formula>0</formula>
    </cfRule>
  </conditionalFormatting>
  <conditionalFormatting sqref="E39:L39">
    <cfRule type="cellIs" dxfId="1163" priority="332" operator="greaterThan">
      <formula>1</formula>
    </cfRule>
    <cfRule type="cellIs" dxfId="1162" priority="331" operator="lessThan">
      <formula>1</formula>
    </cfRule>
    <cfRule type="cellIs" dxfId="1161" priority="330" operator="greaterThan">
      <formula>1</formula>
    </cfRule>
    <cfRule type="cellIs" dxfId="1160" priority="329" operator="greaterThan">
      <formula>1</formula>
    </cfRule>
  </conditionalFormatting>
  <conditionalFormatting sqref="E40:L40">
    <cfRule type="cellIs" dxfId="1159" priority="334" operator="greaterThan">
      <formula>50</formula>
    </cfRule>
    <cfRule type="cellIs" dxfId="1158" priority="333" operator="lessThan">
      <formula>50</formula>
    </cfRule>
    <cfRule type="cellIs" dxfId="1157" priority="328" operator="greaterThan">
      <formula>50</formula>
    </cfRule>
  </conditionalFormatting>
  <conditionalFormatting sqref="E44:L44">
    <cfRule type="cellIs" dxfId="1156" priority="327" operator="greaterThan">
      <formula>1</formula>
    </cfRule>
    <cfRule type="cellIs" dxfId="1155" priority="326" operator="lessThan">
      <formula>1</formula>
    </cfRule>
    <cfRule type="cellIs" dxfId="1154" priority="325" operator="greaterThan">
      <formula>1</formula>
    </cfRule>
    <cfRule type="cellIs" dxfId="1153" priority="324" operator="greaterThan">
      <formula>1</formula>
    </cfRule>
  </conditionalFormatting>
  <conditionalFormatting sqref="E45:L45">
    <cfRule type="cellIs" dxfId="1152" priority="321" operator="greaterThan">
      <formula>50</formula>
    </cfRule>
    <cfRule type="cellIs" dxfId="1151" priority="323" operator="greaterThan">
      <formula>50</formula>
    </cfRule>
    <cfRule type="cellIs" dxfId="1150" priority="322" operator="lessThan">
      <formula>50</formula>
    </cfRule>
  </conditionalFormatting>
  <conditionalFormatting sqref="E50:L50">
    <cfRule type="cellIs" dxfId="1149" priority="144" operator="lessThan">
      <formula>1</formula>
    </cfRule>
    <cfRule type="cellIs" dxfId="1148" priority="145" operator="greaterThan">
      <formula>1</formula>
    </cfRule>
    <cfRule type="cellIs" dxfId="1147" priority="141" operator="lessThan">
      <formula>1</formula>
    </cfRule>
    <cfRule type="cellIs" dxfId="1146" priority="142" operator="greaterThan">
      <formula>1</formula>
    </cfRule>
    <cfRule type="cellIs" dxfId="1145" priority="143" operator="greaterThan">
      <formula>1</formula>
    </cfRule>
  </conditionalFormatting>
  <conditionalFormatting sqref="E51:L51">
    <cfRule type="cellIs" dxfId="1144" priority="138" operator="lessThan">
      <formula>50</formula>
    </cfRule>
    <cfRule type="cellIs" dxfId="1143" priority="140" operator="greaterThan">
      <formula>50</formula>
    </cfRule>
    <cfRule type="cellIs" dxfId="1142" priority="139" operator="lessThan">
      <formula>50</formula>
    </cfRule>
  </conditionalFormatting>
  <conditionalFormatting sqref="F360:K360">
    <cfRule type="cellIs" dxfId="1141" priority="26" operator="greaterThan">
      <formula>0</formula>
    </cfRule>
    <cfRule type="cellIs" dxfId="1140" priority="25" operator="lessThan">
      <formula>0</formula>
    </cfRule>
  </conditionalFormatting>
  <conditionalFormatting sqref="F370:K370">
    <cfRule type="cellIs" dxfId="1139" priority="60" operator="lessThan">
      <formula>0</formula>
    </cfRule>
  </conditionalFormatting>
  <conditionalFormatting sqref="F320:L321">
    <cfRule type="cellIs" dxfId="1138" priority="163" operator="lessThan">
      <formula>1</formula>
    </cfRule>
  </conditionalFormatting>
  <conditionalFormatting sqref="F431:L431">
    <cfRule type="cellIs" dxfId="1137" priority="13" operator="lessThan">
      <formula>0</formula>
    </cfRule>
  </conditionalFormatting>
  <conditionalFormatting sqref="F432:L434">
    <cfRule type="cellIs" dxfId="1136" priority="11" operator="greaterThan">
      <formula>0</formula>
    </cfRule>
  </conditionalFormatting>
  <conditionalFormatting sqref="F434:L434">
    <cfRule type="cellIs" dxfId="1135" priority="16" operator="lessThan">
      <formula>0</formula>
    </cfRule>
    <cfRule type="cellIs" dxfId="1134" priority="15" operator="greaterThan">
      <formula>0</formula>
    </cfRule>
  </conditionalFormatting>
  <conditionalFormatting sqref="G325:L325">
    <cfRule type="cellIs" dxfId="1133" priority="206" operator="greaterThan">
      <formula>0</formula>
    </cfRule>
    <cfRule type="cellIs" dxfId="1132" priority="206" operator="lessThan">
      <formula>1</formula>
    </cfRule>
  </conditionalFormatting>
  <conditionalFormatting sqref="H411:J411">
    <cfRule type="cellIs" dxfId="1131" priority="2" operator="greaterThan">
      <formula>0</formula>
    </cfRule>
  </conditionalFormatting>
  <conditionalFormatting sqref="H59:K59">
    <cfRule type="cellIs" dxfId="1130" priority="133" operator="greaterThan">
      <formula>0</formula>
    </cfRule>
  </conditionalFormatting>
  <conditionalFormatting sqref="H60:K60">
    <cfRule type="cellIs" dxfId="1129" priority="135" operator="greaterThan">
      <formula>50</formula>
    </cfRule>
    <cfRule type="cellIs" dxfId="1128" priority="134" operator="lessThan">
      <formula>50</formula>
    </cfRule>
    <cfRule type="cellIs" dxfId="1127" priority="132" operator="greaterThan">
      <formula>50</formula>
    </cfRule>
    <cfRule type="cellIs" dxfId="1126" priority="131" operator="lessThan">
      <formula>50</formula>
    </cfRule>
  </conditionalFormatting>
  <conditionalFormatting sqref="H339:K339">
    <cfRule type="cellIs" dxfId="1125" priority="200" operator="lessThan">
      <formula>0</formula>
    </cfRule>
    <cfRule type="cellIs" dxfId="1124" priority="200" operator="greaterThan">
      <formula>0</formula>
    </cfRule>
    <cfRule type="cellIs" dxfId="1123" priority="200" operator="greaterThan">
      <formula>0</formula>
    </cfRule>
    <cfRule type="cellIs" dxfId="1122" priority="200" operator="lessThan">
      <formula>0</formula>
    </cfRule>
  </conditionalFormatting>
  <conditionalFormatting sqref="H340:K340">
    <cfRule type="cellIs" dxfId="1121" priority="197" operator="greaterThan">
      <formula>50</formula>
    </cfRule>
    <cfRule type="cellIs" dxfId="1120" priority="197" operator="lessThan">
      <formula>50</formula>
    </cfRule>
    <cfRule type="cellIs" dxfId="1119" priority="197" operator="greaterThan">
      <formula>50</formula>
    </cfRule>
  </conditionalFormatting>
  <conditionalFormatting sqref="H411:K411">
    <cfRule type="cellIs" dxfId="1118" priority="1" operator="lessThan">
      <formula>0</formula>
    </cfRule>
  </conditionalFormatting>
  <conditionalFormatting sqref="H412:K412">
    <cfRule type="cellIs" dxfId="1117" priority="3" operator="lessThan">
      <formula>50</formula>
    </cfRule>
    <cfRule type="cellIs" dxfId="1116" priority="4" operator="greaterThan">
      <formula>50</formula>
    </cfRule>
  </conditionalFormatting>
  <conditionalFormatting sqref="H55:L55">
    <cfRule type="cellIs" dxfId="1115" priority="136" operator="lessThan">
      <formula>0</formula>
    </cfRule>
    <cfRule type="cellIs" dxfId="1114" priority="137" operator="greaterThan">
      <formula>0</formula>
    </cfRule>
  </conditionalFormatting>
  <conditionalFormatting sqref="I329:J329">
    <cfRule type="cellIs" dxfId="1113" priority="339" operator="greaterThan">
      <formula>0</formula>
    </cfRule>
  </conditionalFormatting>
  <conditionalFormatting sqref="I329:L329">
    <cfRule type="cellIs" dxfId="1112" priority="188" operator="lessThan">
      <formula>1</formula>
    </cfRule>
  </conditionalFormatting>
  <conditionalFormatting sqref="I330:L330">
    <cfRule type="cellIs" dxfId="1111" priority="196" operator="greaterThan">
      <formula>50</formula>
    </cfRule>
    <cfRule type="cellIs" dxfId="1110" priority="205" operator="lessThan">
      <formula>50</formula>
    </cfRule>
  </conditionalFormatting>
  <conditionalFormatting sqref="K421">
    <cfRule type="cellIs" dxfId="1109" priority="5" operator="lessThan">
      <formula>50</formula>
    </cfRule>
    <cfRule type="cellIs" dxfId="1108" priority="6" operator="lessThan">
      <formula>50</formula>
    </cfRule>
    <cfRule type="cellIs" dxfId="1107" priority="7" operator="greaterThan">
      <formula>50</formula>
    </cfRule>
  </conditionalFormatting>
  <hyperlinks>
    <hyperlink ref="M1" location="INDICADORES!A1" display="INDICADORES" xr:uid="{CB43B44F-1F7B-409F-8514-73BB304A2462}"/>
    <hyperlink ref="O1" location="DISTRITOS!A1" display="DISTRITOS" xr:uid="{6F1311C6-07D2-4788-9D8B-C7D7B1C7EF97}"/>
  </hyperlinks>
  <pageMargins left="0.7" right="0.7" top="0.75" bottom="0.75" header="0.3" footer="0.3"/>
  <pageSetup paperSize="9" orientation="portrait" verticalDpi="0" r:id="rId1"/>
  <ignoredErrors>
    <ignoredError sqref="L47:L49"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2EB8E-37C6-4F7E-ABCC-8B57F423203B}">
  <sheetPr codeName="Hoja7">
    <tabColor theme="8" tint="-0.249977111117893"/>
  </sheetPr>
  <dimension ref="A1:Q466"/>
  <sheetViews>
    <sheetView showGridLines="0" topLeftCell="H1" zoomScale="75" zoomScaleNormal="75" workbookViewId="0">
      <pane ySplit="2" topLeftCell="A444" activePane="bottomLeft" state="frozen"/>
      <selection activeCell="D65" sqref="A65:XFD312"/>
      <selection pane="bottomLeft" activeCell="P452" sqref="P452:P453"/>
    </sheetView>
  </sheetViews>
  <sheetFormatPr baseColWidth="10" defaultColWidth="11.42578125" defaultRowHeight="15.75" x14ac:dyDescent="0.25"/>
  <cols>
    <col min="1" max="1" width="26.5703125" style="11" customWidth="1"/>
    <col min="2" max="2" width="50.5703125" style="11" customWidth="1"/>
    <col min="3" max="4" width="30.5703125" style="205" customWidth="1"/>
    <col min="5" max="12" width="13.5703125" style="11" customWidth="1"/>
    <col min="13" max="15" width="14" style="11" customWidth="1"/>
    <col min="16" max="16384" width="11.42578125" style="11"/>
  </cols>
  <sheetData>
    <row r="1" spans="1:15" ht="30" customHeight="1" thickTop="1" thickBot="1" x14ac:dyDescent="0.3">
      <c r="A1" s="1020" t="s">
        <v>540</v>
      </c>
      <c r="B1" s="1020"/>
      <c r="C1" s="1020"/>
      <c r="D1" s="1020"/>
      <c r="E1" s="1020"/>
      <c r="F1" s="1020"/>
      <c r="G1" s="1020"/>
      <c r="H1" s="1020"/>
      <c r="I1" s="1020"/>
      <c r="J1" s="1020"/>
      <c r="K1" s="1020"/>
      <c r="M1" s="479" t="s">
        <v>246</v>
      </c>
      <c r="N1" s="480"/>
      <c r="O1" s="481" t="s">
        <v>247</v>
      </c>
    </row>
    <row r="2" spans="1:15" ht="18" customHeight="1" thickTop="1" thickBot="1" x14ac:dyDescent="0.3">
      <c r="A2" s="151" t="s">
        <v>248</v>
      </c>
      <c r="B2" s="731" t="s">
        <v>249</v>
      </c>
      <c r="C2" s="1467"/>
      <c r="D2" s="1467"/>
      <c r="E2" s="120">
        <v>2005</v>
      </c>
      <c r="F2" s="120">
        <v>2010</v>
      </c>
      <c r="G2" s="120">
        <v>2015</v>
      </c>
      <c r="H2" s="120">
        <v>2020</v>
      </c>
      <c r="I2" s="120">
        <v>2021</v>
      </c>
      <c r="J2" s="120">
        <v>2022</v>
      </c>
      <c r="K2" s="120">
        <v>2023</v>
      </c>
      <c r="L2" s="121">
        <v>2024</v>
      </c>
    </row>
    <row r="3" spans="1:15" s="64" customFormat="1" ht="16.5" thickBot="1" x14ac:dyDescent="0.3">
      <c r="A3" s="1468" t="s">
        <v>26</v>
      </c>
      <c r="B3" s="1426" t="s">
        <v>250</v>
      </c>
      <c r="C3" s="1471" t="s">
        <v>251</v>
      </c>
      <c r="D3" s="1472"/>
      <c r="E3" s="730">
        <v>150689</v>
      </c>
      <c r="F3" s="130">
        <v>147735</v>
      </c>
      <c r="G3" s="130">
        <v>142388</v>
      </c>
      <c r="H3" s="130">
        <v>147854</v>
      </c>
      <c r="I3" s="130">
        <v>146016</v>
      </c>
      <c r="J3" s="130">
        <v>145457</v>
      </c>
      <c r="K3" s="130">
        <v>145702</v>
      </c>
      <c r="L3" s="132">
        <v>149778</v>
      </c>
      <c r="M3" s="11"/>
    </row>
    <row r="4" spans="1:15" ht="16.5" thickBot="1" x14ac:dyDescent="0.3">
      <c r="A4" s="1469"/>
      <c r="B4" s="1195"/>
      <c r="C4" s="1301" t="s">
        <v>257</v>
      </c>
      <c r="D4" s="1473"/>
      <c r="E4" s="369">
        <v>66203</v>
      </c>
      <c r="F4" s="80">
        <v>64654</v>
      </c>
      <c r="G4" s="80">
        <v>62435</v>
      </c>
      <c r="H4" s="80">
        <v>65220</v>
      </c>
      <c r="I4" s="80">
        <v>64540</v>
      </c>
      <c r="J4" s="80">
        <v>64343</v>
      </c>
      <c r="K4" s="80">
        <v>64452</v>
      </c>
      <c r="L4" s="83">
        <v>66374</v>
      </c>
    </row>
    <row r="5" spans="1:15" ht="16.5" thickBot="1" x14ac:dyDescent="0.3">
      <c r="A5" s="1469"/>
      <c r="B5" s="1195"/>
      <c r="C5" s="1301" t="s">
        <v>263</v>
      </c>
      <c r="D5" s="1473"/>
      <c r="E5" s="369">
        <v>84486</v>
      </c>
      <c r="F5" s="80">
        <v>83081</v>
      </c>
      <c r="G5" s="80">
        <v>79953</v>
      </c>
      <c r="H5" s="80">
        <v>82634</v>
      </c>
      <c r="I5" s="80">
        <v>81476</v>
      </c>
      <c r="J5" s="80">
        <v>81114</v>
      </c>
      <c r="K5" s="80">
        <v>81250</v>
      </c>
      <c r="L5" s="83">
        <v>83404</v>
      </c>
    </row>
    <row r="6" spans="1:15" ht="16.5" thickBot="1" x14ac:dyDescent="0.3">
      <c r="A6" s="1469"/>
      <c r="B6" s="1196"/>
      <c r="C6" s="1307" t="s">
        <v>269</v>
      </c>
      <c r="D6" s="1474"/>
      <c r="E6" s="370">
        <f>+E5-E4</f>
        <v>18283</v>
      </c>
      <c r="F6" s="363">
        <f t="shared" ref="F6:L6" si="0">+F5-F4</f>
        <v>18427</v>
      </c>
      <c r="G6" s="363">
        <f t="shared" si="0"/>
        <v>17518</v>
      </c>
      <c r="H6" s="363">
        <f t="shared" si="0"/>
        <v>17414</v>
      </c>
      <c r="I6" s="363">
        <f t="shared" si="0"/>
        <v>16936</v>
      </c>
      <c r="J6" s="363">
        <f t="shared" si="0"/>
        <v>16771</v>
      </c>
      <c r="K6" s="363">
        <f t="shared" si="0"/>
        <v>16798</v>
      </c>
      <c r="L6" s="365">
        <f t="shared" si="0"/>
        <v>17030</v>
      </c>
    </row>
    <row r="7" spans="1:15" ht="16.5" thickBot="1" x14ac:dyDescent="0.3">
      <c r="A7" s="1469"/>
      <c r="B7" s="1197"/>
      <c r="C7" s="1419" t="s">
        <v>270</v>
      </c>
      <c r="D7" s="1475"/>
      <c r="E7" s="377">
        <f>E5/E3*100</f>
        <v>56.066468023545177</v>
      </c>
      <c r="F7" s="378">
        <f t="shared" ref="F7:L7" si="1">F5/F3*100</f>
        <v>56.23650455206959</v>
      </c>
      <c r="G7" s="378">
        <f t="shared" si="1"/>
        <v>56.15150153102789</v>
      </c>
      <c r="H7" s="378">
        <f t="shared" si="1"/>
        <v>55.888917445588213</v>
      </c>
      <c r="I7" s="378">
        <f t="shared" si="1"/>
        <v>55.799364453210607</v>
      </c>
      <c r="J7" s="378">
        <f t="shared" si="1"/>
        <v>55.764933966739314</v>
      </c>
      <c r="K7" s="378">
        <f t="shared" si="1"/>
        <v>55.764505634788819</v>
      </c>
      <c r="L7" s="379">
        <f t="shared" si="1"/>
        <v>55.685080585933846</v>
      </c>
    </row>
    <row r="8" spans="1:15" ht="16.5" thickBot="1" x14ac:dyDescent="0.3">
      <c r="A8" s="1469"/>
      <c r="B8" s="1198" t="s">
        <v>271</v>
      </c>
      <c r="C8" s="1300" t="s">
        <v>257</v>
      </c>
      <c r="D8" s="388" t="s">
        <v>272</v>
      </c>
      <c r="E8" s="368">
        <v>66203</v>
      </c>
      <c r="F8" s="81">
        <v>64654</v>
      </c>
      <c r="G8" s="81">
        <v>62435</v>
      </c>
      <c r="H8" s="81">
        <v>65220</v>
      </c>
      <c r="I8" s="81">
        <v>64540</v>
      </c>
      <c r="J8" s="81">
        <v>64343</v>
      </c>
      <c r="K8" s="81">
        <v>64452</v>
      </c>
      <c r="L8" s="82">
        <v>66374</v>
      </c>
    </row>
    <row r="9" spans="1:15" ht="16.5" thickBot="1" x14ac:dyDescent="0.3">
      <c r="A9" s="1469"/>
      <c r="B9" s="1199"/>
      <c r="C9" s="1301"/>
      <c r="D9" s="389" t="s">
        <v>275</v>
      </c>
      <c r="E9" s="369">
        <v>9066</v>
      </c>
      <c r="F9" s="80">
        <v>8637</v>
      </c>
      <c r="G9" s="80">
        <v>8306</v>
      </c>
      <c r="H9" s="80">
        <v>8347</v>
      </c>
      <c r="I9" s="80">
        <v>8175</v>
      </c>
      <c r="J9" s="80">
        <v>7973</v>
      </c>
      <c r="K9" s="80">
        <v>7798</v>
      </c>
      <c r="L9" s="83">
        <v>7249</v>
      </c>
    </row>
    <row r="10" spans="1:15" ht="16.5" thickBot="1" x14ac:dyDescent="0.3">
      <c r="A10" s="1469"/>
      <c r="B10" s="1199"/>
      <c r="C10" s="1301"/>
      <c r="D10" s="389" t="s">
        <v>282</v>
      </c>
      <c r="E10" s="369">
        <v>45697</v>
      </c>
      <c r="F10" s="80">
        <v>44278</v>
      </c>
      <c r="G10" s="80">
        <v>41820</v>
      </c>
      <c r="H10" s="80">
        <v>43883</v>
      </c>
      <c r="I10" s="80">
        <v>43511</v>
      </c>
      <c r="J10" s="80">
        <v>43376</v>
      </c>
      <c r="K10" s="80">
        <v>43501</v>
      </c>
      <c r="L10" s="83">
        <v>45677</v>
      </c>
    </row>
    <row r="11" spans="1:15" ht="16.5" thickBot="1" x14ac:dyDescent="0.3">
      <c r="A11" s="1469"/>
      <c r="B11" s="1199"/>
      <c r="C11" s="1301"/>
      <c r="D11" s="389" t="s">
        <v>288</v>
      </c>
      <c r="E11" s="369">
        <v>11437</v>
      </c>
      <c r="F11" s="80">
        <v>11738</v>
      </c>
      <c r="G11" s="80">
        <v>12309</v>
      </c>
      <c r="H11" s="80">
        <v>12990</v>
      </c>
      <c r="I11" s="80">
        <v>12854</v>
      </c>
      <c r="J11" s="80">
        <v>12994</v>
      </c>
      <c r="K11" s="80">
        <v>13153</v>
      </c>
      <c r="L11" s="83">
        <v>13448</v>
      </c>
    </row>
    <row r="12" spans="1:15" ht="16.5" thickBot="1" x14ac:dyDescent="0.3">
      <c r="A12" s="1469"/>
      <c r="B12" s="1199"/>
      <c r="C12" s="1301"/>
      <c r="D12" s="389" t="s">
        <v>295</v>
      </c>
      <c r="E12" s="369">
        <v>3100</v>
      </c>
      <c r="F12" s="80">
        <v>3627</v>
      </c>
      <c r="G12" s="80">
        <v>4075</v>
      </c>
      <c r="H12" s="80">
        <v>3908</v>
      </c>
      <c r="I12" s="80">
        <v>3841</v>
      </c>
      <c r="J12" s="80">
        <v>3859</v>
      </c>
      <c r="K12" s="80">
        <v>3873</v>
      </c>
      <c r="L12" s="83">
        <v>3997</v>
      </c>
    </row>
    <row r="13" spans="1:15" ht="16.5" thickBot="1" x14ac:dyDescent="0.3">
      <c r="A13" s="1469"/>
      <c r="B13" s="1199"/>
      <c r="C13" s="1302"/>
      <c r="D13" s="390" t="s">
        <v>296</v>
      </c>
      <c r="E13" s="387">
        <v>3</v>
      </c>
      <c r="F13" s="381">
        <v>1</v>
      </c>
      <c r="G13" s="267">
        <v>0</v>
      </c>
      <c r="H13" s="381">
        <v>0</v>
      </c>
      <c r="I13" s="267">
        <v>0</v>
      </c>
      <c r="J13" s="267">
        <v>0</v>
      </c>
      <c r="K13" s="267">
        <v>0</v>
      </c>
      <c r="L13" s="268">
        <v>0</v>
      </c>
    </row>
    <row r="14" spans="1:15" s="64" customFormat="1" ht="16.5" thickBot="1" x14ac:dyDescent="0.3">
      <c r="A14" s="1469"/>
      <c r="B14" s="1199"/>
      <c r="C14" s="1300" t="s">
        <v>263</v>
      </c>
      <c r="D14" s="388" t="s">
        <v>272</v>
      </c>
      <c r="E14" s="368">
        <v>84486</v>
      </c>
      <c r="F14" s="81">
        <v>83081</v>
      </c>
      <c r="G14" s="81">
        <v>79953</v>
      </c>
      <c r="H14" s="81">
        <v>82634</v>
      </c>
      <c r="I14" s="81">
        <v>81476</v>
      </c>
      <c r="J14" s="81">
        <v>81114</v>
      </c>
      <c r="K14" s="81">
        <v>81250</v>
      </c>
      <c r="L14" s="82">
        <v>83404</v>
      </c>
      <c r="M14" s="11"/>
    </row>
    <row r="15" spans="1:15" ht="16.5" thickBot="1" x14ac:dyDescent="0.3">
      <c r="A15" s="1469"/>
      <c r="B15" s="1199"/>
      <c r="C15" s="1301"/>
      <c r="D15" s="389" t="s">
        <v>275</v>
      </c>
      <c r="E15" s="369">
        <v>8658</v>
      </c>
      <c r="F15" s="80">
        <v>8373</v>
      </c>
      <c r="G15" s="80">
        <v>8166</v>
      </c>
      <c r="H15" s="80">
        <v>8160</v>
      </c>
      <c r="I15" s="80">
        <v>7972</v>
      </c>
      <c r="J15" s="80">
        <v>7889</v>
      </c>
      <c r="K15" s="80">
        <v>7687</v>
      </c>
      <c r="L15" s="83">
        <v>7219</v>
      </c>
    </row>
    <row r="16" spans="1:15" ht="16.5" thickBot="1" x14ac:dyDescent="0.3">
      <c r="A16" s="1469"/>
      <c r="B16" s="1199"/>
      <c r="C16" s="1301"/>
      <c r="D16" s="389" t="s">
        <v>282</v>
      </c>
      <c r="E16" s="369">
        <v>53944</v>
      </c>
      <c r="F16" s="80">
        <v>53033</v>
      </c>
      <c r="G16" s="80">
        <v>49871</v>
      </c>
      <c r="H16" s="80">
        <v>52313</v>
      </c>
      <c r="I16" s="80">
        <v>51611</v>
      </c>
      <c r="J16" s="80">
        <v>51324</v>
      </c>
      <c r="K16" s="80">
        <v>51575</v>
      </c>
      <c r="L16" s="83">
        <v>53981</v>
      </c>
    </row>
    <row r="17" spans="1:13" ht="16.5" thickBot="1" x14ac:dyDescent="0.3">
      <c r="A17" s="1469"/>
      <c r="B17" s="1199"/>
      <c r="C17" s="1301"/>
      <c r="D17" s="389" t="s">
        <v>288</v>
      </c>
      <c r="E17" s="369">
        <v>21880</v>
      </c>
      <c r="F17" s="80">
        <v>21671</v>
      </c>
      <c r="G17" s="80">
        <v>21916</v>
      </c>
      <c r="H17" s="80">
        <v>22161</v>
      </c>
      <c r="I17" s="80">
        <v>21893</v>
      </c>
      <c r="J17" s="80">
        <v>21901</v>
      </c>
      <c r="K17" s="80">
        <v>21988</v>
      </c>
      <c r="L17" s="83">
        <v>22203</v>
      </c>
    </row>
    <row r="18" spans="1:13" ht="16.5" thickBot="1" x14ac:dyDescent="0.3">
      <c r="A18" s="1469"/>
      <c r="B18" s="1199"/>
      <c r="C18" s="1301"/>
      <c r="D18" s="389" t="s">
        <v>295</v>
      </c>
      <c r="E18" s="369">
        <v>8140</v>
      </c>
      <c r="F18" s="80">
        <v>8593</v>
      </c>
      <c r="G18" s="80">
        <v>9124</v>
      </c>
      <c r="H18" s="80">
        <v>8799</v>
      </c>
      <c r="I18" s="80">
        <v>8669</v>
      </c>
      <c r="J18" s="80">
        <v>8624</v>
      </c>
      <c r="K18" s="80">
        <v>8597</v>
      </c>
      <c r="L18" s="83">
        <v>8691</v>
      </c>
    </row>
    <row r="19" spans="1:13" ht="16.5" thickBot="1" x14ac:dyDescent="0.3">
      <c r="A19" s="1469"/>
      <c r="B19" s="1199"/>
      <c r="C19" s="1302"/>
      <c r="D19" s="390" t="s">
        <v>296</v>
      </c>
      <c r="E19" s="387">
        <v>4</v>
      </c>
      <c r="F19" s="381">
        <v>4</v>
      </c>
      <c r="G19" s="267">
        <v>0</v>
      </c>
      <c r="H19" s="267">
        <v>0</v>
      </c>
      <c r="I19" s="267">
        <v>0</v>
      </c>
      <c r="J19" s="267">
        <v>0</v>
      </c>
      <c r="K19" s="267">
        <v>0</v>
      </c>
      <c r="L19" s="268">
        <v>1</v>
      </c>
    </row>
    <row r="20" spans="1:13" ht="16.5" thickBot="1" x14ac:dyDescent="0.3">
      <c r="A20" s="1469"/>
      <c r="B20" s="1199"/>
      <c r="C20" s="1306" t="s">
        <v>269</v>
      </c>
      <c r="D20" s="388" t="s">
        <v>272</v>
      </c>
      <c r="E20" s="374">
        <f>E14-E8</f>
        <v>18283</v>
      </c>
      <c r="F20" s="375">
        <f t="shared" ref="F20:L20" si="2">F14-F8</f>
        <v>18427</v>
      </c>
      <c r="G20" s="375">
        <f t="shared" si="2"/>
        <v>17518</v>
      </c>
      <c r="H20" s="375">
        <f t="shared" si="2"/>
        <v>17414</v>
      </c>
      <c r="I20" s="375">
        <f t="shared" si="2"/>
        <v>16936</v>
      </c>
      <c r="J20" s="375">
        <f t="shared" si="2"/>
        <v>16771</v>
      </c>
      <c r="K20" s="375">
        <f t="shared" si="2"/>
        <v>16798</v>
      </c>
      <c r="L20" s="376">
        <f t="shared" si="2"/>
        <v>17030</v>
      </c>
    </row>
    <row r="21" spans="1:13" ht="16.5" thickBot="1" x14ac:dyDescent="0.3">
      <c r="A21" s="1469"/>
      <c r="B21" s="1199"/>
      <c r="C21" s="1307"/>
      <c r="D21" s="392" t="s">
        <v>275</v>
      </c>
      <c r="E21" s="319">
        <f t="shared" ref="E21:L24" si="3">E15-E9</f>
        <v>-408</v>
      </c>
      <c r="F21" s="157">
        <f t="shared" si="3"/>
        <v>-264</v>
      </c>
      <c r="G21" s="157">
        <f t="shared" si="3"/>
        <v>-140</v>
      </c>
      <c r="H21" s="157">
        <f t="shared" si="3"/>
        <v>-187</v>
      </c>
      <c r="I21" s="157">
        <f t="shared" si="3"/>
        <v>-203</v>
      </c>
      <c r="J21" s="157">
        <f t="shared" si="3"/>
        <v>-84</v>
      </c>
      <c r="K21" s="157">
        <f t="shared" si="3"/>
        <v>-111</v>
      </c>
      <c r="L21" s="160">
        <f>L15-L9</f>
        <v>-30</v>
      </c>
    </row>
    <row r="22" spans="1:13" ht="16.5" thickBot="1" x14ac:dyDescent="0.3">
      <c r="A22" s="1469"/>
      <c r="B22" s="1199"/>
      <c r="C22" s="1307"/>
      <c r="D22" s="392" t="s">
        <v>282</v>
      </c>
      <c r="E22" s="370">
        <f t="shared" si="3"/>
        <v>8247</v>
      </c>
      <c r="F22" s="363">
        <f t="shared" si="3"/>
        <v>8755</v>
      </c>
      <c r="G22" s="363">
        <f t="shared" si="3"/>
        <v>8051</v>
      </c>
      <c r="H22" s="363">
        <f t="shared" si="3"/>
        <v>8430</v>
      </c>
      <c r="I22" s="363">
        <f t="shared" si="3"/>
        <v>8100</v>
      </c>
      <c r="J22" s="363">
        <f t="shared" si="3"/>
        <v>7948</v>
      </c>
      <c r="K22" s="363">
        <f t="shared" si="3"/>
        <v>8074</v>
      </c>
      <c r="L22" s="365">
        <f t="shared" si="3"/>
        <v>8304</v>
      </c>
    </row>
    <row r="23" spans="1:13" ht="16.5" thickBot="1" x14ac:dyDescent="0.3">
      <c r="A23" s="1469"/>
      <c r="B23" s="1199"/>
      <c r="C23" s="1307"/>
      <c r="D23" s="392" t="s">
        <v>288</v>
      </c>
      <c r="E23" s="370">
        <f t="shared" si="3"/>
        <v>10443</v>
      </c>
      <c r="F23" s="363">
        <f t="shared" si="3"/>
        <v>9933</v>
      </c>
      <c r="G23" s="363">
        <f t="shared" si="3"/>
        <v>9607</v>
      </c>
      <c r="H23" s="363">
        <f t="shared" si="3"/>
        <v>9171</v>
      </c>
      <c r="I23" s="363">
        <f t="shared" si="3"/>
        <v>9039</v>
      </c>
      <c r="J23" s="363">
        <f t="shared" si="3"/>
        <v>8907</v>
      </c>
      <c r="K23" s="363">
        <f t="shared" si="3"/>
        <v>8835</v>
      </c>
      <c r="L23" s="365">
        <f t="shared" si="3"/>
        <v>8755</v>
      </c>
    </row>
    <row r="24" spans="1:13" ht="16.5" thickBot="1" x14ac:dyDescent="0.3">
      <c r="A24" s="1469"/>
      <c r="B24" s="1199"/>
      <c r="C24" s="1308"/>
      <c r="D24" s="393" t="s">
        <v>295</v>
      </c>
      <c r="E24" s="391">
        <f t="shared" si="3"/>
        <v>5040</v>
      </c>
      <c r="F24" s="382">
        <f t="shared" si="3"/>
        <v>4966</v>
      </c>
      <c r="G24" s="382">
        <f t="shared" si="3"/>
        <v>5049</v>
      </c>
      <c r="H24" s="382">
        <f t="shared" si="3"/>
        <v>4891</v>
      </c>
      <c r="I24" s="382">
        <f t="shared" si="3"/>
        <v>4828</v>
      </c>
      <c r="J24" s="382">
        <f t="shared" si="3"/>
        <v>4765</v>
      </c>
      <c r="K24" s="382">
        <f t="shared" si="3"/>
        <v>4724</v>
      </c>
      <c r="L24" s="383">
        <f t="shared" si="3"/>
        <v>4694</v>
      </c>
    </row>
    <row r="25" spans="1:13" ht="15" customHeight="1" thickBot="1" x14ac:dyDescent="0.3">
      <c r="A25" s="1469"/>
      <c r="B25" s="1199"/>
      <c r="C25" s="1265" t="s">
        <v>270</v>
      </c>
      <c r="D25" s="388" t="s">
        <v>272</v>
      </c>
      <c r="E25" s="394">
        <f>E14/E3*100</f>
        <v>56.066468023545177</v>
      </c>
      <c r="F25" s="384">
        <f t="shared" ref="F25:L25" si="4">F14/F3*100</f>
        <v>56.23650455206959</v>
      </c>
      <c r="G25" s="384">
        <f t="shared" si="4"/>
        <v>56.15150153102789</v>
      </c>
      <c r="H25" s="384">
        <f t="shared" si="4"/>
        <v>55.888917445588213</v>
      </c>
      <c r="I25" s="384">
        <f t="shared" si="4"/>
        <v>55.799364453210607</v>
      </c>
      <c r="J25" s="384">
        <f t="shared" si="4"/>
        <v>55.764933966739314</v>
      </c>
      <c r="K25" s="384">
        <f t="shared" si="4"/>
        <v>55.764505634788819</v>
      </c>
      <c r="L25" s="385">
        <f t="shared" si="4"/>
        <v>55.685080585933846</v>
      </c>
    </row>
    <row r="26" spans="1:13" ht="16.5" thickBot="1" x14ac:dyDescent="0.3">
      <c r="A26" s="1469"/>
      <c r="B26" s="1199"/>
      <c r="C26" s="1360"/>
      <c r="D26" s="392" t="s">
        <v>275</v>
      </c>
      <c r="E26" s="395">
        <f>(E15/(E15+E9))*100</f>
        <v>48.849018280297898</v>
      </c>
      <c r="F26" s="158">
        <f t="shared" ref="F26:L27" si="5">(F15/(F15+F9))*100</f>
        <v>49.223985890652557</v>
      </c>
      <c r="G26" s="158">
        <f t="shared" si="5"/>
        <v>49.575036425449248</v>
      </c>
      <c r="H26" s="158">
        <f t="shared" si="5"/>
        <v>49.433573635427393</v>
      </c>
      <c r="I26" s="158">
        <f t="shared" si="5"/>
        <v>49.371400260110235</v>
      </c>
      <c r="J26" s="158">
        <f t="shared" si="5"/>
        <v>49.735216240070606</v>
      </c>
      <c r="K26" s="158">
        <f t="shared" si="5"/>
        <v>49.64158863416209</v>
      </c>
      <c r="L26" s="330">
        <f t="shared" si="5"/>
        <v>49.896322919546584</v>
      </c>
    </row>
    <row r="27" spans="1:13" ht="16.5" thickBot="1" x14ac:dyDescent="0.3">
      <c r="A27" s="1469"/>
      <c r="B27" s="1199"/>
      <c r="C27" s="1360"/>
      <c r="D27" s="392" t="s">
        <v>282</v>
      </c>
      <c r="E27" s="396">
        <f>(E16/(E16+E10))*100</f>
        <v>54.138356700554993</v>
      </c>
      <c r="F27" s="364">
        <f t="shared" si="5"/>
        <v>54.498463688586085</v>
      </c>
      <c r="G27" s="364">
        <f t="shared" si="5"/>
        <v>54.390289123250923</v>
      </c>
      <c r="H27" s="364">
        <f t="shared" si="5"/>
        <v>54.381679071894887</v>
      </c>
      <c r="I27" s="364">
        <f t="shared" si="5"/>
        <v>54.257690124261472</v>
      </c>
      <c r="J27" s="364">
        <f t="shared" si="5"/>
        <v>54.196409714889128</v>
      </c>
      <c r="K27" s="364">
        <f t="shared" si="5"/>
        <v>54.246076822752322</v>
      </c>
      <c r="L27" s="386">
        <f t="shared" si="5"/>
        <v>54.166248570109779</v>
      </c>
    </row>
    <row r="28" spans="1:13" ht="16.5" thickBot="1" x14ac:dyDescent="0.3">
      <c r="A28" s="1469"/>
      <c r="B28" s="1199"/>
      <c r="C28" s="1360"/>
      <c r="D28" s="392" t="s">
        <v>288</v>
      </c>
      <c r="E28" s="396">
        <f t="shared" ref="E28:L29" si="6">(E17/(E17+E11))*100</f>
        <v>65.672179367890266</v>
      </c>
      <c r="F28" s="364">
        <f t="shared" si="6"/>
        <v>64.86575473674759</v>
      </c>
      <c r="G28" s="364">
        <f t="shared" si="6"/>
        <v>64.035062089116153</v>
      </c>
      <c r="H28" s="364">
        <f t="shared" si="6"/>
        <v>63.045148075445937</v>
      </c>
      <c r="I28" s="364">
        <f t="shared" si="6"/>
        <v>63.006878291651077</v>
      </c>
      <c r="J28" s="364">
        <f t="shared" si="6"/>
        <v>62.762573434589484</v>
      </c>
      <c r="K28" s="364">
        <f t="shared" si="6"/>
        <v>62.570786261062572</v>
      </c>
      <c r="L28" s="386">
        <f t="shared" si="6"/>
        <v>62.278757959103537</v>
      </c>
    </row>
    <row r="29" spans="1:13" ht="16.5" thickBot="1" x14ac:dyDescent="0.3">
      <c r="A29" s="1469"/>
      <c r="B29" s="1200"/>
      <c r="C29" s="1361"/>
      <c r="D29" s="393" t="s">
        <v>295</v>
      </c>
      <c r="E29" s="371">
        <f t="shared" si="6"/>
        <v>72.419928825622776</v>
      </c>
      <c r="F29" s="366">
        <f t="shared" si="6"/>
        <v>70.319148936170222</v>
      </c>
      <c r="G29" s="366">
        <f t="shared" si="6"/>
        <v>69.126448973407079</v>
      </c>
      <c r="H29" s="366">
        <f t="shared" si="6"/>
        <v>69.24529786731722</v>
      </c>
      <c r="I29" s="366">
        <f t="shared" si="6"/>
        <v>69.29656274980016</v>
      </c>
      <c r="J29" s="366">
        <f t="shared" si="6"/>
        <v>69.085956901385885</v>
      </c>
      <c r="K29" s="366">
        <f t="shared" si="6"/>
        <v>68.941459502806737</v>
      </c>
      <c r="L29" s="367">
        <f t="shared" si="6"/>
        <v>68.497793190416147</v>
      </c>
    </row>
    <row r="30" spans="1:13" ht="17.25" thickTop="1" thickBot="1" x14ac:dyDescent="0.3">
      <c r="A30" s="1469"/>
      <c r="B30" s="151" t="s">
        <v>249</v>
      </c>
      <c r="C30" s="1476"/>
      <c r="D30" s="1477"/>
      <c r="E30" s="613">
        <v>2005</v>
      </c>
      <c r="F30" s="613">
        <v>2010</v>
      </c>
      <c r="G30" s="613">
        <v>2015</v>
      </c>
      <c r="H30" s="613">
        <v>2020</v>
      </c>
      <c r="I30" s="613">
        <v>2021</v>
      </c>
      <c r="J30" s="613">
        <v>2022</v>
      </c>
      <c r="K30" s="274">
        <v>2023</v>
      </c>
      <c r="L30" s="613">
        <v>2024</v>
      </c>
      <c r="M30" s="482"/>
    </row>
    <row r="31" spans="1:13" s="64" customFormat="1" ht="16.5" thickBot="1" x14ac:dyDescent="0.3">
      <c r="A31" s="1469"/>
      <c r="B31" s="1318" t="s">
        <v>320</v>
      </c>
      <c r="C31" s="1306" t="s">
        <v>272</v>
      </c>
      <c r="D31" s="1461"/>
      <c r="E31" s="368">
        <v>19580</v>
      </c>
      <c r="F31" s="81">
        <v>20767</v>
      </c>
      <c r="G31" s="81">
        <v>15946</v>
      </c>
      <c r="H31" s="81">
        <v>21374</v>
      </c>
      <c r="I31" s="81">
        <v>21948</v>
      </c>
      <c r="J31" s="81">
        <v>22682</v>
      </c>
      <c r="K31" s="81">
        <v>24340</v>
      </c>
      <c r="L31" s="82">
        <f>L32+L33</f>
        <v>28083</v>
      </c>
    </row>
    <row r="32" spans="1:13" ht="16.5" thickBot="1" x14ac:dyDescent="0.3">
      <c r="A32" s="1469"/>
      <c r="B32" s="1199"/>
      <c r="C32" s="1330" t="s">
        <v>257</v>
      </c>
      <c r="D32" s="1462"/>
      <c r="E32" s="369">
        <v>8451</v>
      </c>
      <c r="F32" s="80">
        <v>8901</v>
      </c>
      <c r="G32" s="80">
        <v>6687</v>
      </c>
      <c r="H32" s="80">
        <v>8979</v>
      </c>
      <c r="I32" s="80">
        <v>9357</v>
      </c>
      <c r="J32" s="80">
        <v>9642</v>
      </c>
      <c r="K32" s="80">
        <v>10363</v>
      </c>
      <c r="L32" s="83">
        <v>12043</v>
      </c>
    </row>
    <row r="33" spans="1:12" ht="16.5" thickBot="1" x14ac:dyDescent="0.3">
      <c r="A33" s="1469"/>
      <c r="B33" s="1199"/>
      <c r="C33" s="1330" t="s">
        <v>263</v>
      </c>
      <c r="D33" s="1462"/>
      <c r="E33" s="369">
        <v>11129</v>
      </c>
      <c r="F33" s="80">
        <v>11866</v>
      </c>
      <c r="G33" s="80">
        <v>9259</v>
      </c>
      <c r="H33" s="80">
        <v>12395</v>
      </c>
      <c r="I33" s="80">
        <v>12591</v>
      </c>
      <c r="J33" s="80">
        <v>13040</v>
      </c>
      <c r="K33" s="80">
        <v>13977</v>
      </c>
      <c r="L33" s="83">
        <v>16040</v>
      </c>
    </row>
    <row r="34" spans="1:12" ht="16.5" thickBot="1" x14ac:dyDescent="0.3">
      <c r="A34" s="1469"/>
      <c r="B34" s="1199"/>
      <c r="C34" s="1332" t="s">
        <v>269</v>
      </c>
      <c r="D34" s="1463"/>
      <c r="E34" s="370">
        <f>+E33-E32</f>
        <v>2678</v>
      </c>
      <c r="F34" s="363">
        <f t="shared" ref="F34:L34" si="7">+F33-F32</f>
        <v>2965</v>
      </c>
      <c r="G34" s="363">
        <f t="shared" si="7"/>
        <v>2572</v>
      </c>
      <c r="H34" s="363">
        <f t="shared" si="7"/>
        <v>3416</v>
      </c>
      <c r="I34" s="363">
        <f t="shared" si="7"/>
        <v>3234</v>
      </c>
      <c r="J34" s="363">
        <f t="shared" si="7"/>
        <v>3398</v>
      </c>
      <c r="K34" s="363">
        <f t="shared" si="7"/>
        <v>3614</v>
      </c>
      <c r="L34" s="365">
        <f t="shared" si="7"/>
        <v>3997</v>
      </c>
    </row>
    <row r="35" spans="1:12" ht="16.5" thickBot="1" x14ac:dyDescent="0.3">
      <c r="A35" s="1469"/>
      <c r="B35" s="1201"/>
      <c r="C35" s="1361" t="s">
        <v>270</v>
      </c>
      <c r="D35" s="1464"/>
      <c r="E35" s="371">
        <f>E33/E31*100</f>
        <v>56.838610827374872</v>
      </c>
      <c r="F35" s="366">
        <f t="shared" ref="F35:L35" si="8">F33/F31*100</f>
        <v>57.138729715413881</v>
      </c>
      <c r="G35" s="366">
        <f t="shared" si="8"/>
        <v>58.064718424683306</v>
      </c>
      <c r="H35" s="366">
        <f t="shared" si="8"/>
        <v>57.991017123608124</v>
      </c>
      <c r="I35" s="366">
        <f t="shared" si="8"/>
        <v>57.367413887370148</v>
      </c>
      <c r="J35" s="366">
        <f t="shared" si="8"/>
        <v>57.490521118067193</v>
      </c>
      <c r="K35" s="366">
        <f t="shared" si="8"/>
        <v>57.423993426458509</v>
      </c>
      <c r="L35" s="367">
        <f t="shared" si="8"/>
        <v>57.116404942491897</v>
      </c>
    </row>
    <row r="36" spans="1:12" ht="15" customHeight="1" thickBot="1" x14ac:dyDescent="0.3">
      <c r="A36" s="1469"/>
      <c r="B36" s="1198" t="s">
        <v>342</v>
      </c>
      <c r="C36" s="1306" t="s">
        <v>343</v>
      </c>
      <c r="D36" s="1461"/>
      <c r="E36" s="397">
        <f>E37+E38</f>
        <v>8240</v>
      </c>
      <c r="F36" s="195">
        <f t="shared" ref="F36:K36" si="9">F37+F38</f>
        <v>8379</v>
      </c>
      <c r="G36" s="195">
        <f t="shared" si="9"/>
        <v>9011</v>
      </c>
      <c r="H36" s="195">
        <f t="shared" si="9"/>
        <v>9371</v>
      </c>
      <c r="I36" s="195">
        <f t="shared" si="9"/>
        <v>9394</v>
      </c>
      <c r="J36" s="195">
        <f t="shared" si="9"/>
        <v>9491</v>
      </c>
      <c r="K36" s="195">
        <f t="shared" si="9"/>
        <v>9575</v>
      </c>
      <c r="L36" s="196">
        <f>L37+L38</f>
        <v>9950</v>
      </c>
    </row>
    <row r="37" spans="1:12" ht="16.5" thickBot="1" x14ac:dyDescent="0.3">
      <c r="A37" s="1469"/>
      <c r="B37" s="1199"/>
      <c r="C37" s="1330" t="s">
        <v>344</v>
      </c>
      <c r="D37" s="1462"/>
      <c r="E37" s="398">
        <v>1374</v>
      </c>
      <c r="F37" s="80">
        <v>1617</v>
      </c>
      <c r="G37" s="80">
        <v>1937</v>
      </c>
      <c r="H37" s="80">
        <v>2158</v>
      </c>
      <c r="I37" s="80">
        <v>2181</v>
      </c>
      <c r="J37" s="80">
        <v>2257</v>
      </c>
      <c r="K37" s="80">
        <v>2300</v>
      </c>
      <c r="L37" s="83">
        <v>2481</v>
      </c>
    </row>
    <row r="38" spans="1:12" ht="16.5" thickBot="1" x14ac:dyDescent="0.3">
      <c r="A38" s="1469"/>
      <c r="B38" s="1199"/>
      <c r="C38" s="1330" t="s">
        <v>345</v>
      </c>
      <c r="D38" s="1462"/>
      <c r="E38" s="398">
        <v>6866</v>
      </c>
      <c r="F38" s="80">
        <v>6762</v>
      </c>
      <c r="G38" s="80">
        <v>7074</v>
      </c>
      <c r="H38" s="80">
        <v>7213</v>
      </c>
      <c r="I38" s="80">
        <v>7213</v>
      </c>
      <c r="J38" s="80">
        <v>7234</v>
      </c>
      <c r="K38" s="80">
        <v>7275</v>
      </c>
      <c r="L38" s="83">
        <v>7469</v>
      </c>
    </row>
    <row r="39" spans="1:12" ht="16.5" thickBot="1" x14ac:dyDescent="0.3">
      <c r="A39" s="1469"/>
      <c r="B39" s="1199"/>
      <c r="C39" s="1332" t="s">
        <v>269</v>
      </c>
      <c r="D39" s="1463"/>
      <c r="E39" s="399">
        <f>E38-E37</f>
        <v>5492</v>
      </c>
      <c r="F39" s="157">
        <f t="shared" ref="F39:L39" si="10">F38-F37</f>
        <v>5145</v>
      </c>
      <c r="G39" s="157">
        <f t="shared" si="10"/>
        <v>5137</v>
      </c>
      <c r="H39" s="157">
        <f t="shared" si="10"/>
        <v>5055</v>
      </c>
      <c r="I39" s="157">
        <f t="shared" si="10"/>
        <v>5032</v>
      </c>
      <c r="J39" s="157">
        <f t="shared" si="10"/>
        <v>4977</v>
      </c>
      <c r="K39" s="157">
        <f t="shared" si="10"/>
        <v>4975</v>
      </c>
      <c r="L39" s="160">
        <f t="shared" si="10"/>
        <v>4988</v>
      </c>
    </row>
    <row r="40" spans="1:12" ht="16.5" thickBot="1" x14ac:dyDescent="0.3">
      <c r="A40" s="1469"/>
      <c r="B40" s="1201"/>
      <c r="C40" s="1361" t="s">
        <v>346</v>
      </c>
      <c r="D40" s="1464"/>
      <c r="E40" s="400">
        <f t="shared" ref="E40:L40" si="11">E38/E36*100</f>
        <v>83.325242718446603</v>
      </c>
      <c r="F40" s="161">
        <f t="shared" si="11"/>
        <v>80.701754385964904</v>
      </c>
      <c r="G40" s="161">
        <f t="shared" si="11"/>
        <v>78.504050604816328</v>
      </c>
      <c r="H40" s="161">
        <f t="shared" si="11"/>
        <v>76.971507843346501</v>
      </c>
      <c r="I40" s="161">
        <f t="shared" si="11"/>
        <v>76.783053012561211</v>
      </c>
      <c r="J40" s="161">
        <f t="shared" si="11"/>
        <v>76.219576440838694</v>
      </c>
      <c r="K40" s="161">
        <f t="shared" si="11"/>
        <v>75.979112271540473</v>
      </c>
      <c r="L40" s="162">
        <f t="shared" si="11"/>
        <v>75.065326633165824</v>
      </c>
    </row>
    <row r="41" spans="1:12" s="64" customFormat="1" ht="15" customHeight="1" thickBot="1" x14ac:dyDescent="0.3">
      <c r="A41" s="1469"/>
      <c r="B41" s="1202" t="s">
        <v>347</v>
      </c>
      <c r="C41" s="1465" t="s">
        <v>348</v>
      </c>
      <c r="D41" s="1466"/>
      <c r="E41" s="397">
        <f t="shared" ref="E41:K41" si="12">E42+E43</f>
        <v>1085</v>
      </c>
      <c r="F41" s="195">
        <f t="shared" si="12"/>
        <v>1035</v>
      </c>
      <c r="G41" s="195">
        <f t="shared" si="12"/>
        <v>1110</v>
      </c>
      <c r="H41" s="195">
        <f t="shared" si="12"/>
        <v>1072</v>
      </c>
      <c r="I41" s="195">
        <f t="shared" si="12"/>
        <v>1070</v>
      </c>
      <c r="J41" s="195">
        <f t="shared" si="12"/>
        <v>1045</v>
      </c>
      <c r="K41" s="195">
        <f t="shared" si="12"/>
        <v>1025</v>
      </c>
      <c r="L41" s="196">
        <f>L42+L43</f>
        <v>1085</v>
      </c>
    </row>
    <row r="42" spans="1:12" ht="16.5" thickBot="1" x14ac:dyDescent="0.3">
      <c r="A42" s="1469"/>
      <c r="B42" s="1203"/>
      <c r="C42" s="1330" t="s">
        <v>349</v>
      </c>
      <c r="D42" s="1462"/>
      <c r="E42" s="398">
        <v>242</v>
      </c>
      <c r="F42" s="80">
        <v>230</v>
      </c>
      <c r="G42" s="80">
        <v>211</v>
      </c>
      <c r="H42" s="80">
        <v>198</v>
      </c>
      <c r="I42" s="80">
        <v>190</v>
      </c>
      <c r="J42" s="80">
        <v>216</v>
      </c>
      <c r="K42" s="80">
        <v>195</v>
      </c>
      <c r="L42" s="83">
        <v>202</v>
      </c>
    </row>
    <row r="43" spans="1:12" ht="16.5" thickBot="1" x14ac:dyDescent="0.3">
      <c r="A43" s="1469"/>
      <c r="B43" s="1203"/>
      <c r="C43" s="1330" t="s">
        <v>350</v>
      </c>
      <c r="D43" s="1462"/>
      <c r="E43" s="398">
        <v>843</v>
      </c>
      <c r="F43" s="80">
        <v>805</v>
      </c>
      <c r="G43" s="80">
        <v>899</v>
      </c>
      <c r="H43" s="80">
        <v>874</v>
      </c>
      <c r="I43" s="80">
        <v>880</v>
      </c>
      <c r="J43" s="80">
        <v>829</v>
      </c>
      <c r="K43" s="80">
        <v>830</v>
      </c>
      <c r="L43" s="83">
        <v>883</v>
      </c>
    </row>
    <row r="44" spans="1:12" s="64" customFormat="1" ht="16.5" thickBot="1" x14ac:dyDescent="0.3">
      <c r="A44" s="1469"/>
      <c r="B44" s="1203"/>
      <c r="C44" s="1332" t="s">
        <v>269</v>
      </c>
      <c r="D44" s="1463"/>
      <c r="E44" s="399">
        <f>E43-E42</f>
        <v>601</v>
      </c>
      <c r="F44" s="157">
        <f t="shared" ref="F44:L44" si="13">F43-F42</f>
        <v>575</v>
      </c>
      <c r="G44" s="157">
        <f t="shared" si="13"/>
        <v>688</v>
      </c>
      <c r="H44" s="157">
        <f t="shared" si="13"/>
        <v>676</v>
      </c>
      <c r="I44" s="157">
        <f t="shared" si="13"/>
        <v>690</v>
      </c>
      <c r="J44" s="157">
        <f t="shared" si="13"/>
        <v>613</v>
      </c>
      <c r="K44" s="157">
        <f t="shared" si="13"/>
        <v>635</v>
      </c>
      <c r="L44" s="160">
        <f t="shared" si="13"/>
        <v>681</v>
      </c>
    </row>
    <row r="45" spans="1:12" ht="16.5" thickBot="1" x14ac:dyDescent="0.3">
      <c r="A45" s="1470"/>
      <c r="B45" s="1203"/>
      <c r="C45" s="1419" t="s">
        <v>351</v>
      </c>
      <c r="D45" s="1475"/>
      <c r="E45" s="732">
        <f>E43/E41*100</f>
        <v>77.695852534562221</v>
      </c>
      <c r="F45" s="165">
        <f t="shared" ref="F45:L45" si="14">F43/F41*100</f>
        <v>77.777777777777786</v>
      </c>
      <c r="G45" s="165">
        <f t="shared" si="14"/>
        <v>80.990990990990994</v>
      </c>
      <c r="H45" s="165">
        <f t="shared" si="14"/>
        <v>81.529850746268664</v>
      </c>
      <c r="I45" s="165">
        <f t="shared" si="14"/>
        <v>82.242990654205599</v>
      </c>
      <c r="J45" s="165">
        <f t="shared" si="14"/>
        <v>79.330143540669866</v>
      </c>
      <c r="K45" s="165">
        <f t="shared" si="14"/>
        <v>80.975609756097569</v>
      </c>
      <c r="L45" s="166">
        <f t="shared" si="14"/>
        <v>81.382488479262676</v>
      </c>
    </row>
    <row r="46" spans="1:12" ht="16.5" thickBot="1" x14ac:dyDescent="0.3">
      <c r="A46" s="151" t="s">
        <v>248</v>
      </c>
      <c r="B46" s="725" t="s">
        <v>249</v>
      </c>
      <c r="C46" s="1460"/>
      <c r="D46" s="1460"/>
      <c r="E46" s="695">
        <v>2005</v>
      </c>
      <c r="F46" s="695">
        <v>2010</v>
      </c>
      <c r="G46" s="695">
        <v>2015</v>
      </c>
      <c r="H46" s="695">
        <v>2020</v>
      </c>
      <c r="I46" s="695">
        <v>2021</v>
      </c>
      <c r="J46" s="695">
        <v>2022</v>
      </c>
      <c r="K46" s="695">
        <v>2023</v>
      </c>
      <c r="L46" s="696">
        <v>2024</v>
      </c>
    </row>
    <row r="47" spans="1:12" s="64" customFormat="1" x14ac:dyDescent="0.25">
      <c r="A47" s="1478" t="s">
        <v>38</v>
      </c>
      <c r="B47" s="1482" t="s">
        <v>352</v>
      </c>
      <c r="C47" s="1189" t="s">
        <v>251</v>
      </c>
      <c r="D47" s="1189"/>
      <c r="E47" s="192">
        <v>4342</v>
      </c>
      <c r="F47" s="192">
        <v>7062</v>
      </c>
      <c r="G47" s="192">
        <v>6098</v>
      </c>
      <c r="H47" s="192">
        <v>5872</v>
      </c>
      <c r="I47" s="192">
        <v>5783</v>
      </c>
      <c r="J47" s="192">
        <v>3740</v>
      </c>
      <c r="K47" s="192">
        <v>3765</v>
      </c>
      <c r="L47" s="132">
        <v>3701</v>
      </c>
    </row>
    <row r="48" spans="1:12" x14ac:dyDescent="0.25">
      <c r="A48" s="1479"/>
      <c r="B48" s="1393"/>
      <c r="C48" s="1331" t="s">
        <v>257</v>
      </c>
      <c r="D48" s="1331"/>
      <c r="E48" s="96">
        <v>1745</v>
      </c>
      <c r="F48" s="96">
        <v>3273</v>
      </c>
      <c r="G48" s="96">
        <v>2658</v>
      </c>
      <c r="H48" s="96">
        <v>2482</v>
      </c>
      <c r="I48" s="96">
        <v>2419</v>
      </c>
      <c r="J48" s="96">
        <v>1508</v>
      </c>
      <c r="K48" s="96">
        <v>1564</v>
      </c>
      <c r="L48" s="83">
        <v>1537</v>
      </c>
    </row>
    <row r="49" spans="1:12" x14ac:dyDescent="0.25">
      <c r="A49" s="1479"/>
      <c r="B49" s="1393"/>
      <c r="C49" s="1331" t="s">
        <v>263</v>
      </c>
      <c r="D49" s="1331"/>
      <c r="E49" s="96">
        <v>2597</v>
      </c>
      <c r="F49" s="96">
        <v>3789</v>
      </c>
      <c r="G49" s="96">
        <v>3440</v>
      </c>
      <c r="H49" s="96">
        <v>3390</v>
      </c>
      <c r="I49" s="96">
        <v>3364</v>
      </c>
      <c r="J49" s="96">
        <v>2232</v>
      </c>
      <c r="K49" s="96">
        <v>2201</v>
      </c>
      <c r="L49" s="83">
        <v>2164</v>
      </c>
    </row>
    <row r="50" spans="1:12" x14ac:dyDescent="0.25">
      <c r="A50" s="1479"/>
      <c r="B50" s="1393"/>
      <c r="C50" s="1333" t="s">
        <v>353</v>
      </c>
      <c r="D50" s="1333"/>
      <c r="E50" s="157">
        <f t="shared" ref="E50:L50" si="15">+E49-E48</f>
        <v>852</v>
      </c>
      <c r="F50" s="157">
        <f t="shared" si="15"/>
        <v>516</v>
      </c>
      <c r="G50" s="157">
        <f t="shared" si="15"/>
        <v>782</v>
      </c>
      <c r="H50" s="157">
        <f t="shared" si="15"/>
        <v>908</v>
      </c>
      <c r="I50" s="157">
        <f t="shared" si="15"/>
        <v>945</v>
      </c>
      <c r="J50" s="157">
        <f t="shared" si="15"/>
        <v>724</v>
      </c>
      <c r="K50" s="157">
        <f t="shared" si="15"/>
        <v>637</v>
      </c>
      <c r="L50" s="160">
        <f t="shared" si="15"/>
        <v>627</v>
      </c>
    </row>
    <row r="51" spans="1:12" ht="16.5" thickBot="1" x14ac:dyDescent="0.3">
      <c r="A51" s="1479"/>
      <c r="B51" s="1402"/>
      <c r="C51" s="1416" t="s">
        <v>270</v>
      </c>
      <c r="D51" s="1416"/>
      <c r="E51" s="161">
        <f>E49/E47*100</f>
        <v>59.81114693689544</v>
      </c>
      <c r="F51" s="161">
        <f t="shared" ref="F51:L51" si="16">F49/F47*100</f>
        <v>53.653355989804588</v>
      </c>
      <c r="G51" s="161">
        <f t="shared" si="16"/>
        <v>56.411938340439491</v>
      </c>
      <c r="H51" s="161">
        <f t="shared" si="16"/>
        <v>57.731607629427792</v>
      </c>
      <c r="I51" s="161">
        <f t="shared" si="16"/>
        <v>58.17049974061905</v>
      </c>
      <c r="J51" s="161">
        <f t="shared" si="16"/>
        <v>59.679144385026738</v>
      </c>
      <c r="K51" s="401">
        <f t="shared" si="16"/>
        <v>58.459495351925625</v>
      </c>
      <c r="L51" s="402">
        <f t="shared" si="16"/>
        <v>58.470683599027282</v>
      </c>
    </row>
    <row r="52" spans="1:12" s="64" customFormat="1" x14ac:dyDescent="0.25">
      <c r="A52" s="1479"/>
      <c r="B52" s="1392" t="s">
        <v>146</v>
      </c>
      <c r="C52" s="1147" t="s">
        <v>251</v>
      </c>
      <c r="D52" s="1147"/>
      <c r="E52" s="40"/>
      <c r="F52" s="40"/>
      <c r="G52" s="40"/>
      <c r="H52" s="37">
        <v>6.31</v>
      </c>
      <c r="I52" s="37">
        <v>5.12</v>
      </c>
      <c r="J52" s="37">
        <v>3.9</v>
      </c>
      <c r="K52" s="37">
        <v>3.79</v>
      </c>
      <c r="L52" s="38">
        <v>3.56</v>
      </c>
    </row>
    <row r="53" spans="1:12" x14ac:dyDescent="0.25">
      <c r="A53" s="1479"/>
      <c r="B53" s="1393"/>
      <c r="C53" s="1331" t="s">
        <v>257</v>
      </c>
      <c r="D53" s="1331"/>
      <c r="E53" s="28"/>
      <c r="F53" s="28"/>
      <c r="G53" s="28"/>
      <c r="H53" s="29">
        <v>5.82</v>
      </c>
      <c r="I53" s="29">
        <v>4.66</v>
      </c>
      <c r="J53" s="29">
        <v>3.5</v>
      </c>
      <c r="K53" s="29">
        <v>3.44</v>
      </c>
      <c r="L53" s="39">
        <v>3.2</v>
      </c>
    </row>
    <row r="54" spans="1:12" x14ac:dyDescent="0.25">
      <c r="A54" s="1479"/>
      <c r="B54" s="1393"/>
      <c r="C54" s="1483" t="s">
        <v>263</v>
      </c>
      <c r="D54" s="1483"/>
      <c r="E54" s="28"/>
      <c r="F54" s="28"/>
      <c r="G54" s="28"/>
      <c r="H54" s="29">
        <v>6.73</v>
      </c>
      <c r="I54" s="29">
        <v>5.5</v>
      </c>
      <c r="J54" s="29">
        <v>4.24</v>
      </c>
      <c r="K54" s="29">
        <v>4.09</v>
      </c>
      <c r="L54" s="39">
        <v>3.88</v>
      </c>
    </row>
    <row r="55" spans="1:12" s="64" customFormat="1" ht="16.5" thickBot="1" x14ac:dyDescent="0.3">
      <c r="A55" s="1479"/>
      <c r="B55" s="1402"/>
      <c r="C55" s="1484" t="s">
        <v>354</v>
      </c>
      <c r="D55" s="1484"/>
      <c r="E55" s="203"/>
      <c r="F55" s="203"/>
      <c r="G55" s="203"/>
      <c r="H55" s="34">
        <f>+H54-H53</f>
        <v>0.91000000000000014</v>
      </c>
      <c r="I55" s="34">
        <f>+I54-I53</f>
        <v>0.83999999999999986</v>
      </c>
      <c r="J55" s="34">
        <f>+J54-J53</f>
        <v>0.74000000000000021</v>
      </c>
      <c r="K55" s="34">
        <f>+K54-K53</f>
        <v>0.64999999999999991</v>
      </c>
      <c r="L55" s="35">
        <f>+L54-L53</f>
        <v>0.67999999999999972</v>
      </c>
    </row>
    <row r="56" spans="1:12" s="64" customFormat="1" x14ac:dyDescent="0.25">
      <c r="A56" s="1479"/>
      <c r="B56" s="1392" t="s">
        <v>151</v>
      </c>
      <c r="C56" s="1317" t="s">
        <v>251</v>
      </c>
      <c r="D56" s="1317"/>
      <c r="E56" s="40"/>
      <c r="F56" s="40"/>
      <c r="G56" s="40"/>
      <c r="H56" s="195">
        <v>287</v>
      </c>
      <c r="I56" s="195">
        <v>290</v>
      </c>
      <c r="J56" s="195">
        <v>289</v>
      </c>
      <c r="K56" s="195">
        <v>246</v>
      </c>
      <c r="L56" s="325"/>
    </row>
    <row r="57" spans="1:12" x14ac:dyDescent="0.25">
      <c r="A57" s="1479"/>
      <c r="B57" s="1393"/>
      <c r="C57" s="1230" t="s">
        <v>257</v>
      </c>
      <c r="D57" s="1230"/>
      <c r="E57" s="28"/>
      <c r="F57" s="28"/>
      <c r="G57" s="28"/>
      <c r="H57" s="96">
        <v>96</v>
      </c>
      <c r="I57" s="96">
        <v>97</v>
      </c>
      <c r="J57" s="96">
        <v>105</v>
      </c>
      <c r="K57" s="96">
        <v>100</v>
      </c>
      <c r="L57" s="21"/>
    </row>
    <row r="58" spans="1:12" x14ac:dyDescent="0.25">
      <c r="A58" s="1479"/>
      <c r="B58" s="1393"/>
      <c r="C58" s="1331" t="s">
        <v>263</v>
      </c>
      <c r="D58" s="1331"/>
      <c r="E58" s="28"/>
      <c r="F58" s="28"/>
      <c r="G58" s="28"/>
      <c r="H58" s="96">
        <v>191</v>
      </c>
      <c r="I58" s="96">
        <v>193</v>
      </c>
      <c r="J58" s="96">
        <v>184</v>
      </c>
      <c r="K58" s="96">
        <v>146</v>
      </c>
      <c r="L58" s="21"/>
    </row>
    <row r="59" spans="1:12" x14ac:dyDescent="0.25">
      <c r="A59" s="1479"/>
      <c r="B59" s="1393"/>
      <c r="C59" s="1333" t="s">
        <v>353</v>
      </c>
      <c r="D59" s="1333"/>
      <c r="E59" s="28"/>
      <c r="F59" s="28"/>
      <c r="G59" s="28"/>
      <c r="H59" s="44">
        <f>+H58-H57</f>
        <v>95</v>
      </c>
      <c r="I59" s="44">
        <f>+I58-I57</f>
        <v>96</v>
      </c>
      <c r="J59" s="44">
        <f>+J58-J57</f>
        <v>79</v>
      </c>
      <c r="K59" s="44">
        <f>+K58-K57</f>
        <v>46</v>
      </c>
      <c r="L59" s="21"/>
    </row>
    <row r="60" spans="1:12" ht="16.5" thickBot="1" x14ac:dyDescent="0.3">
      <c r="A60" s="1479"/>
      <c r="B60" s="1402"/>
      <c r="C60" s="1416" t="s">
        <v>270</v>
      </c>
      <c r="D60" s="1416"/>
      <c r="E60" s="33"/>
      <c r="F60" s="33"/>
      <c r="G60" s="33"/>
      <c r="H60" s="161">
        <f>H58/H56*100</f>
        <v>66.550522648083614</v>
      </c>
      <c r="I60" s="161">
        <f>I58/I56*100</f>
        <v>66.551724137931032</v>
      </c>
      <c r="J60" s="161">
        <f>J58/J56*100</f>
        <v>63.667820069204154</v>
      </c>
      <c r="K60" s="161">
        <f>K58/K56*100</f>
        <v>59.349593495934961</v>
      </c>
      <c r="L60" s="22"/>
    </row>
    <row r="61" spans="1:12" ht="16.5" thickBot="1" x14ac:dyDescent="0.3">
      <c r="A61" s="1480"/>
      <c r="B61" s="411" t="s">
        <v>249</v>
      </c>
      <c r="C61" s="1485"/>
      <c r="D61" s="1486"/>
      <c r="E61" s="412"/>
      <c r="F61" s="413">
        <v>2011</v>
      </c>
      <c r="G61" s="414"/>
      <c r="H61" s="412"/>
      <c r="I61" s="413">
        <v>2021</v>
      </c>
      <c r="J61" s="414"/>
      <c r="K61" s="415"/>
      <c r="L61" s="416"/>
    </row>
    <row r="62" spans="1:12" s="64" customFormat="1" x14ac:dyDescent="0.25">
      <c r="A62" s="1479"/>
      <c r="B62" s="1487" t="s">
        <v>156</v>
      </c>
      <c r="C62" s="1347" t="s">
        <v>355</v>
      </c>
      <c r="D62" s="406" t="s">
        <v>251</v>
      </c>
      <c r="E62" s="623"/>
      <c r="F62" s="79">
        <v>65475</v>
      </c>
      <c r="G62" s="93"/>
      <c r="H62" s="93"/>
      <c r="I62" s="79">
        <v>63180</v>
      </c>
      <c r="J62" s="44"/>
      <c r="K62" s="44"/>
      <c r="L62" s="317"/>
    </row>
    <row r="63" spans="1:12" ht="15" customHeight="1" x14ac:dyDescent="0.25">
      <c r="A63" s="1479"/>
      <c r="B63" s="1488"/>
      <c r="C63" s="1348"/>
      <c r="D63" s="407" t="s">
        <v>257</v>
      </c>
      <c r="E63" s="624"/>
      <c r="F63" s="80">
        <v>31185</v>
      </c>
      <c r="G63" s="95"/>
      <c r="H63" s="95"/>
      <c r="I63" s="80">
        <v>30078</v>
      </c>
      <c r="J63" s="28"/>
      <c r="K63" s="28"/>
      <c r="L63" s="21"/>
    </row>
    <row r="64" spans="1:12" x14ac:dyDescent="0.25">
      <c r="A64" s="1479"/>
      <c r="B64" s="1488"/>
      <c r="C64" s="1348"/>
      <c r="D64" s="407" t="s">
        <v>263</v>
      </c>
      <c r="E64" s="624"/>
      <c r="F64" s="80">
        <v>34290</v>
      </c>
      <c r="G64" s="95"/>
      <c r="H64" s="95"/>
      <c r="I64" s="80">
        <v>33099</v>
      </c>
      <c r="J64" s="28"/>
      <c r="K64" s="28"/>
      <c r="L64" s="21"/>
    </row>
    <row r="65" spans="1:12" ht="12.95" hidden="1" customHeight="1" x14ac:dyDescent="0.25">
      <c r="A65" s="1479"/>
      <c r="B65" s="1488"/>
      <c r="C65" s="1160" t="s">
        <v>356</v>
      </c>
      <c r="D65" s="408" t="s">
        <v>251</v>
      </c>
      <c r="E65" s="624"/>
      <c r="F65" s="80">
        <v>175</v>
      </c>
      <c r="G65" s="95"/>
      <c r="H65" s="95"/>
      <c r="I65" s="96"/>
      <c r="J65" s="28"/>
      <c r="K65" s="28"/>
      <c r="L65" s="21"/>
    </row>
    <row r="66" spans="1:12" hidden="1" x14ac:dyDescent="0.25">
      <c r="A66" s="1479"/>
      <c r="B66" s="1488"/>
      <c r="C66" s="1160"/>
      <c r="D66" s="407" t="s">
        <v>257</v>
      </c>
      <c r="E66" s="624"/>
      <c r="F66" s="80">
        <v>125</v>
      </c>
      <c r="G66" s="95"/>
      <c r="H66" s="95"/>
      <c r="I66" s="96"/>
      <c r="J66" s="28"/>
      <c r="K66" s="28"/>
      <c r="L66" s="21"/>
    </row>
    <row r="67" spans="1:12" hidden="1" x14ac:dyDescent="0.25">
      <c r="A67" s="1479"/>
      <c r="B67" s="1488"/>
      <c r="C67" s="1160"/>
      <c r="D67" s="407" t="s">
        <v>263</v>
      </c>
      <c r="E67" s="624"/>
      <c r="F67" s="80">
        <v>50</v>
      </c>
      <c r="G67" s="95"/>
      <c r="H67" s="95"/>
      <c r="I67" s="96"/>
      <c r="J67" s="28"/>
      <c r="K67" s="28"/>
      <c r="L67" s="21"/>
    </row>
    <row r="68" spans="1:12" hidden="1" x14ac:dyDescent="0.25">
      <c r="A68" s="1479"/>
      <c r="B68" s="1488"/>
      <c r="C68" s="1160"/>
      <c r="D68" s="407" t="s">
        <v>357</v>
      </c>
      <c r="E68" s="624"/>
      <c r="F68" s="97">
        <f>F67/F65*100</f>
        <v>28.571428571428569</v>
      </c>
      <c r="G68" s="94"/>
      <c r="H68" s="94"/>
      <c r="I68" s="28"/>
      <c r="J68" s="28"/>
      <c r="K68" s="28"/>
      <c r="L68" s="21"/>
    </row>
    <row r="69" spans="1:12" ht="14.85" hidden="1" customHeight="1" x14ac:dyDescent="0.25">
      <c r="A69" s="1479"/>
      <c r="B69" s="1488"/>
      <c r="C69" s="1160" t="s">
        <v>358</v>
      </c>
      <c r="D69" s="408" t="s">
        <v>251</v>
      </c>
      <c r="E69" s="624"/>
      <c r="F69" s="80">
        <v>1905</v>
      </c>
      <c r="G69" s="80"/>
      <c r="H69" s="80"/>
      <c r="I69" s="80">
        <v>660</v>
      </c>
      <c r="J69" s="28"/>
      <c r="K69" s="28"/>
      <c r="L69" s="21"/>
    </row>
    <row r="70" spans="1:12" hidden="1" x14ac:dyDescent="0.25">
      <c r="A70" s="1479"/>
      <c r="B70" s="1488"/>
      <c r="C70" s="1160"/>
      <c r="D70" s="407" t="s">
        <v>257</v>
      </c>
      <c r="E70" s="624"/>
      <c r="F70" s="80">
        <v>1490</v>
      </c>
      <c r="G70" s="80"/>
      <c r="H70" s="80"/>
      <c r="I70" s="80">
        <v>486</v>
      </c>
      <c r="J70" s="28"/>
      <c r="K70" s="28"/>
      <c r="L70" s="21"/>
    </row>
    <row r="71" spans="1:12" hidden="1" x14ac:dyDescent="0.25">
      <c r="A71" s="1479"/>
      <c r="B71" s="1488"/>
      <c r="C71" s="1160"/>
      <c r="D71" s="407" t="s">
        <v>263</v>
      </c>
      <c r="E71" s="624"/>
      <c r="F71" s="80">
        <v>415</v>
      </c>
      <c r="G71" s="80"/>
      <c r="H71" s="80"/>
      <c r="I71" s="80">
        <v>174</v>
      </c>
      <c r="J71" s="28"/>
      <c r="K71" s="28"/>
      <c r="L71" s="21"/>
    </row>
    <row r="72" spans="1:12" hidden="1" x14ac:dyDescent="0.25">
      <c r="A72" s="1479"/>
      <c r="B72" s="1488"/>
      <c r="C72" s="1160"/>
      <c r="D72" s="407" t="s">
        <v>357</v>
      </c>
      <c r="E72" s="624"/>
      <c r="F72" s="97">
        <f>F71/F69*100</f>
        <v>21.784776902887142</v>
      </c>
      <c r="G72" s="94"/>
      <c r="H72" s="94"/>
      <c r="I72" s="97">
        <f>I71/I69*100</f>
        <v>26.36363636363636</v>
      </c>
      <c r="J72" s="28"/>
      <c r="K72" s="28"/>
      <c r="L72" s="21"/>
    </row>
    <row r="73" spans="1:12" ht="14.85" hidden="1" customHeight="1" x14ac:dyDescent="0.25">
      <c r="A73" s="1479"/>
      <c r="B73" s="1488"/>
      <c r="C73" s="1160" t="s">
        <v>359</v>
      </c>
      <c r="D73" s="408" t="s">
        <v>251</v>
      </c>
      <c r="E73" s="624"/>
      <c r="F73" s="80">
        <v>2395</v>
      </c>
      <c r="G73" s="80"/>
      <c r="H73" s="80"/>
      <c r="I73" s="80">
        <v>2856</v>
      </c>
      <c r="J73" s="28"/>
      <c r="K73" s="28"/>
      <c r="L73" s="21"/>
    </row>
    <row r="74" spans="1:12" hidden="1" x14ac:dyDescent="0.25">
      <c r="A74" s="1479"/>
      <c r="B74" s="1488"/>
      <c r="C74" s="1160"/>
      <c r="D74" s="407" t="s">
        <v>257</v>
      </c>
      <c r="E74" s="624"/>
      <c r="F74" s="80">
        <v>1450</v>
      </c>
      <c r="G74" s="80"/>
      <c r="H74" s="80"/>
      <c r="I74" s="80">
        <v>1698</v>
      </c>
      <c r="J74" s="28"/>
      <c r="K74" s="28"/>
      <c r="L74" s="21"/>
    </row>
    <row r="75" spans="1:12" hidden="1" x14ac:dyDescent="0.25">
      <c r="A75" s="1479"/>
      <c r="B75" s="1488"/>
      <c r="C75" s="1160"/>
      <c r="D75" s="407" t="s">
        <v>263</v>
      </c>
      <c r="E75" s="624"/>
      <c r="F75" s="80">
        <v>945</v>
      </c>
      <c r="G75" s="80"/>
      <c r="H75" s="80"/>
      <c r="I75" s="80">
        <v>1158</v>
      </c>
      <c r="J75" s="28"/>
      <c r="K75" s="28"/>
      <c r="L75" s="21"/>
    </row>
    <row r="76" spans="1:12" hidden="1" x14ac:dyDescent="0.25">
      <c r="A76" s="1479"/>
      <c r="B76" s="1488"/>
      <c r="C76" s="1160"/>
      <c r="D76" s="407" t="s">
        <v>357</v>
      </c>
      <c r="E76" s="624"/>
      <c r="F76" s="97">
        <f>F75/F73*100</f>
        <v>39.457202505219207</v>
      </c>
      <c r="G76" s="94"/>
      <c r="H76" s="94"/>
      <c r="I76" s="98">
        <f>I75/I73*100</f>
        <v>40.54621848739496</v>
      </c>
      <c r="J76" s="28"/>
      <c r="K76" s="28"/>
      <c r="L76" s="21"/>
    </row>
    <row r="77" spans="1:12" ht="14.85" hidden="1" customHeight="1" x14ac:dyDescent="0.25">
      <c r="A77" s="1479"/>
      <c r="B77" s="1488"/>
      <c r="C77" s="1160" t="s">
        <v>360</v>
      </c>
      <c r="D77" s="408" t="s">
        <v>251</v>
      </c>
      <c r="E77" s="624"/>
      <c r="F77" s="80">
        <v>2385</v>
      </c>
      <c r="G77" s="80"/>
      <c r="H77" s="80"/>
      <c r="I77" s="80">
        <v>921</v>
      </c>
      <c r="J77" s="28"/>
      <c r="K77" s="28"/>
      <c r="L77" s="21"/>
    </row>
    <row r="78" spans="1:12" hidden="1" x14ac:dyDescent="0.25">
      <c r="A78" s="1479"/>
      <c r="B78" s="1488"/>
      <c r="C78" s="1160"/>
      <c r="D78" s="407" t="s">
        <v>257</v>
      </c>
      <c r="E78" s="624"/>
      <c r="F78" s="80">
        <v>1460</v>
      </c>
      <c r="G78" s="80"/>
      <c r="H78" s="80"/>
      <c r="I78" s="80">
        <v>576</v>
      </c>
      <c r="J78" s="28"/>
      <c r="K78" s="28"/>
      <c r="L78" s="21"/>
    </row>
    <row r="79" spans="1:12" hidden="1" x14ac:dyDescent="0.25">
      <c r="A79" s="1479"/>
      <c r="B79" s="1488"/>
      <c r="C79" s="1160"/>
      <c r="D79" s="407" t="s">
        <v>263</v>
      </c>
      <c r="E79" s="624"/>
      <c r="F79" s="80">
        <v>925</v>
      </c>
      <c r="G79" s="80"/>
      <c r="H79" s="80"/>
      <c r="I79" s="80">
        <v>345</v>
      </c>
      <c r="J79" s="28"/>
      <c r="K79" s="28"/>
      <c r="L79" s="21"/>
    </row>
    <row r="80" spans="1:12" hidden="1" x14ac:dyDescent="0.25">
      <c r="A80" s="1479"/>
      <c r="B80" s="1488"/>
      <c r="C80" s="1160"/>
      <c r="D80" s="407" t="s">
        <v>357</v>
      </c>
      <c r="E80" s="624"/>
      <c r="F80" s="97">
        <f>F79/F77*100</f>
        <v>38.784067085953879</v>
      </c>
      <c r="G80" s="94"/>
      <c r="H80" s="94"/>
      <c r="I80" s="97">
        <f>I79/I77*100</f>
        <v>37.45928338762215</v>
      </c>
      <c r="J80" s="28"/>
      <c r="K80" s="28"/>
      <c r="L80" s="21"/>
    </row>
    <row r="81" spans="1:12" ht="14.85" hidden="1" customHeight="1" x14ac:dyDescent="0.25">
      <c r="A81" s="1479"/>
      <c r="B81" s="1488"/>
      <c r="C81" s="1160" t="s">
        <v>361</v>
      </c>
      <c r="D81" s="408" t="s">
        <v>251</v>
      </c>
      <c r="E81" s="624"/>
      <c r="F81" s="80">
        <v>430</v>
      </c>
      <c r="G81" s="80"/>
      <c r="H81" s="80"/>
      <c r="I81" s="80">
        <v>570</v>
      </c>
      <c r="J81" s="28"/>
      <c r="K81" s="28"/>
      <c r="L81" s="21"/>
    </row>
    <row r="82" spans="1:12" hidden="1" x14ac:dyDescent="0.25">
      <c r="A82" s="1479"/>
      <c r="B82" s="1488"/>
      <c r="C82" s="1160"/>
      <c r="D82" s="407" t="s">
        <v>257</v>
      </c>
      <c r="E82" s="624"/>
      <c r="F82" s="80">
        <v>320</v>
      </c>
      <c r="G82" s="80"/>
      <c r="H82" s="80"/>
      <c r="I82" s="80">
        <v>321</v>
      </c>
      <c r="J82" s="28"/>
      <c r="K82" s="28"/>
      <c r="L82" s="21"/>
    </row>
    <row r="83" spans="1:12" hidden="1" x14ac:dyDescent="0.25">
      <c r="A83" s="1479"/>
      <c r="B83" s="1488"/>
      <c r="C83" s="1160"/>
      <c r="D83" s="407" t="s">
        <v>263</v>
      </c>
      <c r="E83" s="624"/>
      <c r="F83" s="80">
        <v>110</v>
      </c>
      <c r="G83" s="80"/>
      <c r="H83" s="80"/>
      <c r="I83" s="80">
        <v>249</v>
      </c>
      <c r="J83" s="28"/>
      <c r="K83" s="28"/>
      <c r="L83" s="21"/>
    </row>
    <row r="84" spans="1:12" hidden="1" x14ac:dyDescent="0.25">
      <c r="A84" s="1479"/>
      <c r="B84" s="1488"/>
      <c r="C84" s="1160"/>
      <c r="D84" s="407" t="s">
        <v>357</v>
      </c>
      <c r="E84" s="624"/>
      <c r="F84" s="97">
        <f>(F83/F81)*100</f>
        <v>25.581395348837212</v>
      </c>
      <c r="G84" s="94"/>
      <c r="H84" s="94"/>
      <c r="I84" s="98">
        <f>I83/I81*100</f>
        <v>43.684210526315795</v>
      </c>
      <c r="J84" s="28"/>
      <c r="K84" s="28"/>
      <c r="L84" s="21"/>
    </row>
    <row r="85" spans="1:12" ht="14.85" hidden="1" customHeight="1" x14ac:dyDescent="0.25">
      <c r="A85" s="1479"/>
      <c r="B85" s="1488"/>
      <c r="C85" s="1160" t="s">
        <v>362</v>
      </c>
      <c r="D85" s="408" t="s">
        <v>251</v>
      </c>
      <c r="E85" s="624"/>
      <c r="F85" s="80">
        <v>315</v>
      </c>
      <c r="G85" s="80"/>
      <c r="H85" s="80"/>
      <c r="I85" s="80">
        <v>702</v>
      </c>
      <c r="J85" s="28"/>
      <c r="K85" s="28"/>
      <c r="L85" s="21"/>
    </row>
    <row r="86" spans="1:12" ht="15" hidden="1" customHeight="1" x14ac:dyDescent="0.25">
      <c r="A86" s="1479"/>
      <c r="B86" s="1488"/>
      <c r="C86" s="1160"/>
      <c r="D86" s="407" t="s">
        <v>257</v>
      </c>
      <c r="E86" s="624"/>
      <c r="F86" s="80">
        <v>205</v>
      </c>
      <c r="G86" s="80"/>
      <c r="H86" s="80"/>
      <c r="I86" s="80">
        <v>432</v>
      </c>
      <c r="J86" s="28"/>
      <c r="K86" s="28"/>
      <c r="L86" s="21"/>
    </row>
    <row r="87" spans="1:12" hidden="1" x14ac:dyDescent="0.25">
      <c r="A87" s="1479"/>
      <c r="B87" s="1488"/>
      <c r="C87" s="1160"/>
      <c r="D87" s="407" t="s">
        <v>263</v>
      </c>
      <c r="E87" s="624"/>
      <c r="F87" s="80">
        <v>110</v>
      </c>
      <c r="G87" s="80"/>
      <c r="H87" s="80"/>
      <c r="I87" s="80">
        <v>273</v>
      </c>
      <c r="J87" s="28"/>
      <c r="K87" s="28"/>
      <c r="L87" s="21"/>
    </row>
    <row r="88" spans="1:12" hidden="1" x14ac:dyDescent="0.25">
      <c r="A88" s="1479"/>
      <c r="B88" s="1488"/>
      <c r="C88" s="1160"/>
      <c r="D88" s="407" t="s">
        <v>357</v>
      </c>
      <c r="E88" s="624"/>
      <c r="F88" s="97">
        <f>(F87/F85)*100</f>
        <v>34.920634920634917</v>
      </c>
      <c r="G88" s="94"/>
      <c r="H88" s="94"/>
      <c r="I88" s="97">
        <f>I87/I85*100</f>
        <v>38.888888888888893</v>
      </c>
      <c r="J88" s="28"/>
      <c r="K88" s="28"/>
      <c r="L88" s="21"/>
    </row>
    <row r="89" spans="1:12" hidden="1" x14ac:dyDescent="0.25">
      <c r="A89" s="1479"/>
      <c r="B89" s="1488"/>
      <c r="C89" s="1160" t="s">
        <v>363</v>
      </c>
      <c r="D89" s="408" t="s">
        <v>251</v>
      </c>
      <c r="E89" s="624"/>
      <c r="F89" s="80">
        <v>4060</v>
      </c>
      <c r="G89" s="80"/>
      <c r="H89" s="80"/>
      <c r="I89" s="80">
        <v>4017</v>
      </c>
      <c r="J89" s="28"/>
      <c r="K89" s="28"/>
      <c r="L89" s="21"/>
    </row>
    <row r="90" spans="1:12" hidden="1" x14ac:dyDescent="0.25">
      <c r="A90" s="1479"/>
      <c r="B90" s="1488"/>
      <c r="C90" s="1160"/>
      <c r="D90" s="407" t="s">
        <v>257</v>
      </c>
      <c r="E90" s="624"/>
      <c r="F90" s="80">
        <v>1295</v>
      </c>
      <c r="G90" s="80"/>
      <c r="H90" s="80"/>
      <c r="I90" s="80">
        <v>1179</v>
      </c>
      <c r="J90" s="28"/>
      <c r="K90" s="28"/>
      <c r="L90" s="21"/>
    </row>
    <row r="91" spans="1:12" hidden="1" x14ac:dyDescent="0.25">
      <c r="A91" s="1479"/>
      <c r="B91" s="1488"/>
      <c r="C91" s="1160"/>
      <c r="D91" s="407" t="s">
        <v>263</v>
      </c>
      <c r="E91" s="624"/>
      <c r="F91" s="80">
        <v>2765</v>
      </c>
      <c r="G91" s="80"/>
      <c r="H91" s="80"/>
      <c r="I91" s="80">
        <v>2841</v>
      </c>
      <c r="J91" s="28"/>
      <c r="K91" s="28"/>
      <c r="L91" s="21"/>
    </row>
    <row r="92" spans="1:12" hidden="1" x14ac:dyDescent="0.25">
      <c r="A92" s="1479"/>
      <c r="B92" s="1488"/>
      <c r="C92" s="1160"/>
      <c r="D92" s="407" t="s">
        <v>357</v>
      </c>
      <c r="E92" s="624"/>
      <c r="F92" s="99">
        <f>(F91/F89)*100</f>
        <v>68.103448275862064</v>
      </c>
      <c r="G92" s="94"/>
      <c r="H92" s="94"/>
      <c r="I92" s="99">
        <f>I91/I89*100</f>
        <v>70.724421209858107</v>
      </c>
      <c r="J92" s="28"/>
      <c r="K92" s="28"/>
      <c r="L92" s="21"/>
    </row>
    <row r="93" spans="1:12" ht="14.85" hidden="1" customHeight="1" x14ac:dyDescent="0.25">
      <c r="A93" s="1479"/>
      <c r="B93" s="1488"/>
      <c r="C93" s="1160" t="s">
        <v>364</v>
      </c>
      <c r="D93" s="408" t="s">
        <v>251</v>
      </c>
      <c r="E93" s="624"/>
      <c r="F93" s="80">
        <v>3545</v>
      </c>
      <c r="G93" s="80"/>
      <c r="H93" s="80"/>
      <c r="I93" s="80">
        <v>3321</v>
      </c>
      <c r="J93" s="28"/>
      <c r="K93" s="28"/>
      <c r="L93" s="21"/>
    </row>
    <row r="94" spans="1:12" ht="14.85" hidden="1" customHeight="1" x14ac:dyDescent="0.25">
      <c r="A94" s="1479"/>
      <c r="B94" s="1488"/>
      <c r="C94" s="1160"/>
      <c r="D94" s="407" t="s">
        <v>257</v>
      </c>
      <c r="E94" s="624"/>
      <c r="F94" s="80">
        <v>1275</v>
      </c>
      <c r="G94" s="80"/>
      <c r="H94" s="80"/>
      <c r="I94" s="80">
        <v>1221</v>
      </c>
      <c r="J94" s="28"/>
      <c r="K94" s="28"/>
      <c r="L94" s="21"/>
    </row>
    <row r="95" spans="1:12" hidden="1" x14ac:dyDescent="0.25">
      <c r="A95" s="1479"/>
      <c r="B95" s="1488"/>
      <c r="C95" s="1160"/>
      <c r="D95" s="407" t="s">
        <v>263</v>
      </c>
      <c r="E95" s="624"/>
      <c r="F95" s="80">
        <v>2270</v>
      </c>
      <c r="G95" s="80"/>
      <c r="H95" s="80"/>
      <c r="I95" s="80">
        <v>2097</v>
      </c>
      <c r="J95" s="28"/>
      <c r="K95" s="28"/>
      <c r="L95" s="21"/>
    </row>
    <row r="96" spans="1:12" hidden="1" x14ac:dyDescent="0.25">
      <c r="A96" s="1479"/>
      <c r="B96" s="1488"/>
      <c r="C96" s="1160"/>
      <c r="D96" s="407" t="s">
        <v>357</v>
      </c>
      <c r="E96" s="624"/>
      <c r="F96" s="99">
        <f>(F95/F93)*100</f>
        <v>64.033850493653034</v>
      </c>
      <c r="G96" s="94"/>
      <c r="H96" s="94"/>
      <c r="I96" s="99">
        <f>I95/I93*100</f>
        <v>63.143631436314365</v>
      </c>
      <c r="J96" s="28"/>
      <c r="K96" s="28"/>
      <c r="L96" s="21"/>
    </row>
    <row r="97" spans="1:12" ht="14.85" hidden="1" customHeight="1" x14ac:dyDescent="0.25">
      <c r="A97" s="1479"/>
      <c r="B97" s="1488"/>
      <c r="C97" s="1160" t="s">
        <v>365</v>
      </c>
      <c r="D97" s="408" t="s">
        <v>251</v>
      </c>
      <c r="E97" s="624"/>
      <c r="F97" s="80">
        <v>630</v>
      </c>
      <c r="G97" s="80"/>
      <c r="H97" s="80"/>
      <c r="I97" s="80">
        <v>1023</v>
      </c>
      <c r="J97" s="28"/>
      <c r="K97" s="28"/>
      <c r="L97" s="21"/>
    </row>
    <row r="98" spans="1:12" hidden="1" x14ac:dyDescent="0.25">
      <c r="A98" s="1479"/>
      <c r="B98" s="1488"/>
      <c r="C98" s="1160"/>
      <c r="D98" s="407" t="s">
        <v>257</v>
      </c>
      <c r="E98" s="624"/>
      <c r="F98" s="80">
        <v>160</v>
      </c>
      <c r="G98" s="80"/>
      <c r="H98" s="80"/>
      <c r="I98" s="80">
        <v>408</v>
      </c>
      <c r="J98" s="28"/>
      <c r="K98" s="28"/>
      <c r="L98" s="21"/>
    </row>
    <row r="99" spans="1:12" hidden="1" x14ac:dyDescent="0.25">
      <c r="A99" s="1479"/>
      <c r="B99" s="1488"/>
      <c r="C99" s="1160"/>
      <c r="D99" s="407" t="s">
        <v>263</v>
      </c>
      <c r="E99" s="624"/>
      <c r="F99" s="80">
        <v>470</v>
      </c>
      <c r="G99" s="80"/>
      <c r="H99" s="80"/>
      <c r="I99" s="80">
        <v>615</v>
      </c>
      <c r="J99" s="28"/>
      <c r="K99" s="28"/>
      <c r="L99" s="21"/>
    </row>
    <row r="100" spans="1:12" hidden="1" x14ac:dyDescent="0.25">
      <c r="A100" s="1479"/>
      <c r="B100" s="1488"/>
      <c r="C100" s="1160"/>
      <c r="D100" s="407" t="s">
        <v>357</v>
      </c>
      <c r="E100" s="624"/>
      <c r="F100" s="99">
        <f>(F99/F97)*100</f>
        <v>74.603174603174608</v>
      </c>
      <c r="G100" s="94"/>
      <c r="H100" s="94"/>
      <c r="I100" s="99">
        <f>I99/I97*100</f>
        <v>60.117302052785924</v>
      </c>
      <c r="J100" s="28"/>
      <c r="K100" s="28"/>
      <c r="L100" s="21"/>
    </row>
    <row r="101" spans="1:12" ht="14.85" hidden="1" customHeight="1" x14ac:dyDescent="0.25">
      <c r="A101" s="1479"/>
      <c r="B101" s="1488"/>
      <c r="C101" s="1160" t="s">
        <v>366</v>
      </c>
      <c r="D101" s="408" t="s">
        <v>251</v>
      </c>
      <c r="E101" s="624"/>
      <c r="F101" s="80">
        <v>5480</v>
      </c>
      <c r="G101" s="80"/>
      <c r="H101" s="80"/>
      <c r="I101" s="80">
        <v>3897</v>
      </c>
      <c r="J101" s="28"/>
      <c r="K101" s="28"/>
      <c r="L101" s="21"/>
    </row>
    <row r="102" spans="1:12" hidden="1" x14ac:dyDescent="0.25">
      <c r="A102" s="1479"/>
      <c r="B102" s="1488"/>
      <c r="C102" s="1160"/>
      <c r="D102" s="407" t="s">
        <v>257</v>
      </c>
      <c r="E102" s="624"/>
      <c r="F102" s="80">
        <v>3555</v>
      </c>
      <c r="G102" s="80"/>
      <c r="H102" s="80"/>
      <c r="I102" s="80">
        <v>2385</v>
      </c>
      <c r="J102" s="28"/>
      <c r="K102" s="28"/>
      <c r="L102" s="21"/>
    </row>
    <row r="103" spans="1:12" hidden="1" x14ac:dyDescent="0.25">
      <c r="A103" s="1479"/>
      <c r="B103" s="1488"/>
      <c r="C103" s="1160"/>
      <c r="D103" s="407" t="s">
        <v>263</v>
      </c>
      <c r="E103" s="624"/>
      <c r="F103" s="80">
        <v>1920</v>
      </c>
      <c r="G103" s="80"/>
      <c r="H103" s="80"/>
      <c r="I103" s="80">
        <v>1512</v>
      </c>
      <c r="J103" s="28"/>
      <c r="K103" s="28"/>
      <c r="L103" s="21"/>
    </row>
    <row r="104" spans="1:12" hidden="1" x14ac:dyDescent="0.25">
      <c r="A104" s="1479"/>
      <c r="B104" s="1488"/>
      <c r="C104" s="1160"/>
      <c r="D104" s="407" t="s">
        <v>357</v>
      </c>
      <c r="E104" s="624"/>
      <c r="F104" s="97">
        <f>(F103/F101)*100</f>
        <v>35.036496350364963</v>
      </c>
      <c r="G104" s="94"/>
      <c r="H104" s="94"/>
      <c r="I104" s="97">
        <f>I103/I101*100</f>
        <v>38.799076212471135</v>
      </c>
      <c r="J104" s="28"/>
      <c r="K104" s="28"/>
      <c r="L104" s="21"/>
    </row>
    <row r="105" spans="1:12" hidden="1" x14ac:dyDescent="0.25">
      <c r="A105" s="1479"/>
      <c r="B105" s="1488"/>
      <c r="C105" s="1160" t="s">
        <v>367</v>
      </c>
      <c r="D105" s="408" t="s">
        <v>251</v>
      </c>
      <c r="E105" s="624"/>
      <c r="F105" s="80">
        <v>3505</v>
      </c>
      <c r="G105" s="80"/>
      <c r="H105" s="80"/>
      <c r="I105" s="80">
        <v>3300</v>
      </c>
      <c r="J105" s="96"/>
      <c r="K105" s="28"/>
      <c r="L105" s="21"/>
    </row>
    <row r="106" spans="1:12" hidden="1" x14ac:dyDescent="0.25">
      <c r="A106" s="1479"/>
      <c r="B106" s="1488"/>
      <c r="C106" s="1160"/>
      <c r="D106" s="407" t="s">
        <v>257</v>
      </c>
      <c r="E106" s="624"/>
      <c r="F106" s="80">
        <v>1830</v>
      </c>
      <c r="G106" s="80"/>
      <c r="H106" s="80"/>
      <c r="I106" s="80">
        <v>1620</v>
      </c>
      <c r="J106" s="96"/>
      <c r="K106" s="28"/>
      <c r="L106" s="21"/>
    </row>
    <row r="107" spans="1:12" hidden="1" x14ac:dyDescent="0.25">
      <c r="A107" s="1479"/>
      <c r="B107" s="1488"/>
      <c r="C107" s="1160"/>
      <c r="D107" s="407" t="s">
        <v>263</v>
      </c>
      <c r="E107" s="624"/>
      <c r="F107" s="80">
        <v>1675</v>
      </c>
      <c r="G107" s="80"/>
      <c r="H107" s="80"/>
      <c r="I107" s="80">
        <v>1680</v>
      </c>
      <c r="J107" s="96"/>
      <c r="K107" s="28"/>
      <c r="L107" s="21"/>
    </row>
    <row r="108" spans="1:12" hidden="1" x14ac:dyDescent="0.25">
      <c r="A108" s="1479"/>
      <c r="B108" s="1488"/>
      <c r="C108" s="1160"/>
      <c r="D108" s="407" t="s">
        <v>357</v>
      </c>
      <c r="E108" s="624"/>
      <c r="F108" s="98">
        <f>(F107/F105)*100</f>
        <v>47.788873038516407</v>
      </c>
      <c r="G108" s="94"/>
      <c r="H108" s="94"/>
      <c r="I108" s="98">
        <f>I107/I105*100</f>
        <v>50.909090909090907</v>
      </c>
      <c r="J108" s="96"/>
      <c r="K108" s="28"/>
      <c r="L108" s="21"/>
    </row>
    <row r="109" spans="1:12" ht="14.85" hidden="1" customHeight="1" x14ac:dyDescent="0.25">
      <c r="A109" s="1479"/>
      <c r="B109" s="1488"/>
      <c r="C109" s="1160" t="s">
        <v>368</v>
      </c>
      <c r="D109" s="408" t="s">
        <v>251</v>
      </c>
      <c r="E109" s="624"/>
      <c r="F109" s="80">
        <v>4000</v>
      </c>
      <c r="G109" s="80"/>
      <c r="H109" s="80"/>
      <c r="I109" s="80">
        <v>5832</v>
      </c>
      <c r="J109" s="96"/>
      <c r="K109" s="28"/>
      <c r="L109" s="21"/>
    </row>
    <row r="110" spans="1:12" hidden="1" x14ac:dyDescent="0.25">
      <c r="A110" s="1479"/>
      <c r="B110" s="1488"/>
      <c r="C110" s="1160"/>
      <c r="D110" s="407" t="s">
        <v>257</v>
      </c>
      <c r="E110" s="624"/>
      <c r="F110" s="80">
        <v>1880</v>
      </c>
      <c r="G110" s="80"/>
      <c r="H110" s="80"/>
      <c r="I110" s="80">
        <v>2694</v>
      </c>
      <c r="J110" s="96"/>
      <c r="K110" s="28"/>
      <c r="L110" s="21"/>
    </row>
    <row r="111" spans="1:12" hidden="1" x14ac:dyDescent="0.25">
      <c r="A111" s="1479"/>
      <c r="B111" s="1488"/>
      <c r="C111" s="1160"/>
      <c r="D111" s="407" t="s">
        <v>263</v>
      </c>
      <c r="E111" s="624"/>
      <c r="F111" s="80">
        <v>2120</v>
      </c>
      <c r="G111" s="80"/>
      <c r="H111" s="80"/>
      <c r="I111" s="80">
        <v>3138</v>
      </c>
      <c r="J111" s="96"/>
      <c r="K111" s="28"/>
      <c r="L111" s="21"/>
    </row>
    <row r="112" spans="1:12" hidden="1" x14ac:dyDescent="0.25">
      <c r="A112" s="1479"/>
      <c r="B112" s="1488"/>
      <c r="C112" s="1160"/>
      <c r="D112" s="407" t="s">
        <v>357</v>
      </c>
      <c r="E112" s="624"/>
      <c r="F112" s="98">
        <f>(F111/F109)*100</f>
        <v>53</v>
      </c>
      <c r="G112" s="94"/>
      <c r="H112" s="94"/>
      <c r="I112" s="98">
        <f>I111/I109*100</f>
        <v>53.806584362139922</v>
      </c>
      <c r="J112" s="96"/>
      <c r="K112" s="28"/>
      <c r="L112" s="21"/>
    </row>
    <row r="113" spans="1:12" ht="14.85" hidden="1" customHeight="1" x14ac:dyDescent="0.25">
      <c r="A113" s="1479"/>
      <c r="B113" s="1488"/>
      <c r="C113" s="1160" t="s">
        <v>369</v>
      </c>
      <c r="D113" s="408" t="s">
        <v>251</v>
      </c>
      <c r="E113" s="624"/>
      <c r="F113" s="80">
        <v>1135</v>
      </c>
      <c r="G113" s="80"/>
      <c r="H113" s="80"/>
      <c r="I113" s="80">
        <v>1854</v>
      </c>
      <c r="J113" s="96"/>
      <c r="K113" s="28"/>
      <c r="L113" s="21"/>
    </row>
    <row r="114" spans="1:12" hidden="1" x14ac:dyDescent="0.25">
      <c r="A114" s="1479"/>
      <c r="B114" s="1488"/>
      <c r="C114" s="1160"/>
      <c r="D114" s="407" t="s">
        <v>257</v>
      </c>
      <c r="E114" s="624"/>
      <c r="F114" s="80">
        <v>735</v>
      </c>
      <c r="G114" s="80"/>
      <c r="H114" s="80"/>
      <c r="I114" s="80">
        <v>1227</v>
      </c>
      <c r="J114" s="96"/>
      <c r="K114" s="28"/>
      <c r="L114" s="21"/>
    </row>
    <row r="115" spans="1:12" hidden="1" x14ac:dyDescent="0.25">
      <c r="A115" s="1479"/>
      <c r="B115" s="1488"/>
      <c r="C115" s="1160"/>
      <c r="D115" s="407" t="s">
        <v>263</v>
      </c>
      <c r="E115" s="624"/>
      <c r="F115" s="80">
        <v>400</v>
      </c>
      <c r="G115" s="80"/>
      <c r="H115" s="80"/>
      <c r="I115" s="80">
        <v>624</v>
      </c>
      <c r="J115" s="96"/>
      <c r="K115" s="28"/>
      <c r="L115" s="21"/>
    </row>
    <row r="116" spans="1:12" hidden="1" x14ac:dyDescent="0.25">
      <c r="A116" s="1479"/>
      <c r="B116" s="1488"/>
      <c r="C116" s="1160"/>
      <c r="D116" s="407" t="s">
        <v>357</v>
      </c>
      <c r="E116" s="624"/>
      <c r="F116" s="97">
        <f>(F115/F113)*100</f>
        <v>35.242290748898682</v>
      </c>
      <c r="G116" s="94"/>
      <c r="H116" s="94"/>
      <c r="I116" s="97">
        <f>I115/I113*100</f>
        <v>33.656957928802591</v>
      </c>
      <c r="J116" s="96"/>
      <c r="K116" s="28"/>
      <c r="L116" s="21"/>
    </row>
    <row r="117" spans="1:12" ht="14.85" hidden="1" customHeight="1" x14ac:dyDescent="0.25">
      <c r="A117" s="1479"/>
      <c r="B117" s="1488"/>
      <c r="C117" s="1160" t="s">
        <v>370</v>
      </c>
      <c r="D117" s="408" t="s">
        <v>251</v>
      </c>
      <c r="E117" s="624"/>
      <c r="F117" s="80">
        <v>2720</v>
      </c>
      <c r="G117" s="80"/>
      <c r="H117" s="80"/>
      <c r="I117" s="80">
        <v>1194</v>
      </c>
      <c r="J117" s="96"/>
      <c r="K117" s="28"/>
      <c r="L117" s="21"/>
    </row>
    <row r="118" spans="1:12" hidden="1" x14ac:dyDescent="0.25">
      <c r="A118" s="1479"/>
      <c r="B118" s="1488"/>
      <c r="C118" s="1160"/>
      <c r="D118" s="407" t="s">
        <v>257</v>
      </c>
      <c r="E118" s="624"/>
      <c r="F118" s="80">
        <v>1395</v>
      </c>
      <c r="G118" s="80"/>
      <c r="H118" s="80"/>
      <c r="I118" s="80">
        <v>453</v>
      </c>
      <c r="J118" s="96"/>
      <c r="K118" s="28"/>
      <c r="L118" s="21"/>
    </row>
    <row r="119" spans="1:12" hidden="1" x14ac:dyDescent="0.25">
      <c r="A119" s="1479"/>
      <c r="B119" s="1488"/>
      <c r="C119" s="1160"/>
      <c r="D119" s="407" t="s">
        <v>263</v>
      </c>
      <c r="E119" s="624"/>
      <c r="F119" s="80">
        <v>1325</v>
      </c>
      <c r="G119" s="80"/>
      <c r="H119" s="80"/>
      <c r="I119" s="80">
        <v>738</v>
      </c>
      <c r="J119" s="96"/>
      <c r="K119" s="28"/>
      <c r="L119" s="21"/>
    </row>
    <row r="120" spans="1:12" hidden="1" x14ac:dyDescent="0.25">
      <c r="A120" s="1479"/>
      <c r="B120" s="1488"/>
      <c r="C120" s="1160"/>
      <c r="D120" s="407" t="s">
        <v>357</v>
      </c>
      <c r="E120" s="624"/>
      <c r="F120" s="98">
        <f>(F119/F117)*100</f>
        <v>48.713235294117645</v>
      </c>
      <c r="G120" s="94"/>
      <c r="H120" s="94"/>
      <c r="I120" s="99">
        <f>I119/I117*100</f>
        <v>61.809045226130657</v>
      </c>
      <c r="J120" s="96"/>
      <c r="K120" s="28"/>
      <c r="L120" s="21"/>
    </row>
    <row r="121" spans="1:12" ht="14.85" hidden="1" customHeight="1" x14ac:dyDescent="0.25">
      <c r="A121" s="1479"/>
      <c r="B121" s="1488"/>
      <c r="C121" s="1160" t="s">
        <v>371</v>
      </c>
      <c r="D121" s="408" t="s">
        <v>251</v>
      </c>
      <c r="E121" s="624"/>
      <c r="F121" s="80">
        <v>20</v>
      </c>
      <c r="G121" s="80"/>
      <c r="H121" s="80"/>
      <c r="I121" s="80">
        <v>1578</v>
      </c>
      <c r="J121" s="96"/>
      <c r="K121" s="28"/>
      <c r="L121" s="21"/>
    </row>
    <row r="122" spans="1:12" hidden="1" x14ac:dyDescent="0.25">
      <c r="A122" s="1479"/>
      <c r="B122" s="1488"/>
      <c r="C122" s="1160"/>
      <c r="D122" s="407" t="s">
        <v>257</v>
      </c>
      <c r="E122" s="624"/>
      <c r="F122" s="80">
        <v>0</v>
      </c>
      <c r="G122" s="80"/>
      <c r="H122" s="80"/>
      <c r="I122" s="80">
        <v>726</v>
      </c>
      <c r="J122" s="96"/>
      <c r="K122" s="28"/>
      <c r="L122" s="21"/>
    </row>
    <row r="123" spans="1:12" hidden="1" x14ac:dyDescent="0.25">
      <c r="A123" s="1479"/>
      <c r="B123" s="1488"/>
      <c r="C123" s="1160"/>
      <c r="D123" s="407" t="s">
        <v>263</v>
      </c>
      <c r="E123" s="624"/>
      <c r="F123" s="80">
        <v>20</v>
      </c>
      <c r="G123" s="80"/>
      <c r="H123" s="80"/>
      <c r="I123" s="80">
        <v>855</v>
      </c>
      <c r="J123" s="96"/>
      <c r="K123" s="28"/>
      <c r="L123" s="21"/>
    </row>
    <row r="124" spans="1:12" hidden="1" x14ac:dyDescent="0.25">
      <c r="A124" s="1479"/>
      <c r="B124" s="1488"/>
      <c r="C124" s="1160"/>
      <c r="D124" s="407" t="s">
        <v>357</v>
      </c>
      <c r="E124" s="624"/>
      <c r="F124" s="99">
        <f>(F123/F121)*100</f>
        <v>100</v>
      </c>
      <c r="G124" s="94"/>
      <c r="H124" s="94"/>
      <c r="I124" s="98">
        <f>I123/I121*100</f>
        <v>54.182509505703422</v>
      </c>
      <c r="J124" s="96"/>
      <c r="K124" s="28"/>
      <c r="L124" s="21"/>
    </row>
    <row r="125" spans="1:12" ht="14.85" hidden="1" customHeight="1" x14ac:dyDescent="0.25">
      <c r="A125" s="1479"/>
      <c r="B125" s="1488"/>
      <c r="C125" s="1160" t="s">
        <v>372</v>
      </c>
      <c r="D125" s="408" t="s">
        <v>251</v>
      </c>
      <c r="E125" s="624"/>
      <c r="F125" s="80">
        <v>1430</v>
      </c>
      <c r="G125" s="80"/>
      <c r="H125" s="80"/>
      <c r="I125" s="80">
        <v>894</v>
      </c>
      <c r="J125" s="96"/>
      <c r="K125" s="28"/>
      <c r="L125" s="21"/>
    </row>
    <row r="126" spans="1:12" ht="14.85" hidden="1" customHeight="1" x14ac:dyDescent="0.25">
      <c r="A126" s="1479"/>
      <c r="B126" s="1488"/>
      <c r="C126" s="1160"/>
      <c r="D126" s="407" t="s">
        <v>257</v>
      </c>
      <c r="E126" s="624"/>
      <c r="F126" s="80">
        <v>960</v>
      </c>
      <c r="G126" s="80"/>
      <c r="H126" s="80"/>
      <c r="I126" s="80">
        <v>516</v>
      </c>
      <c r="J126" s="96"/>
      <c r="K126" s="28"/>
      <c r="L126" s="21"/>
    </row>
    <row r="127" spans="1:12" hidden="1" x14ac:dyDescent="0.25">
      <c r="A127" s="1479"/>
      <c r="B127" s="1488"/>
      <c r="C127" s="1160"/>
      <c r="D127" s="407" t="s">
        <v>263</v>
      </c>
      <c r="E127" s="624"/>
      <c r="F127" s="80">
        <v>470</v>
      </c>
      <c r="G127" s="80"/>
      <c r="H127" s="80"/>
      <c r="I127" s="80">
        <v>378</v>
      </c>
      <c r="J127" s="96"/>
      <c r="K127" s="28"/>
      <c r="L127" s="21"/>
    </row>
    <row r="128" spans="1:12" hidden="1" x14ac:dyDescent="0.25">
      <c r="A128" s="1479"/>
      <c r="B128" s="1488"/>
      <c r="C128" s="1160"/>
      <c r="D128" s="407" t="s">
        <v>357</v>
      </c>
      <c r="E128" s="624"/>
      <c r="F128" s="97">
        <f>(F127/F125)*100</f>
        <v>32.867132867132867</v>
      </c>
      <c r="G128" s="94"/>
      <c r="H128" s="94"/>
      <c r="I128" s="98">
        <f>I127/I125*100</f>
        <v>42.281879194630875</v>
      </c>
      <c r="J128" s="96"/>
      <c r="K128" s="28"/>
      <c r="L128" s="21"/>
    </row>
    <row r="129" spans="1:12" ht="14.85" hidden="1" customHeight="1" x14ac:dyDescent="0.25">
      <c r="A129" s="1479"/>
      <c r="B129" s="1488"/>
      <c r="C129" s="1160" t="s">
        <v>373</v>
      </c>
      <c r="D129" s="408" t="s">
        <v>251</v>
      </c>
      <c r="E129" s="624"/>
      <c r="F129" s="80">
        <v>295</v>
      </c>
      <c r="G129" s="80"/>
      <c r="H129" s="80"/>
      <c r="I129" s="80">
        <v>126</v>
      </c>
      <c r="J129" s="96"/>
      <c r="K129" s="28"/>
      <c r="L129" s="21"/>
    </row>
    <row r="130" spans="1:12" hidden="1" x14ac:dyDescent="0.25">
      <c r="A130" s="1479"/>
      <c r="B130" s="1488"/>
      <c r="C130" s="1160"/>
      <c r="D130" s="407" t="s">
        <v>257</v>
      </c>
      <c r="E130" s="624"/>
      <c r="F130" s="80">
        <v>250</v>
      </c>
      <c r="G130" s="80"/>
      <c r="H130" s="80"/>
      <c r="I130" s="80">
        <v>81</v>
      </c>
      <c r="J130" s="96"/>
      <c r="K130" s="28"/>
      <c r="L130" s="21"/>
    </row>
    <row r="131" spans="1:12" hidden="1" x14ac:dyDescent="0.25">
      <c r="A131" s="1479"/>
      <c r="B131" s="1488"/>
      <c r="C131" s="1160"/>
      <c r="D131" s="407" t="s">
        <v>263</v>
      </c>
      <c r="E131" s="624"/>
      <c r="F131" s="80">
        <v>40</v>
      </c>
      <c r="G131" s="80"/>
      <c r="H131" s="80"/>
      <c r="I131" s="80">
        <v>45</v>
      </c>
      <c r="J131" s="96"/>
      <c r="K131" s="28"/>
      <c r="L131" s="21"/>
    </row>
    <row r="132" spans="1:12" hidden="1" x14ac:dyDescent="0.25">
      <c r="A132" s="1479"/>
      <c r="B132" s="1488"/>
      <c r="C132" s="1160"/>
      <c r="D132" s="407" t="s">
        <v>357</v>
      </c>
      <c r="E132" s="624"/>
      <c r="F132" s="97">
        <f>(F131/F129)*100</f>
        <v>13.559322033898304</v>
      </c>
      <c r="G132" s="94"/>
      <c r="H132" s="94"/>
      <c r="I132" s="97">
        <f>I131/I129*100</f>
        <v>35.714285714285715</v>
      </c>
      <c r="J132" s="96"/>
      <c r="K132" s="28"/>
      <c r="L132" s="21"/>
    </row>
    <row r="133" spans="1:12" ht="14.85" hidden="1" customHeight="1" x14ac:dyDescent="0.25">
      <c r="A133" s="1479"/>
      <c r="B133" s="1488"/>
      <c r="C133" s="1160" t="s">
        <v>374</v>
      </c>
      <c r="D133" s="408" t="s">
        <v>251</v>
      </c>
      <c r="E133" s="624"/>
      <c r="F133" s="80">
        <v>265</v>
      </c>
      <c r="G133" s="80"/>
      <c r="H133" s="80"/>
      <c r="I133" s="80">
        <v>348</v>
      </c>
      <c r="J133" s="96"/>
      <c r="K133" s="28"/>
      <c r="L133" s="21"/>
    </row>
    <row r="134" spans="1:12" hidden="1" x14ac:dyDescent="0.25">
      <c r="A134" s="1479"/>
      <c r="B134" s="1488"/>
      <c r="C134" s="1160"/>
      <c r="D134" s="407" t="s">
        <v>257</v>
      </c>
      <c r="E134" s="624"/>
      <c r="F134" s="80">
        <v>75</v>
      </c>
      <c r="G134" s="80"/>
      <c r="H134" s="80"/>
      <c r="I134" s="80">
        <v>111</v>
      </c>
      <c r="J134" s="96"/>
      <c r="K134" s="28"/>
      <c r="L134" s="21"/>
    </row>
    <row r="135" spans="1:12" hidden="1" x14ac:dyDescent="0.25">
      <c r="A135" s="1479"/>
      <c r="B135" s="1488"/>
      <c r="C135" s="1160"/>
      <c r="D135" s="407" t="s">
        <v>263</v>
      </c>
      <c r="E135" s="624"/>
      <c r="F135" s="80">
        <v>190</v>
      </c>
      <c r="G135" s="80"/>
      <c r="H135" s="80"/>
      <c r="I135" s="80">
        <v>237</v>
      </c>
      <c r="J135" s="96"/>
      <c r="K135" s="28"/>
      <c r="L135" s="21"/>
    </row>
    <row r="136" spans="1:12" hidden="1" x14ac:dyDescent="0.25">
      <c r="A136" s="1479"/>
      <c r="B136" s="1488"/>
      <c r="C136" s="1160"/>
      <c r="D136" s="407" t="s">
        <v>357</v>
      </c>
      <c r="E136" s="624"/>
      <c r="F136" s="99">
        <f>(F135/F133)*100</f>
        <v>71.698113207547166</v>
      </c>
      <c r="G136" s="94"/>
      <c r="H136" s="94"/>
      <c r="I136" s="99">
        <f>I135/I133*100</f>
        <v>68.103448275862064</v>
      </c>
      <c r="J136" s="96"/>
      <c r="K136" s="28"/>
      <c r="L136" s="21"/>
    </row>
    <row r="137" spans="1:12" ht="14.85" hidden="1" customHeight="1" x14ac:dyDescent="0.25">
      <c r="A137" s="1479"/>
      <c r="B137" s="1488"/>
      <c r="C137" s="1160" t="s">
        <v>375</v>
      </c>
      <c r="D137" s="408" t="s">
        <v>251</v>
      </c>
      <c r="E137" s="624"/>
      <c r="F137" s="80">
        <v>70</v>
      </c>
      <c r="G137" s="80"/>
      <c r="H137" s="80"/>
      <c r="I137" s="80">
        <v>219</v>
      </c>
      <c r="J137" s="96"/>
      <c r="K137" s="28"/>
      <c r="L137" s="21"/>
    </row>
    <row r="138" spans="1:12" ht="14.85" hidden="1" customHeight="1" x14ac:dyDescent="0.25">
      <c r="A138" s="1479"/>
      <c r="B138" s="1488"/>
      <c r="C138" s="1160"/>
      <c r="D138" s="407" t="s">
        <v>257</v>
      </c>
      <c r="E138" s="624"/>
      <c r="F138" s="80">
        <v>25</v>
      </c>
      <c r="G138" s="80"/>
      <c r="H138" s="80"/>
      <c r="I138" s="80">
        <v>123</v>
      </c>
      <c r="J138" s="96"/>
      <c r="K138" s="28"/>
      <c r="L138" s="21"/>
    </row>
    <row r="139" spans="1:12" hidden="1" x14ac:dyDescent="0.25">
      <c r="A139" s="1479"/>
      <c r="B139" s="1488"/>
      <c r="C139" s="1160"/>
      <c r="D139" s="407" t="s">
        <v>263</v>
      </c>
      <c r="E139" s="624"/>
      <c r="F139" s="80">
        <v>40</v>
      </c>
      <c r="G139" s="80"/>
      <c r="H139" s="80"/>
      <c r="I139" s="80">
        <v>96</v>
      </c>
      <c r="J139" s="96"/>
      <c r="K139" s="28"/>
      <c r="L139" s="21"/>
    </row>
    <row r="140" spans="1:12" hidden="1" x14ac:dyDescent="0.25">
      <c r="A140" s="1479"/>
      <c r="B140" s="1488"/>
      <c r="C140" s="1160"/>
      <c r="D140" s="407" t="s">
        <v>357</v>
      </c>
      <c r="E140" s="624"/>
      <c r="F140" s="98">
        <f>(F139/F137)*100</f>
        <v>57.142857142857139</v>
      </c>
      <c r="G140" s="94"/>
      <c r="H140" s="94"/>
      <c r="I140" s="98">
        <f>I139/I137*100</f>
        <v>43.835616438356162</v>
      </c>
      <c r="J140" s="96"/>
      <c r="K140" s="28"/>
      <c r="L140" s="21"/>
    </row>
    <row r="141" spans="1:12" ht="14.85" hidden="1" customHeight="1" x14ac:dyDescent="0.25">
      <c r="A141" s="1479"/>
      <c r="B141" s="1488"/>
      <c r="C141" s="1160" t="s">
        <v>376</v>
      </c>
      <c r="D141" s="408" t="s">
        <v>251</v>
      </c>
      <c r="E141" s="624"/>
      <c r="F141" s="80">
        <v>1825</v>
      </c>
      <c r="G141" s="80"/>
      <c r="H141" s="80"/>
      <c r="I141" s="80">
        <v>2562</v>
      </c>
      <c r="J141" s="96"/>
      <c r="K141" s="28"/>
      <c r="L141" s="21"/>
    </row>
    <row r="142" spans="1:12" ht="14.85" hidden="1" customHeight="1" x14ac:dyDescent="0.25">
      <c r="A142" s="1479"/>
      <c r="B142" s="1488"/>
      <c r="C142" s="1160"/>
      <c r="D142" s="407" t="s">
        <v>257</v>
      </c>
      <c r="E142" s="624"/>
      <c r="F142" s="80">
        <v>985</v>
      </c>
      <c r="G142" s="80"/>
      <c r="H142" s="80"/>
      <c r="I142" s="80">
        <v>1380</v>
      </c>
      <c r="J142" s="96"/>
      <c r="K142" s="28"/>
      <c r="L142" s="21"/>
    </row>
    <row r="143" spans="1:12" hidden="1" x14ac:dyDescent="0.25">
      <c r="A143" s="1479"/>
      <c r="B143" s="1488"/>
      <c r="C143" s="1160"/>
      <c r="D143" s="407" t="s">
        <v>263</v>
      </c>
      <c r="E143" s="624"/>
      <c r="F143" s="80">
        <v>835</v>
      </c>
      <c r="G143" s="80"/>
      <c r="H143" s="80"/>
      <c r="I143" s="80">
        <v>1182</v>
      </c>
      <c r="J143" s="96"/>
      <c r="K143" s="28"/>
      <c r="L143" s="21"/>
    </row>
    <row r="144" spans="1:12" hidden="1" x14ac:dyDescent="0.25">
      <c r="A144" s="1479"/>
      <c r="B144" s="1488"/>
      <c r="C144" s="1160"/>
      <c r="D144" s="407" t="s">
        <v>357</v>
      </c>
      <c r="E144" s="624"/>
      <c r="F144" s="98">
        <f>(F143/F141)*100</f>
        <v>45.753424657534246</v>
      </c>
      <c r="G144" s="94"/>
      <c r="H144" s="94"/>
      <c r="I144" s="98">
        <f>I143/I141*100</f>
        <v>46.13583138173302</v>
      </c>
      <c r="J144" s="96"/>
      <c r="K144" s="28"/>
      <c r="L144" s="21"/>
    </row>
    <row r="145" spans="1:12" ht="14.85" hidden="1" customHeight="1" x14ac:dyDescent="0.25">
      <c r="A145" s="1479"/>
      <c r="B145" s="1488"/>
      <c r="C145" s="1160" t="s">
        <v>377</v>
      </c>
      <c r="D145" s="408" t="s">
        <v>251</v>
      </c>
      <c r="E145" s="624"/>
      <c r="F145" s="80">
        <v>1840</v>
      </c>
      <c r="G145" s="80"/>
      <c r="H145" s="80"/>
      <c r="I145" s="80">
        <v>1494</v>
      </c>
      <c r="J145" s="96"/>
      <c r="K145" s="28"/>
      <c r="L145" s="21"/>
    </row>
    <row r="146" spans="1:12" hidden="1" x14ac:dyDescent="0.25">
      <c r="A146" s="1479"/>
      <c r="B146" s="1488"/>
      <c r="C146" s="1160"/>
      <c r="D146" s="407" t="s">
        <v>257</v>
      </c>
      <c r="E146" s="624"/>
      <c r="F146" s="80">
        <v>195</v>
      </c>
      <c r="G146" s="80"/>
      <c r="H146" s="80"/>
      <c r="I146" s="80">
        <v>465</v>
      </c>
      <c r="J146" s="96"/>
      <c r="K146" s="28"/>
      <c r="L146" s="21"/>
    </row>
    <row r="147" spans="1:12" hidden="1" x14ac:dyDescent="0.25">
      <c r="A147" s="1479"/>
      <c r="B147" s="1488"/>
      <c r="C147" s="1160"/>
      <c r="D147" s="407" t="s">
        <v>263</v>
      </c>
      <c r="E147" s="624"/>
      <c r="F147" s="80">
        <v>1645</v>
      </c>
      <c r="G147" s="80"/>
      <c r="H147" s="80"/>
      <c r="I147" s="80">
        <v>1029</v>
      </c>
      <c r="J147" s="96"/>
      <c r="K147" s="28"/>
      <c r="L147" s="21"/>
    </row>
    <row r="148" spans="1:12" hidden="1" x14ac:dyDescent="0.25">
      <c r="A148" s="1479"/>
      <c r="B148" s="1488"/>
      <c r="C148" s="1160"/>
      <c r="D148" s="407" t="s">
        <v>357</v>
      </c>
      <c r="E148" s="624"/>
      <c r="F148" s="99">
        <f>(F147/F145)*100</f>
        <v>89.402173913043484</v>
      </c>
      <c r="G148" s="94"/>
      <c r="H148" s="94"/>
      <c r="I148" s="99">
        <f>I147/I145*100</f>
        <v>68.875502008032129</v>
      </c>
      <c r="J148" s="96"/>
      <c r="K148" s="28"/>
      <c r="L148" s="21"/>
    </row>
    <row r="149" spans="1:12" ht="14.85" hidden="1" customHeight="1" x14ac:dyDescent="0.25">
      <c r="A149" s="1479"/>
      <c r="B149" s="1488"/>
      <c r="C149" s="1160" t="s">
        <v>378</v>
      </c>
      <c r="D149" s="408" t="s">
        <v>251</v>
      </c>
      <c r="E149" s="624"/>
      <c r="F149" s="80">
        <v>595</v>
      </c>
      <c r="G149" s="80"/>
      <c r="H149" s="80"/>
      <c r="I149" s="80">
        <v>960</v>
      </c>
      <c r="J149" s="96"/>
      <c r="K149" s="28"/>
      <c r="L149" s="21"/>
    </row>
    <row r="150" spans="1:12" hidden="1" x14ac:dyDescent="0.25">
      <c r="A150" s="1479"/>
      <c r="B150" s="1488"/>
      <c r="C150" s="1160"/>
      <c r="D150" s="407" t="s">
        <v>257</v>
      </c>
      <c r="E150" s="624"/>
      <c r="F150" s="80">
        <v>255</v>
      </c>
      <c r="G150" s="80"/>
      <c r="H150" s="80"/>
      <c r="I150" s="80">
        <v>492</v>
      </c>
      <c r="J150" s="96"/>
      <c r="K150" s="28"/>
      <c r="L150" s="21"/>
    </row>
    <row r="151" spans="1:12" hidden="1" x14ac:dyDescent="0.25">
      <c r="A151" s="1479"/>
      <c r="B151" s="1488"/>
      <c r="C151" s="1160"/>
      <c r="D151" s="407" t="s">
        <v>263</v>
      </c>
      <c r="E151" s="624"/>
      <c r="F151" s="80">
        <v>340</v>
      </c>
      <c r="G151" s="80"/>
      <c r="H151" s="80"/>
      <c r="I151" s="80">
        <v>465</v>
      </c>
      <c r="J151" s="96"/>
      <c r="K151" s="28"/>
      <c r="L151" s="21"/>
    </row>
    <row r="152" spans="1:12" hidden="1" x14ac:dyDescent="0.25">
      <c r="A152" s="1479"/>
      <c r="B152" s="1488"/>
      <c r="C152" s="1160"/>
      <c r="D152" s="407" t="s">
        <v>357</v>
      </c>
      <c r="E152" s="624"/>
      <c r="F152" s="98">
        <f>(F151/F149)*100</f>
        <v>57.142857142857139</v>
      </c>
      <c r="G152" s="94"/>
      <c r="H152" s="94"/>
      <c r="I152" s="98">
        <f>I151/I149*100</f>
        <v>48.4375</v>
      </c>
      <c r="J152" s="96"/>
      <c r="K152" s="28"/>
      <c r="L152" s="21"/>
    </row>
    <row r="153" spans="1:12" ht="14.85" hidden="1" customHeight="1" x14ac:dyDescent="0.25">
      <c r="A153" s="1479"/>
      <c r="B153" s="1488"/>
      <c r="C153" s="1160" t="s">
        <v>379</v>
      </c>
      <c r="D153" s="408" t="s">
        <v>251</v>
      </c>
      <c r="E153" s="624"/>
      <c r="F153" s="80">
        <v>1450</v>
      </c>
      <c r="G153" s="80"/>
      <c r="H153" s="80"/>
      <c r="I153" s="80">
        <v>1275</v>
      </c>
      <c r="J153" s="96"/>
      <c r="K153" s="28"/>
      <c r="L153" s="21"/>
    </row>
    <row r="154" spans="1:12" hidden="1" x14ac:dyDescent="0.25">
      <c r="A154" s="1479"/>
      <c r="B154" s="1488"/>
      <c r="C154" s="1160"/>
      <c r="D154" s="407" t="s">
        <v>257</v>
      </c>
      <c r="E154" s="624"/>
      <c r="F154" s="80">
        <v>1035</v>
      </c>
      <c r="G154" s="80"/>
      <c r="H154" s="80"/>
      <c r="I154" s="80">
        <v>891</v>
      </c>
      <c r="J154" s="96"/>
      <c r="K154" s="28"/>
      <c r="L154" s="21"/>
    </row>
    <row r="155" spans="1:12" hidden="1" x14ac:dyDescent="0.25">
      <c r="A155" s="1479"/>
      <c r="B155" s="1488"/>
      <c r="C155" s="1160"/>
      <c r="D155" s="407" t="s">
        <v>263</v>
      </c>
      <c r="E155" s="624"/>
      <c r="F155" s="80">
        <v>420</v>
      </c>
      <c r="G155" s="80"/>
      <c r="H155" s="80"/>
      <c r="I155" s="80">
        <v>381</v>
      </c>
      <c r="J155" s="96"/>
      <c r="K155" s="28"/>
      <c r="L155" s="21"/>
    </row>
    <row r="156" spans="1:12" hidden="1" x14ac:dyDescent="0.25">
      <c r="A156" s="1479"/>
      <c r="B156" s="1488"/>
      <c r="C156" s="1160"/>
      <c r="D156" s="407" t="s">
        <v>357</v>
      </c>
      <c r="E156" s="624"/>
      <c r="F156" s="97">
        <f>(F155/F153)*100</f>
        <v>28.965517241379313</v>
      </c>
      <c r="G156" s="94"/>
      <c r="H156" s="94"/>
      <c r="I156" s="97">
        <f>I155/I153*100</f>
        <v>29.882352941176471</v>
      </c>
      <c r="J156" s="96"/>
      <c r="K156" s="28"/>
      <c r="L156" s="21"/>
    </row>
    <row r="157" spans="1:12" ht="14.85" hidden="1" customHeight="1" x14ac:dyDescent="0.25">
      <c r="A157" s="1479"/>
      <c r="B157" s="1488"/>
      <c r="C157" s="1160" t="s">
        <v>380</v>
      </c>
      <c r="D157" s="408" t="s">
        <v>251</v>
      </c>
      <c r="E157" s="624"/>
      <c r="F157" s="80">
        <v>2675</v>
      </c>
      <c r="G157" s="80"/>
      <c r="H157" s="80"/>
      <c r="I157" s="80">
        <v>2052</v>
      </c>
      <c r="J157" s="96"/>
      <c r="K157" s="28"/>
      <c r="L157" s="21"/>
    </row>
    <row r="158" spans="1:12" hidden="1" x14ac:dyDescent="0.25">
      <c r="A158" s="1479"/>
      <c r="B158" s="1488"/>
      <c r="C158" s="1160"/>
      <c r="D158" s="407" t="s">
        <v>257</v>
      </c>
      <c r="E158" s="624"/>
      <c r="F158" s="80">
        <v>1195</v>
      </c>
      <c r="G158" s="80"/>
      <c r="H158" s="80"/>
      <c r="I158" s="80">
        <v>990</v>
      </c>
      <c r="J158" s="96"/>
      <c r="K158" s="28"/>
      <c r="L158" s="21"/>
    </row>
    <row r="159" spans="1:12" hidden="1" x14ac:dyDescent="0.25">
      <c r="A159" s="1479"/>
      <c r="B159" s="1488"/>
      <c r="C159" s="1160"/>
      <c r="D159" s="407" t="s">
        <v>263</v>
      </c>
      <c r="E159" s="624"/>
      <c r="F159" s="80">
        <v>1485</v>
      </c>
      <c r="G159" s="80"/>
      <c r="H159" s="80"/>
      <c r="I159" s="80">
        <v>1059</v>
      </c>
      <c r="J159" s="96"/>
      <c r="K159" s="28"/>
      <c r="L159" s="21"/>
    </row>
    <row r="160" spans="1:12" hidden="1" x14ac:dyDescent="0.25">
      <c r="A160" s="1479"/>
      <c r="B160" s="1488"/>
      <c r="C160" s="1160"/>
      <c r="D160" s="407" t="s">
        <v>357</v>
      </c>
      <c r="E160" s="624"/>
      <c r="F160" s="98">
        <f>(F159/F157)*100</f>
        <v>55.514018691588788</v>
      </c>
      <c r="G160" s="94"/>
      <c r="H160" s="94"/>
      <c r="I160" s="98">
        <f>I159/I157*100</f>
        <v>51.608187134502927</v>
      </c>
      <c r="J160" s="96"/>
      <c r="K160" s="28"/>
      <c r="L160" s="21"/>
    </row>
    <row r="161" spans="1:12" ht="14.85" hidden="1" customHeight="1" x14ac:dyDescent="0.25">
      <c r="A161" s="1479"/>
      <c r="B161" s="1488"/>
      <c r="C161" s="1160" t="s">
        <v>381</v>
      </c>
      <c r="D161" s="408" t="s">
        <v>251</v>
      </c>
      <c r="E161" s="624"/>
      <c r="F161" s="80">
        <v>315</v>
      </c>
      <c r="G161" s="80"/>
      <c r="H161" s="80"/>
      <c r="I161" s="80">
        <v>210</v>
      </c>
      <c r="J161" s="28"/>
      <c r="K161" s="28"/>
      <c r="L161" s="21"/>
    </row>
    <row r="162" spans="1:12" ht="14.85" hidden="1" customHeight="1" x14ac:dyDescent="0.25">
      <c r="A162" s="1479"/>
      <c r="B162" s="1488"/>
      <c r="C162" s="1160"/>
      <c r="D162" s="407" t="s">
        <v>257</v>
      </c>
      <c r="E162" s="624"/>
      <c r="F162" s="80">
        <v>70</v>
      </c>
      <c r="G162" s="80"/>
      <c r="H162" s="80"/>
      <c r="I162" s="80">
        <v>105</v>
      </c>
      <c r="J162" s="28"/>
      <c r="K162" s="28"/>
      <c r="L162" s="21"/>
    </row>
    <row r="163" spans="1:12" hidden="1" x14ac:dyDescent="0.25">
      <c r="A163" s="1479"/>
      <c r="B163" s="1488"/>
      <c r="C163" s="1160"/>
      <c r="D163" s="407" t="s">
        <v>263</v>
      </c>
      <c r="E163" s="624"/>
      <c r="F163" s="80">
        <v>240</v>
      </c>
      <c r="G163" s="80"/>
      <c r="H163" s="80"/>
      <c r="I163" s="80">
        <v>108</v>
      </c>
      <c r="J163" s="28"/>
      <c r="K163" s="28"/>
      <c r="L163" s="21"/>
    </row>
    <row r="164" spans="1:12" hidden="1" x14ac:dyDescent="0.25">
      <c r="A164" s="1479"/>
      <c r="B164" s="1488"/>
      <c r="C164" s="1160"/>
      <c r="D164" s="407" t="s">
        <v>357</v>
      </c>
      <c r="E164" s="624"/>
      <c r="F164" s="99">
        <f>(F163/F161)*100</f>
        <v>76.19047619047619</v>
      </c>
      <c r="G164" s="94"/>
      <c r="H164" s="94"/>
      <c r="I164" s="98">
        <f>I163/I161*100</f>
        <v>51.428571428571423</v>
      </c>
      <c r="J164" s="28"/>
      <c r="K164" s="28"/>
      <c r="L164" s="21"/>
    </row>
    <row r="165" spans="1:12" ht="14.85" hidden="1" customHeight="1" x14ac:dyDescent="0.25">
      <c r="A165" s="1479"/>
      <c r="B165" s="1488"/>
      <c r="C165" s="1459" t="s">
        <v>382</v>
      </c>
      <c r="D165" s="409" t="s">
        <v>251</v>
      </c>
      <c r="E165" s="405"/>
      <c r="F165" s="80">
        <v>2810</v>
      </c>
      <c r="G165" s="80"/>
      <c r="H165" s="80"/>
      <c r="I165" s="80">
        <v>2724</v>
      </c>
      <c r="J165" s="96"/>
      <c r="K165" s="96"/>
      <c r="L165" s="200"/>
    </row>
    <row r="166" spans="1:12" hidden="1" x14ac:dyDescent="0.25">
      <c r="A166" s="1479"/>
      <c r="B166" s="1488"/>
      <c r="C166" s="1459"/>
      <c r="D166" s="410" t="s">
        <v>257</v>
      </c>
      <c r="E166" s="405"/>
      <c r="F166" s="80">
        <v>750</v>
      </c>
      <c r="G166" s="80"/>
      <c r="H166" s="80"/>
      <c r="I166" s="80">
        <v>963</v>
      </c>
      <c r="J166" s="96"/>
      <c r="K166" s="96"/>
      <c r="L166" s="200"/>
    </row>
    <row r="167" spans="1:12" hidden="1" x14ac:dyDescent="0.25">
      <c r="A167" s="1479"/>
      <c r="B167" s="1488"/>
      <c r="C167" s="1459"/>
      <c r="D167" s="410" t="s">
        <v>263</v>
      </c>
      <c r="E167" s="405"/>
      <c r="F167" s="80">
        <v>2060</v>
      </c>
      <c r="G167" s="80"/>
      <c r="H167" s="80"/>
      <c r="I167" s="80">
        <v>1758</v>
      </c>
      <c r="J167" s="96"/>
      <c r="K167" s="96"/>
      <c r="L167" s="200"/>
    </row>
    <row r="168" spans="1:12" hidden="1" x14ac:dyDescent="0.25">
      <c r="A168" s="1479"/>
      <c r="B168" s="1488"/>
      <c r="C168" s="1459"/>
      <c r="D168" s="410" t="s">
        <v>357</v>
      </c>
      <c r="E168" s="405"/>
      <c r="F168" s="99">
        <f>(F167/F165)*100</f>
        <v>73.309608540925268</v>
      </c>
      <c r="G168" s="94"/>
      <c r="H168" s="94"/>
      <c r="I168" s="99">
        <f>I167/I165*100</f>
        <v>64.53744493392071</v>
      </c>
      <c r="J168" s="96"/>
      <c r="K168" s="96"/>
      <c r="L168" s="200"/>
    </row>
    <row r="169" spans="1:12" ht="14.85" hidden="1" customHeight="1" x14ac:dyDescent="0.25">
      <c r="A169" s="1479"/>
      <c r="B169" s="1488"/>
      <c r="C169" s="1459" t="s">
        <v>383</v>
      </c>
      <c r="D169" s="409" t="s">
        <v>251</v>
      </c>
      <c r="E169" s="405"/>
      <c r="F169" s="80">
        <v>1495</v>
      </c>
      <c r="G169" s="80"/>
      <c r="H169" s="80"/>
      <c r="I169" s="80">
        <v>1179</v>
      </c>
      <c r="J169" s="96"/>
      <c r="K169" s="96"/>
      <c r="L169" s="200"/>
    </row>
    <row r="170" spans="1:12" hidden="1" x14ac:dyDescent="0.25">
      <c r="A170" s="1479"/>
      <c r="B170" s="1488"/>
      <c r="C170" s="1459"/>
      <c r="D170" s="410" t="s">
        <v>257</v>
      </c>
      <c r="E170" s="405"/>
      <c r="F170" s="80">
        <v>620</v>
      </c>
      <c r="G170" s="80"/>
      <c r="H170" s="80"/>
      <c r="I170" s="80">
        <v>420</v>
      </c>
      <c r="J170" s="96"/>
      <c r="K170" s="96"/>
      <c r="L170" s="200"/>
    </row>
    <row r="171" spans="1:12" hidden="1" x14ac:dyDescent="0.25">
      <c r="A171" s="1479"/>
      <c r="B171" s="1488"/>
      <c r="C171" s="1459"/>
      <c r="D171" s="410" t="s">
        <v>263</v>
      </c>
      <c r="E171" s="405"/>
      <c r="F171" s="80">
        <v>875</v>
      </c>
      <c r="G171" s="80"/>
      <c r="H171" s="80"/>
      <c r="I171" s="80">
        <v>762</v>
      </c>
      <c r="J171" s="96"/>
      <c r="K171" s="96"/>
      <c r="L171" s="200"/>
    </row>
    <row r="172" spans="1:12" hidden="1" x14ac:dyDescent="0.25">
      <c r="A172" s="1479"/>
      <c r="B172" s="1488"/>
      <c r="C172" s="1459"/>
      <c r="D172" s="410" t="s">
        <v>357</v>
      </c>
      <c r="E172" s="405"/>
      <c r="F172" s="98">
        <f>(F171/F169)*100</f>
        <v>58.528428093645488</v>
      </c>
      <c r="G172" s="94"/>
      <c r="H172" s="94"/>
      <c r="I172" s="99">
        <f>I171/I169*100</f>
        <v>64.631043256997458</v>
      </c>
      <c r="J172" s="96"/>
      <c r="K172" s="96"/>
      <c r="L172" s="200"/>
    </row>
    <row r="173" spans="1:12" ht="14.85" hidden="1" customHeight="1" x14ac:dyDescent="0.25">
      <c r="A173" s="1479"/>
      <c r="B173" s="1488"/>
      <c r="C173" s="1459" t="s">
        <v>384</v>
      </c>
      <c r="D173" s="409" t="s">
        <v>251</v>
      </c>
      <c r="E173" s="405"/>
      <c r="F173" s="80">
        <v>2190</v>
      </c>
      <c r="G173" s="80"/>
      <c r="H173" s="80"/>
      <c r="I173" s="80">
        <v>1596</v>
      </c>
      <c r="J173" s="96"/>
      <c r="K173" s="96"/>
      <c r="L173" s="200"/>
    </row>
    <row r="174" spans="1:12" hidden="1" x14ac:dyDescent="0.25">
      <c r="A174" s="1479"/>
      <c r="B174" s="1488"/>
      <c r="C174" s="1459"/>
      <c r="D174" s="410" t="s">
        <v>257</v>
      </c>
      <c r="E174" s="405"/>
      <c r="F174" s="80">
        <v>510</v>
      </c>
      <c r="G174" s="80"/>
      <c r="H174" s="80"/>
      <c r="I174" s="80">
        <v>522</v>
      </c>
      <c r="J174" s="96"/>
      <c r="K174" s="96"/>
      <c r="L174" s="200"/>
    </row>
    <row r="175" spans="1:12" hidden="1" x14ac:dyDescent="0.25">
      <c r="A175" s="1479"/>
      <c r="B175" s="1488"/>
      <c r="C175" s="1459"/>
      <c r="D175" s="410" t="s">
        <v>263</v>
      </c>
      <c r="E175" s="405"/>
      <c r="F175" s="80">
        <v>1680</v>
      </c>
      <c r="G175" s="80"/>
      <c r="H175" s="80"/>
      <c r="I175" s="80">
        <v>1074</v>
      </c>
      <c r="J175" s="96"/>
      <c r="K175" s="96"/>
      <c r="L175" s="200"/>
    </row>
    <row r="176" spans="1:12" hidden="1" x14ac:dyDescent="0.25">
      <c r="A176" s="1479"/>
      <c r="B176" s="1488"/>
      <c r="C176" s="1459"/>
      <c r="D176" s="410" t="s">
        <v>357</v>
      </c>
      <c r="E176" s="405"/>
      <c r="F176" s="99">
        <f>(F175/F173)*100</f>
        <v>76.712328767123282</v>
      </c>
      <c r="G176" s="94"/>
      <c r="H176" s="94"/>
      <c r="I176" s="99">
        <f>I175/I173*100</f>
        <v>67.293233082706777</v>
      </c>
      <c r="J176" s="96"/>
      <c r="K176" s="96"/>
      <c r="L176" s="200"/>
    </row>
    <row r="177" spans="1:12" ht="14.85" hidden="1" customHeight="1" x14ac:dyDescent="0.25">
      <c r="A177" s="1479"/>
      <c r="B177" s="1488"/>
      <c r="C177" s="1459" t="s">
        <v>385</v>
      </c>
      <c r="D177" s="409" t="s">
        <v>251</v>
      </c>
      <c r="E177" s="405"/>
      <c r="F177" s="80">
        <v>145</v>
      </c>
      <c r="G177" s="80"/>
      <c r="H177" s="80"/>
      <c r="I177" s="80">
        <v>396</v>
      </c>
      <c r="J177" s="96"/>
      <c r="K177" s="96"/>
      <c r="L177" s="200"/>
    </row>
    <row r="178" spans="1:12" ht="14.85" hidden="1" customHeight="1" x14ac:dyDescent="0.25">
      <c r="A178" s="1479"/>
      <c r="B178" s="1488"/>
      <c r="C178" s="1459"/>
      <c r="D178" s="410" t="s">
        <v>257</v>
      </c>
      <c r="E178" s="405"/>
      <c r="F178" s="80">
        <v>135</v>
      </c>
      <c r="G178" s="80"/>
      <c r="H178" s="80"/>
      <c r="I178" s="80">
        <v>261</v>
      </c>
      <c r="J178" s="96"/>
      <c r="K178" s="96"/>
      <c r="L178" s="200"/>
    </row>
    <row r="179" spans="1:12" hidden="1" x14ac:dyDescent="0.25">
      <c r="A179" s="1479"/>
      <c r="B179" s="1488"/>
      <c r="C179" s="1459"/>
      <c r="D179" s="410" t="s">
        <v>263</v>
      </c>
      <c r="E179" s="405"/>
      <c r="F179" s="80">
        <v>10</v>
      </c>
      <c r="G179" s="80"/>
      <c r="H179" s="80"/>
      <c r="I179" s="80">
        <v>132</v>
      </c>
      <c r="J179" s="96"/>
      <c r="K179" s="96"/>
      <c r="L179" s="200"/>
    </row>
    <row r="180" spans="1:12" hidden="1" x14ac:dyDescent="0.25">
      <c r="A180" s="1479"/>
      <c r="B180" s="1488"/>
      <c r="C180" s="1459"/>
      <c r="D180" s="410" t="s">
        <v>357</v>
      </c>
      <c r="E180" s="405"/>
      <c r="F180" s="97">
        <f>(F179/F177)*100</f>
        <v>6.8965517241379306</v>
      </c>
      <c r="G180" s="94"/>
      <c r="H180" s="94"/>
      <c r="I180" s="97">
        <f>I179/I177*100</f>
        <v>33.333333333333329</v>
      </c>
      <c r="J180" s="96"/>
      <c r="K180" s="96"/>
      <c r="L180" s="200"/>
    </row>
    <row r="181" spans="1:12" ht="14.85" hidden="1" customHeight="1" x14ac:dyDescent="0.25">
      <c r="A181" s="1479"/>
      <c r="B181" s="1488"/>
      <c r="C181" s="1459" t="s">
        <v>386</v>
      </c>
      <c r="D181" s="409" t="s">
        <v>251</v>
      </c>
      <c r="E181" s="405"/>
      <c r="F181" s="80">
        <v>1550</v>
      </c>
      <c r="G181" s="80"/>
      <c r="H181" s="80"/>
      <c r="I181" s="80">
        <v>1248</v>
      </c>
      <c r="J181" s="96"/>
      <c r="K181" s="96"/>
      <c r="L181" s="200"/>
    </row>
    <row r="182" spans="1:12" hidden="1" x14ac:dyDescent="0.25">
      <c r="A182" s="1479"/>
      <c r="B182" s="1488"/>
      <c r="C182" s="1459"/>
      <c r="D182" s="410" t="s">
        <v>257</v>
      </c>
      <c r="E182" s="405"/>
      <c r="F182" s="80">
        <v>900</v>
      </c>
      <c r="G182" s="80"/>
      <c r="H182" s="80"/>
      <c r="I182" s="80">
        <v>756</v>
      </c>
      <c r="J182" s="96"/>
      <c r="K182" s="96"/>
      <c r="L182" s="200"/>
    </row>
    <row r="183" spans="1:12" hidden="1" x14ac:dyDescent="0.25">
      <c r="A183" s="1479"/>
      <c r="B183" s="1488"/>
      <c r="C183" s="1459"/>
      <c r="D183" s="410" t="s">
        <v>263</v>
      </c>
      <c r="E183" s="405"/>
      <c r="F183" s="80">
        <v>645</v>
      </c>
      <c r="G183" s="80"/>
      <c r="H183" s="80"/>
      <c r="I183" s="80">
        <v>492</v>
      </c>
      <c r="J183" s="96"/>
      <c r="K183" s="96"/>
      <c r="L183" s="200"/>
    </row>
    <row r="184" spans="1:12" hidden="1" x14ac:dyDescent="0.25">
      <c r="A184" s="1479"/>
      <c r="B184" s="1488"/>
      <c r="C184" s="1459"/>
      <c r="D184" s="410" t="s">
        <v>357</v>
      </c>
      <c r="E184" s="405"/>
      <c r="F184" s="98">
        <f>(F183/F181)*100</f>
        <v>41.612903225806456</v>
      </c>
      <c r="G184" s="94"/>
      <c r="H184" s="94"/>
      <c r="I184" s="97">
        <f>I183/I181*100</f>
        <v>39.42307692307692</v>
      </c>
      <c r="J184" s="96"/>
      <c r="K184" s="96"/>
      <c r="L184" s="200"/>
    </row>
    <row r="185" spans="1:12" ht="14.85" hidden="1" customHeight="1" x14ac:dyDescent="0.25">
      <c r="A185" s="1479"/>
      <c r="B185" s="1488"/>
      <c r="C185" s="1459" t="s">
        <v>387</v>
      </c>
      <c r="D185" s="409" t="s">
        <v>251</v>
      </c>
      <c r="E185" s="405"/>
      <c r="F185" s="80">
        <v>2160</v>
      </c>
      <c r="G185" s="80"/>
      <c r="H185" s="80"/>
      <c r="I185" s="80">
        <v>1497</v>
      </c>
      <c r="J185" s="96"/>
      <c r="K185" s="96"/>
      <c r="L185" s="200"/>
    </row>
    <row r="186" spans="1:12" hidden="1" x14ac:dyDescent="0.25">
      <c r="A186" s="1479"/>
      <c r="B186" s="1488"/>
      <c r="C186" s="1459"/>
      <c r="D186" s="410" t="s">
        <v>257</v>
      </c>
      <c r="E186" s="405"/>
      <c r="F186" s="80">
        <v>600</v>
      </c>
      <c r="G186" s="80"/>
      <c r="H186" s="80"/>
      <c r="I186" s="80">
        <v>555</v>
      </c>
      <c r="J186" s="96"/>
      <c r="K186" s="96"/>
      <c r="L186" s="200"/>
    </row>
    <row r="187" spans="1:12" hidden="1" x14ac:dyDescent="0.25">
      <c r="A187" s="1479"/>
      <c r="B187" s="1488"/>
      <c r="C187" s="1459"/>
      <c r="D187" s="410" t="s">
        <v>263</v>
      </c>
      <c r="E187" s="405"/>
      <c r="F187" s="80">
        <v>1560</v>
      </c>
      <c r="G187" s="80"/>
      <c r="H187" s="80"/>
      <c r="I187" s="80">
        <v>942</v>
      </c>
      <c r="J187" s="96"/>
      <c r="K187" s="96"/>
      <c r="L187" s="200"/>
    </row>
    <row r="188" spans="1:12" hidden="1" x14ac:dyDescent="0.25">
      <c r="A188" s="1479"/>
      <c r="B188" s="1488"/>
      <c r="C188" s="1459"/>
      <c r="D188" s="410" t="s">
        <v>357</v>
      </c>
      <c r="E188" s="405"/>
      <c r="F188" s="99">
        <f>(F187/F185)*100</f>
        <v>72.222222222222214</v>
      </c>
      <c r="G188" s="94"/>
      <c r="H188" s="94"/>
      <c r="I188" s="99">
        <f>I187/I185*100</f>
        <v>62.925851703406806</v>
      </c>
      <c r="J188" s="96"/>
      <c r="K188" s="96"/>
      <c r="L188" s="200"/>
    </row>
    <row r="189" spans="1:12" ht="14.85" hidden="1" customHeight="1" x14ac:dyDescent="0.25">
      <c r="A189" s="1479"/>
      <c r="B189" s="1488"/>
      <c r="C189" s="1459" t="s">
        <v>388</v>
      </c>
      <c r="D189" s="409" t="s">
        <v>251</v>
      </c>
      <c r="E189" s="405"/>
      <c r="F189" s="80">
        <v>15</v>
      </c>
      <c r="G189" s="80"/>
      <c r="H189" s="80"/>
      <c r="I189" s="80">
        <v>699</v>
      </c>
      <c r="J189" s="96"/>
      <c r="K189" s="96"/>
      <c r="L189" s="200"/>
    </row>
    <row r="190" spans="1:12" hidden="1" x14ac:dyDescent="0.25">
      <c r="A190" s="1479"/>
      <c r="B190" s="1488"/>
      <c r="C190" s="1459"/>
      <c r="D190" s="410" t="s">
        <v>257</v>
      </c>
      <c r="E190" s="405"/>
      <c r="F190" s="80">
        <v>0</v>
      </c>
      <c r="G190" s="80"/>
      <c r="H190" s="80"/>
      <c r="I190" s="80">
        <v>327</v>
      </c>
      <c r="J190" s="96"/>
      <c r="K190" s="96"/>
      <c r="L190" s="200"/>
    </row>
    <row r="191" spans="1:12" hidden="1" x14ac:dyDescent="0.25">
      <c r="A191" s="1479"/>
      <c r="B191" s="1488"/>
      <c r="C191" s="1459"/>
      <c r="D191" s="410" t="s">
        <v>263</v>
      </c>
      <c r="E191" s="405"/>
      <c r="F191" s="80">
        <v>15</v>
      </c>
      <c r="G191" s="80"/>
      <c r="H191" s="80"/>
      <c r="I191" s="80">
        <v>375</v>
      </c>
      <c r="J191" s="96"/>
      <c r="K191" s="96"/>
      <c r="L191" s="200"/>
    </row>
    <row r="192" spans="1:12" hidden="1" x14ac:dyDescent="0.25">
      <c r="A192" s="1479"/>
      <c r="B192" s="1488"/>
      <c r="C192" s="1459"/>
      <c r="D192" s="410" t="s">
        <v>357</v>
      </c>
      <c r="E192" s="405"/>
      <c r="F192" s="99">
        <f>(F191/F189)*100</f>
        <v>100</v>
      </c>
      <c r="G192" s="94"/>
      <c r="H192" s="94"/>
      <c r="I192" s="98">
        <f>I191/I189*100</f>
        <v>53.648068669527895</v>
      </c>
      <c r="J192" s="96"/>
      <c r="K192" s="96"/>
      <c r="L192" s="200"/>
    </row>
    <row r="193" spans="1:12" ht="14.85" hidden="1" customHeight="1" x14ac:dyDescent="0.25">
      <c r="A193" s="1479"/>
      <c r="B193" s="1488"/>
      <c r="C193" s="1160" t="s">
        <v>389</v>
      </c>
      <c r="D193" s="408" t="s">
        <v>251</v>
      </c>
      <c r="E193" s="624"/>
      <c r="F193" s="80">
        <v>285</v>
      </c>
      <c r="G193" s="80"/>
      <c r="H193" s="80"/>
      <c r="I193" s="80">
        <v>387</v>
      </c>
      <c r="J193" s="28"/>
      <c r="K193" s="28"/>
      <c r="L193" s="21"/>
    </row>
    <row r="194" spans="1:12" hidden="1" x14ac:dyDescent="0.25">
      <c r="A194" s="1479"/>
      <c r="B194" s="1488"/>
      <c r="C194" s="1160"/>
      <c r="D194" s="407" t="s">
        <v>257</v>
      </c>
      <c r="E194" s="624"/>
      <c r="F194" s="80">
        <v>140</v>
      </c>
      <c r="G194" s="80"/>
      <c r="H194" s="80"/>
      <c r="I194" s="80">
        <v>174</v>
      </c>
      <c r="J194" s="28"/>
      <c r="K194" s="28"/>
      <c r="L194" s="21"/>
    </row>
    <row r="195" spans="1:12" hidden="1" x14ac:dyDescent="0.25">
      <c r="A195" s="1479"/>
      <c r="B195" s="1488"/>
      <c r="C195" s="1160"/>
      <c r="D195" s="407" t="s">
        <v>263</v>
      </c>
      <c r="E195" s="624"/>
      <c r="F195" s="80">
        <v>145</v>
      </c>
      <c r="G195" s="80"/>
      <c r="H195" s="80"/>
      <c r="I195" s="80">
        <v>210</v>
      </c>
      <c r="J195" s="28"/>
      <c r="K195" s="28"/>
      <c r="L195" s="21"/>
    </row>
    <row r="196" spans="1:12" hidden="1" x14ac:dyDescent="0.25">
      <c r="A196" s="1479"/>
      <c r="B196" s="1488"/>
      <c r="C196" s="1160"/>
      <c r="D196" s="407" t="s">
        <v>357</v>
      </c>
      <c r="E196" s="624"/>
      <c r="F196" s="98">
        <f>(F195/F193)*100</f>
        <v>50.877192982456144</v>
      </c>
      <c r="G196" s="94"/>
      <c r="H196" s="94"/>
      <c r="I196" s="98">
        <f>I195/I193*100</f>
        <v>54.263565891472865</v>
      </c>
      <c r="J196" s="28"/>
      <c r="K196" s="28"/>
      <c r="L196" s="21"/>
    </row>
    <row r="197" spans="1:12" ht="14.85" hidden="1" customHeight="1" x14ac:dyDescent="0.25">
      <c r="A197" s="1479"/>
      <c r="B197" s="1488"/>
      <c r="C197" s="1160" t="s">
        <v>390</v>
      </c>
      <c r="D197" s="408" t="s">
        <v>251</v>
      </c>
      <c r="E197" s="624"/>
      <c r="F197" s="80">
        <v>160</v>
      </c>
      <c r="G197" s="80"/>
      <c r="H197" s="80"/>
      <c r="I197" s="80">
        <v>141</v>
      </c>
      <c r="J197" s="28"/>
      <c r="K197" s="28"/>
      <c r="L197" s="21"/>
    </row>
    <row r="198" spans="1:12" ht="14.85" hidden="1" customHeight="1" x14ac:dyDescent="0.25">
      <c r="A198" s="1479"/>
      <c r="B198" s="1488"/>
      <c r="C198" s="1160"/>
      <c r="D198" s="407" t="s">
        <v>257</v>
      </c>
      <c r="E198" s="624"/>
      <c r="F198" s="80">
        <v>115</v>
      </c>
      <c r="G198" s="80"/>
      <c r="H198" s="80"/>
      <c r="I198" s="80">
        <v>45</v>
      </c>
      <c r="J198" s="28"/>
      <c r="K198" s="28"/>
      <c r="L198" s="21"/>
    </row>
    <row r="199" spans="1:12" hidden="1" x14ac:dyDescent="0.25">
      <c r="A199" s="1479"/>
      <c r="B199" s="1488"/>
      <c r="C199" s="1160"/>
      <c r="D199" s="407" t="s">
        <v>263</v>
      </c>
      <c r="E199" s="624"/>
      <c r="F199" s="80">
        <v>45</v>
      </c>
      <c r="G199" s="80"/>
      <c r="H199" s="80"/>
      <c r="I199" s="80">
        <v>96</v>
      </c>
      <c r="J199" s="28"/>
      <c r="K199" s="28"/>
      <c r="L199" s="21"/>
    </row>
    <row r="200" spans="1:12" hidden="1" x14ac:dyDescent="0.25">
      <c r="A200" s="1479"/>
      <c r="B200" s="1488"/>
      <c r="C200" s="1160"/>
      <c r="D200" s="407" t="s">
        <v>357</v>
      </c>
      <c r="E200" s="624"/>
      <c r="F200" s="97">
        <f>(F199/F197)*100</f>
        <v>28.125</v>
      </c>
      <c r="G200" s="94"/>
      <c r="H200" s="94"/>
      <c r="I200" s="99">
        <f>I199/I197*100</f>
        <v>68.085106382978722</v>
      </c>
      <c r="J200" s="28"/>
      <c r="K200" s="28"/>
      <c r="L200" s="21"/>
    </row>
    <row r="201" spans="1:12" ht="14.85" hidden="1" customHeight="1" x14ac:dyDescent="0.25">
      <c r="A201" s="1479"/>
      <c r="B201" s="1488"/>
      <c r="C201" s="1160" t="s">
        <v>391</v>
      </c>
      <c r="D201" s="408" t="s">
        <v>251</v>
      </c>
      <c r="E201" s="624"/>
      <c r="F201" s="80">
        <v>575</v>
      </c>
      <c r="G201" s="80"/>
      <c r="H201" s="80"/>
      <c r="I201" s="80">
        <v>393</v>
      </c>
      <c r="J201" s="28"/>
      <c r="K201" s="28"/>
      <c r="L201" s="21"/>
    </row>
    <row r="202" spans="1:12" hidden="1" x14ac:dyDescent="0.25">
      <c r="A202" s="1479"/>
      <c r="B202" s="1488"/>
      <c r="C202" s="1160"/>
      <c r="D202" s="407" t="s">
        <v>257</v>
      </c>
      <c r="E202" s="624"/>
      <c r="F202" s="80">
        <v>110</v>
      </c>
      <c r="G202" s="80"/>
      <c r="H202" s="80"/>
      <c r="I202" s="80">
        <v>87</v>
      </c>
      <c r="J202" s="28"/>
      <c r="K202" s="28"/>
      <c r="L202" s="21"/>
    </row>
    <row r="203" spans="1:12" hidden="1" x14ac:dyDescent="0.25">
      <c r="A203" s="1479"/>
      <c r="B203" s="1488"/>
      <c r="C203" s="1160"/>
      <c r="D203" s="407" t="s">
        <v>263</v>
      </c>
      <c r="E203" s="624"/>
      <c r="F203" s="80">
        <v>465</v>
      </c>
      <c r="G203" s="80"/>
      <c r="H203" s="80"/>
      <c r="I203" s="80">
        <v>303</v>
      </c>
      <c r="J203" s="28"/>
      <c r="K203" s="28"/>
      <c r="L203" s="21"/>
    </row>
    <row r="204" spans="1:12" hidden="1" x14ac:dyDescent="0.25">
      <c r="A204" s="1479"/>
      <c r="B204" s="1488"/>
      <c r="C204" s="1160"/>
      <c r="D204" s="407" t="s">
        <v>357</v>
      </c>
      <c r="E204" s="624"/>
      <c r="F204" s="99">
        <f>(F203/F201)*100</f>
        <v>80.869565217391298</v>
      </c>
      <c r="G204" s="94"/>
      <c r="H204" s="94"/>
      <c r="I204" s="99">
        <f>I203/I201*100</f>
        <v>77.099236641221367</v>
      </c>
      <c r="J204" s="28"/>
      <c r="K204" s="28"/>
      <c r="L204" s="21"/>
    </row>
    <row r="205" spans="1:12" ht="14.85" hidden="1" customHeight="1" x14ac:dyDescent="0.25">
      <c r="A205" s="1479"/>
      <c r="B205" s="1488"/>
      <c r="C205" s="1160" t="s">
        <v>392</v>
      </c>
      <c r="D205" s="408" t="s">
        <v>251</v>
      </c>
      <c r="E205" s="624"/>
      <c r="F205" s="80">
        <v>675</v>
      </c>
      <c r="G205" s="80"/>
      <c r="H205" s="80"/>
      <c r="I205" s="80">
        <v>192</v>
      </c>
      <c r="J205" s="28"/>
      <c r="K205" s="28"/>
      <c r="L205" s="21"/>
    </row>
    <row r="206" spans="1:12" hidden="1" x14ac:dyDescent="0.25">
      <c r="A206" s="1479"/>
      <c r="B206" s="1488"/>
      <c r="C206" s="1160"/>
      <c r="D206" s="407" t="s">
        <v>257</v>
      </c>
      <c r="E206" s="624"/>
      <c r="F206" s="80">
        <v>75</v>
      </c>
      <c r="G206" s="80"/>
      <c r="H206" s="80"/>
      <c r="I206" s="80">
        <v>42</v>
      </c>
      <c r="J206" s="28"/>
      <c r="K206" s="28"/>
      <c r="L206" s="21"/>
    </row>
    <row r="207" spans="1:12" hidden="1" x14ac:dyDescent="0.25">
      <c r="A207" s="1479"/>
      <c r="B207" s="1488"/>
      <c r="C207" s="1160"/>
      <c r="D207" s="407" t="s">
        <v>263</v>
      </c>
      <c r="E207" s="624"/>
      <c r="F207" s="80">
        <v>600</v>
      </c>
      <c r="G207" s="80"/>
      <c r="H207" s="80"/>
      <c r="I207" s="80">
        <v>153</v>
      </c>
      <c r="J207" s="28"/>
      <c r="K207" s="28"/>
      <c r="L207" s="21"/>
    </row>
    <row r="208" spans="1:12" hidden="1" x14ac:dyDescent="0.25">
      <c r="A208" s="1479"/>
      <c r="B208" s="1488"/>
      <c r="C208" s="1160"/>
      <c r="D208" s="407" t="s">
        <v>357</v>
      </c>
      <c r="E208" s="624"/>
      <c r="F208" s="99">
        <f>(F207/F205)*100</f>
        <v>88.888888888888886</v>
      </c>
      <c r="G208" s="94"/>
      <c r="H208" s="94"/>
      <c r="I208" s="99">
        <f>I207/I205*100</f>
        <v>79.6875</v>
      </c>
      <c r="J208" s="28"/>
      <c r="K208" s="28"/>
      <c r="L208" s="21"/>
    </row>
    <row r="209" spans="1:12" ht="14.85" hidden="1" customHeight="1" x14ac:dyDescent="0.25">
      <c r="A209" s="1479"/>
      <c r="B209" s="1488"/>
      <c r="C209" s="1160" t="s">
        <v>393</v>
      </c>
      <c r="D209" s="408" t="s">
        <v>251</v>
      </c>
      <c r="E209" s="624"/>
      <c r="F209" s="80">
        <v>2355</v>
      </c>
      <c r="G209" s="80"/>
      <c r="H209" s="80"/>
      <c r="I209" s="80">
        <v>1899</v>
      </c>
      <c r="J209" s="28"/>
      <c r="K209" s="28"/>
      <c r="L209" s="21"/>
    </row>
    <row r="210" spans="1:12" hidden="1" x14ac:dyDescent="0.25">
      <c r="A210" s="1479"/>
      <c r="B210" s="1488"/>
      <c r="C210" s="1160"/>
      <c r="D210" s="407" t="s">
        <v>257</v>
      </c>
      <c r="E210" s="624"/>
      <c r="F210" s="80">
        <v>1365</v>
      </c>
      <c r="G210" s="80"/>
      <c r="H210" s="80"/>
      <c r="I210" s="80">
        <v>1164</v>
      </c>
      <c r="J210" s="28"/>
      <c r="K210" s="28"/>
      <c r="L210" s="21"/>
    </row>
    <row r="211" spans="1:12" hidden="1" x14ac:dyDescent="0.25">
      <c r="A211" s="1479"/>
      <c r="B211" s="1488"/>
      <c r="C211" s="1160"/>
      <c r="D211" s="407" t="s">
        <v>263</v>
      </c>
      <c r="E211" s="624"/>
      <c r="F211" s="80">
        <v>990</v>
      </c>
      <c r="G211" s="80"/>
      <c r="H211" s="80"/>
      <c r="I211" s="80">
        <v>732</v>
      </c>
      <c r="J211" s="28"/>
      <c r="K211" s="28"/>
      <c r="L211" s="21"/>
    </row>
    <row r="212" spans="1:12" hidden="1" x14ac:dyDescent="0.25">
      <c r="A212" s="1479"/>
      <c r="B212" s="1488"/>
      <c r="C212" s="1160"/>
      <c r="D212" s="407" t="s">
        <v>357</v>
      </c>
      <c r="E212" s="624"/>
      <c r="F212" s="98">
        <f>(F211/F209)*100</f>
        <v>42.038216560509554</v>
      </c>
      <c r="G212" s="94"/>
      <c r="H212" s="94"/>
      <c r="I212" s="97">
        <f>I211/I209*100</f>
        <v>38.546603475513429</v>
      </c>
      <c r="J212" s="28"/>
      <c r="K212" s="28"/>
      <c r="L212" s="21"/>
    </row>
    <row r="213" spans="1:12" ht="14.85" hidden="1" customHeight="1" x14ac:dyDescent="0.25">
      <c r="A213" s="1479"/>
      <c r="B213" s="1488"/>
      <c r="C213" s="1160" t="s">
        <v>394</v>
      </c>
      <c r="D213" s="408" t="s">
        <v>251</v>
      </c>
      <c r="E213" s="624"/>
      <c r="F213" s="80">
        <v>545</v>
      </c>
      <c r="G213" s="80"/>
      <c r="H213" s="80"/>
      <c r="I213" s="80">
        <v>606</v>
      </c>
      <c r="J213" s="28"/>
      <c r="K213" s="28"/>
      <c r="L213" s="21"/>
    </row>
    <row r="214" spans="1:12" hidden="1" x14ac:dyDescent="0.25">
      <c r="A214" s="1479"/>
      <c r="B214" s="1488"/>
      <c r="C214" s="1160"/>
      <c r="D214" s="407" t="s">
        <v>257</v>
      </c>
      <c r="E214" s="624"/>
      <c r="F214" s="80">
        <v>420</v>
      </c>
      <c r="G214" s="80"/>
      <c r="H214" s="80"/>
      <c r="I214" s="80">
        <v>480</v>
      </c>
      <c r="J214" s="28"/>
      <c r="K214" s="28"/>
      <c r="L214" s="21"/>
    </row>
    <row r="215" spans="1:12" hidden="1" x14ac:dyDescent="0.25">
      <c r="A215" s="1479"/>
      <c r="B215" s="1488"/>
      <c r="C215" s="1160"/>
      <c r="D215" s="407" t="s">
        <v>263</v>
      </c>
      <c r="E215" s="624"/>
      <c r="F215" s="80">
        <v>125</v>
      </c>
      <c r="G215" s="80"/>
      <c r="H215" s="80"/>
      <c r="I215" s="80">
        <v>129</v>
      </c>
      <c r="J215" s="28"/>
      <c r="K215" s="28"/>
      <c r="L215" s="21"/>
    </row>
    <row r="216" spans="1:12" hidden="1" x14ac:dyDescent="0.25">
      <c r="A216" s="1479"/>
      <c r="B216" s="1488"/>
      <c r="C216" s="1160"/>
      <c r="D216" s="407" t="s">
        <v>357</v>
      </c>
      <c r="E216" s="624"/>
      <c r="F216" s="97">
        <f>(F215/F213)*100</f>
        <v>22.935779816513762</v>
      </c>
      <c r="G216" s="94"/>
      <c r="H216" s="94"/>
      <c r="I216" s="97">
        <f>I215/I213*100</f>
        <v>21.287128712871286</v>
      </c>
      <c r="J216" s="28"/>
      <c r="K216" s="28"/>
      <c r="L216" s="21"/>
    </row>
    <row r="217" spans="1:12" ht="14.85" hidden="1" customHeight="1" x14ac:dyDescent="0.25">
      <c r="A217" s="1479"/>
      <c r="B217" s="1488"/>
      <c r="C217" s="1160" t="s">
        <v>395</v>
      </c>
      <c r="D217" s="408" t="s">
        <v>251</v>
      </c>
      <c r="E217" s="624"/>
      <c r="F217" s="80">
        <v>125</v>
      </c>
      <c r="G217" s="80"/>
      <c r="H217" s="80"/>
      <c r="I217" s="80">
        <v>207</v>
      </c>
      <c r="J217" s="94"/>
      <c r="K217" s="28"/>
      <c r="L217" s="21"/>
    </row>
    <row r="218" spans="1:12" ht="14.85" hidden="1" customHeight="1" x14ac:dyDescent="0.25">
      <c r="A218" s="1479"/>
      <c r="B218" s="1488"/>
      <c r="C218" s="1160"/>
      <c r="D218" s="407" t="s">
        <v>257</v>
      </c>
      <c r="E218" s="624"/>
      <c r="F218" s="80">
        <v>75</v>
      </c>
      <c r="G218" s="80"/>
      <c r="H218" s="80"/>
      <c r="I218" s="80">
        <v>108</v>
      </c>
      <c r="J218" s="94"/>
      <c r="K218" s="28"/>
      <c r="L218" s="21"/>
    </row>
    <row r="219" spans="1:12" hidden="1" x14ac:dyDescent="0.25">
      <c r="A219" s="1479"/>
      <c r="B219" s="1488"/>
      <c r="C219" s="1160"/>
      <c r="D219" s="407" t="s">
        <v>263</v>
      </c>
      <c r="E219" s="624"/>
      <c r="F219" s="80">
        <v>50</v>
      </c>
      <c r="G219" s="80"/>
      <c r="H219" s="80"/>
      <c r="I219" s="80">
        <v>96</v>
      </c>
      <c r="J219" s="94"/>
      <c r="K219" s="28"/>
      <c r="L219" s="21"/>
    </row>
    <row r="220" spans="1:12" hidden="1" x14ac:dyDescent="0.25">
      <c r="A220" s="1479"/>
      <c r="B220" s="1488"/>
      <c r="C220" s="1160"/>
      <c r="D220" s="407" t="s">
        <v>357</v>
      </c>
      <c r="E220" s="624"/>
      <c r="F220" s="98">
        <f>(F219/F217)*100</f>
        <v>40</v>
      </c>
      <c r="G220" s="94"/>
      <c r="H220" s="94"/>
      <c r="I220" s="98">
        <f>I219/I217*100</f>
        <v>46.376811594202898</v>
      </c>
      <c r="J220" s="94"/>
      <c r="K220" s="28"/>
      <c r="L220" s="21"/>
    </row>
    <row r="221" spans="1:12" ht="14.85" hidden="1" customHeight="1" x14ac:dyDescent="0.25">
      <c r="A221" s="1479"/>
      <c r="B221" s="1488"/>
      <c r="C221" s="1160" t="s">
        <v>396</v>
      </c>
      <c r="D221" s="408" t="s">
        <v>251</v>
      </c>
      <c r="E221" s="624"/>
      <c r="F221" s="80">
        <v>25</v>
      </c>
      <c r="G221" s="80"/>
      <c r="H221" s="80"/>
      <c r="I221" s="80">
        <v>24</v>
      </c>
      <c r="J221" s="94"/>
      <c r="K221" s="28"/>
      <c r="L221" s="21"/>
    </row>
    <row r="222" spans="1:12" hidden="1" x14ac:dyDescent="0.25">
      <c r="A222" s="1479"/>
      <c r="B222" s="1488"/>
      <c r="C222" s="1160"/>
      <c r="D222" s="407" t="s">
        <v>257</v>
      </c>
      <c r="E222" s="624"/>
      <c r="F222" s="80">
        <v>0</v>
      </c>
      <c r="G222" s="80"/>
      <c r="H222" s="80"/>
      <c r="I222" s="80">
        <v>15</v>
      </c>
      <c r="J222" s="94"/>
      <c r="K222" s="28"/>
      <c r="L222" s="21"/>
    </row>
    <row r="223" spans="1:12" hidden="1" x14ac:dyDescent="0.25">
      <c r="A223" s="1479"/>
      <c r="B223" s="1488"/>
      <c r="C223" s="1160"/>
      <c r="D223" s="407" t="s">
        <v>263</v>
      </c>
      <c r="E223" s="624"/>
      <c r="F223" s="80">
        <v>25</v>
      </c>
      <c r="G223" s="80"/>
      <c r="H223" s="80"/>
      <c r="I223" s="80">
        <v>9</v>
      </c>
      <c r="J223" s="94"/>
      <c r="K223" s="28"/>
      <c r="L223" s="21"/>
    </row>
    <row r="224" spans="1:12" hidden="1" x14ac:dyDescent="0.25">
      <c r="A224" s="1479"/>
      <c r="B224" s="1488"/>
      <c r="C224" s="1160"/>
      <c r="D224" s="407" t="s">
        <v>357</v>
      </c>
      <c r="E224" s="624"/>
      <c r="F224" s="99">
        <f>(F223/F221)*100</f>
        <v>100</v>
      </c>
      <c r="G224" s="94"/>
      <c r="H224" s="94"/>
      <c r="I224" s="97">
        <f>I223/I221*100</f>
        <v>37.5</v>
      </c>
      <c r="J224" s="94"/>
      <c r="K224" s="28"/>
      <c r="L224" s="21"/>
    </row>
    <row r="225" spans="1:12" ht="14.85" hidden="1" customHeight="1" x14ac:dyDescent="0.25">
      <c r="A225" s="1479"/>
      <c r="B225" s="1488"/>
      <c r="C225" s="1160" t="s">
        <v>397</v>
      </c>
      <c r="D225" s="408" t="s">
        <v>251</v>
      </c>
      <c r="E225" s="624"/>
      <c r="F225" s="80"/>
      <c r="G225" s="80"/>
      <c r="H225" s="80"/>
      <c r="I225" s="80">
        <v>33</v>
      </c>
      <c r="J225" s="94"/>
      <c r="K225" s="28"/>
      <c r="L225" s="21"/>
    </row>
    <row r="226" spans="1:12" hidden="1" x14ac:dyDescent="0.25">
      <c r="A226" s="1479"/>
      <c r="B226" s="1488"/>
      <c r="C226" s="1160"/>
      <c r="D226" s="407" t="s">
        <v>257</v>
      </c>
      <c r="E226" s="624"/>
      <c r="F226" s="80"/>
      <c r="G226" s="80"/>
      <c r="H226" s="80"/>
      <c r="I226" s="80">
        <v>12</v>
      </c>
      <c r="J226" s="94"/>
      <c r="K226" s="28"/>
      <c r="L226" s="21"/>
    </row>
    <row r="227" spans="1:12" hidden="1" x14ac:dyDescent="0.25">
      <c r="A227" s="1479"/>
      <c r="B227" s="1488"/>
      <c r="C227" s="1160"/>
      <c r="D227" s="407" t="s">
        <v>263</v>
      </c>
      <c r="E227" s="624"/>
      <c r="F227" s="80"/>
      <c r="G227" s="80"/>
      <c r="H227" s="80"/>
      <c r="I227" s="80">
        <v>21</v>
      </c>
      <c r="J227" s="94"/>
      <c r="K227" s="28"/>
      <c r="L227" s="21"/>
    </row>
    <row r="228" spans="1:12" hidden="1" x14ac:dyDescent="0.25">
      <c r="A228" s="1479"/>
      <c r="B228" s="1488"/>
      <c r="C228" s="1160"/>
      <c r="D228" s="407" t="s">
        <v>357</v>
      </c>
      <c r="E228" s="624"/>
      <c r="F228" s="94"/>
      <c r="G228" s="94"/>
      <c r="H228" s="94"/>
      <c r="I228" s="99">
        <f>I227/I225*100</f>
        <v>63.636363636363633</v>
      </c>
      <c r="J228" s="94"/>
      <c r="K228" s="28"/>
      <c r="L228" s="21"/>
    </row>
    <row r="229" spans="1:12" ht="14.85" hidden="1" customHeight="1" x14ac:dyDescent="0.25">
      <c r="A229" s="1479"/>
      <c r="B229" s="1488"/>
      <c r="C229" s="1160" t="s">
        <v>398</v>
      </c>
      <c r="D229" s="408" t="s">
        <v>251</v>
      </c>
      <c r="E229" s="624"/>
      <c r="F229" s="80">
        <v>20</v>
      </c>
      <c r="G229" s="80"/>
      <c r="H229" s="80"/>
      <c r="I229" s="80">
        <v>6</v>
      </c>
      <c r="J229" s="94"/>
      <c r="K229" s="28"/>
      <c r="L229" s="21"/>
    </row>
    <row r="230" spans="1:12" ht="14.85" hidden="1" customHeight="1" x14ac:dyDescent="0.25">
      <c r="A230" s="1479"/>
      <c r="B230" s="1488"/>
      <c r="C230" s="1160"/>
      <c r="D230" s="407" t="s">
        <v>257</v>
      </c>
      <c r="E230" s="624"/>
      <c r="F230" s="80">
        <v>10</v>
      </c>
      <c r="G230" s="80"/>
      <c r="H230" s="80"/>
      <c r="I230" s="80">
        <v>0</v>
      </c>
      <c r="J230" s="94"/>
      <c r="K230" s="28"/>
      <c r="L230" s="21"/>
    </row>
    <row r="231" spans="1:12" hidden="1" x14ac:dyDescent="0.25">
      <c r="A231" s="1479"/>
      <c r="B231" s="1488"/>
      <c r="C231" s="1160"/>
      <c r="D231" s="407" t="s">
        <v>263</v>
      </c>
      <c r="E231" s="624"/>
      <c r="F231" s="80">
        <v>10</v>
      </c>
      <c r="G231" s="80"/>
      <c r="H231" s="80"/>
      <c r="I231" s="80">
        <v>3</v>
      </c>
      <c r="J231" s="94"/>
      <c r="K231" s="28"/>
      <c r="L231" s="21"/>
    </row>
    <row r="232" spans="1:12" hidden="1" x14ac:dyDescent="0.25">
      <c r="A232" s="1479"/>
      <c r="B232" s="1488"/>
      <c r="C232" s="1160"/>
      <c r="D232" s="407" t="s">
        <v>357</v>
      </c>
      <c r="E232" s="624"/>
      <c r="F232" s="98">
        <f>(F231/F229)*100</f>
        <v>50</v>
      </c>
      <c r="G232" s="94"/>
      <c r="H232" s="94"/>
      <c r="I232" s="98">
        <f>I231/I229*100</f>
        <v>50</v>
      </c>
      <c r="J232" s="94"/>
      <c r="K232" s="28"/>
      <c r="L232" s="21"/>
    </row>
    <row r="233" spans="1:12" ht="14.85" hidden="1" customHeight="1" x14ac:dyDescent="0.25">
      <c r="A233" s="1479"/>
      <c r="B233" s="1488"/>
      <c r="C233" s="1160" t="s">
        <v>399</v>
      </c>
      <c r="D233" s="408" t="s">
        <v>251</v>
      </c>
      <c r="E233" s="624"/>
      <c r="F233" s="80">
        <v>275</v>
      </c>
      <c r="G233" s="80"/>
      <c r="H233" s="80"/>
      <c r="I233" s="80">
        <v>285</v>
      </c>
      <c r="J233" s="94"/>
      <c r="K233" s="28"/>
      <c r="L233" s="21"/>
    </row>
    <row r="234" spans="1:12" ht="14.85" hidden="1" customHeight="1" x14ac:dyDescent="0.25">
      <c r="A234" s="1479"/>
      <c r="B234" s="1488"/>
      <c r="C234" s="1160"/>
      <c r="D234" s="407" t="s">
        <v>257</v>
      </c>
      <c r="E234" s="624"/>
      <c r="F234" s="80">
        <v>195</v>
      </c>
      <c r="G234" s="80"/>
      <c r="H234" s="80"/>
      <c r="I234" s="80">
        <v>228</v>
      </c>
      <c r="J234" s="94"/>
      <c r="K234" s="28"/>
      <c r="L234" s="21"/>
    </row>
    <row r="235" spans="1:12" hidden="1" x14ac:dyDescent="0.25">
      <c r="A235" s="1479"/>
      <c r="B235" s="1488"/>
      <c r="C235" s="1160"/>
      <c r="D235" s="407" t="s">
        <v>263</v>
      </c>
      <c r="E235" s="624"/>
      <c r="F235" s="80">
        <v>80</v>
      </c>
      <c r="G235" s="80"/>
      <c r="H235" s="80"/>
      <c r="I235" s="80">
        <v>57</v>
      </c>
      <c r="J235" s="94"/>
      <c r="K235" s="28"/>
      <c r="L235" s="21"/>
    </row>
    <row r="236" spans="1:12" hidden="1" x14ac:dyDescent="0.25">
      <c r="A236" s="1479"/>
      <c r="B236" s="1488"/>
      <c r="C236" s="1160"/>
      <c r="D236" s="407" t="s">
        <v>357</v>
      </c>
      <c r="E236" s="624"/>
      <c r="F236" s="97">
        <f>(F235/F233)*100</f>
        <v>29.09090909090909</v>
      </c>
      <c r="G236" s="94"/>
      <c r="H236" s="94"/>
      <c r="I236" s="97">
        <f>I235/I233*100</f>
        <v>20</v>
      </c>
      <c r="J236" s="94"/>
      <c r="K236" s="28"/>
      <c r="L236" s="21"/>
    </row>
    <row r="237" spans="1:12" ht="14.85" hidden="1" customHeight="1" x14ac:dyDescent="0.25">
      <c r="A237" s="1479"/>
      <c r="B237" s="1488"/>
      <c r="C237" s="1160" t="s">
        <v>400</v>
      </c>
      <c r="D237" s="408" t="s">
        <v>251</v>
      </c>
      <c r="E237" s="624"/>
      <c r="F237" s="80">
        <v>435</v>
      </c>
      <c r="G237" s="80"/>
      <c r="H237" s="80"/>
      <c r="I237" s="80">
        <v>129</v>
      </c>
      <c r="J237" s="94"/>
      <c r="K237" s="28"/>
      <c r="L237" s="21"/>
    </row>
    <row r="238" spans="1:12" hidden="1" x14ac:dyDescent="0.25">
      <c r="A238" s="1479"/>
      <c r="B238" s="1488"/>
      <c r="C238" s="1160"/>
      <c r="D238" s="407" t="s">
        <v>257</v>
      </c>
      <c r="E238" s="624"/>
      <c r="F238" s="80">
        <v>270</v>
      </c>
      <c r="G238" s="80"/>
      <c r="H238" s="80"/>
      <c r="I238" s="80">
        <v>105</v>
      </c>
      <c r="J238" s="94"/>
      <c r="K238" s="28"/>
      <c r="L238" s="21"/>
    </row>
    <row r="239" spans="1:12" hidden="1" x14ac:dyDescent="0.25">
      <c r="A239" s="1479"/>
      <c r="B239" s="1488"/>
      <c r="C239" s="1160"/>
      <c r="D239" s="407" t="s">
        <v>263</v>
      </c>
      <c r="E239" s="624"/>
      <c r="F239" s="80">
        <v>165</v>
      </c>
      <c r="G239" s="80"/>
      <c r="H239" s="80"/>
      <c r="I239" s="80">
        <v>27</v>
      </c>
      <c r="J239" s="94"/>
      <c r="K239" s="28"/>
      <c r="L239" s="21"/>
    </row>
    <row r="240" spans="1:12" hidden="1" x14ac:dyDescent="0.25">
      <c r="A240" s="1479"/>
      <c r="B240" s="1488"/>
      <c r="C240" s="1160"/>
      <c r="D240" s="407" t="s">
        <v>357</v>
      </c>
      <c r="E240" s="624"/>
      <c r="F240" s="97">
        <f>(F239/F237)*100</f>
        <v>37.931034482758619</v>
      </c>
      <c r="G240" s="94"/>
      <c r="H240" s="94"/>
      <c r="I240" s="97">
        <f>I239/I237*100</f>
        <v>20.930232558139537</v>
      </c>
      <c r="J240" s="94"/>
      <c r="K240" s="28"/>
      <c r="L240" s="21"/>
    </row>
    <row r="241" spans="1:12" ht="14.85" hidden="1" customHeight="1" x14ac:dyDescent="0.25">
      <c r="A241" s="1479"/>
      <c r="B241" s="1488"/>
      <c r="C241" s="1160" t="s">
        <v>401</v>
      </c>
      <c r="D241" s="408" t="s">
        <v>251</v>
      </c>
      <c r="E241" s="624"/>
      <c r="F241" s="80">
        <v>190</v>
      </c>
      <c r="G241" s="80"/>
      <c r="H241" s="80"/>
      <c r="I241" s="80">
        <v>60</v>
      </c>
      <c r="J241" s="94"/>
      <c r="K241" s="28"/>
      <c r="L241" s="21"/>
    </row>
    <row r="242" spans="1:12" hidden="1" x14ac:dyDescent="0.25">
      <c r="A242" s="1479"/>
      <c r="B242" s="1488"/>
      <c r="C242" s="1160"/>
      <c r="D242" s="407" t="s">
        <v>257</v>
      </c>
      <c r="E242" s="624"/>
      <c r="F242" s="80">
        <v>150</v>
      </c>
      <c r="G242" s="80"/>
      <c r="H242" s="80"/>
      <c r="I242" s="80">
        <v>54</v>
      </c>
      <c r="J242" s="94"/>
      <c r="K242" s="28"/>
      <c r="L242" s="21"/>
    </row>
    <row r="243" spans="1:12" hidden="1" x14ac:dyDescent="0.25">
      <c r="A243" s="1479"/>
      <c r="B243" s="1488"/>
      <c r="C243" s="1160"/>
      <c r="D243" s="407" t="s">
        <v>263</v>
      </c>
      <c r="E243" s="624"/>
      <c r="F243" s="80">
        <v>40</v>
      </c>
      <c r="G243" s="80"/>
      <c r="H243" s="80"/>
      <c r="I243" s="80">
        <v>9</v>
      </c>
      <c r="J243" s="94"/>
      <c r="K243" s="28"/>
      <c r="L243" s="21"/>
    </row>
    <row r="244" spans="1:12" hidden="1" x14ac:dyDescent="0.25">
      <c r="A244" s="1479"/>
      <c r="B244" s="1488"/>
      <c r="C244" s="1160"/>
      <c r="D244" s="407" t="s">
        <v>357</v>
      </c>
      <c r="E244" s="624"/>
      <c r="F244" s="97">
        <f>(F243/F241)*100</f>
        <v>21.052631578947366</v>
      </c>
      <c r="G244" s="94"/>
      <c r="H244" s="94"/>
      <c r="I244" s="206">
        <f>I243/I241*100</f>
        <v>15</v>
      </c>
      <c r="J244" s="94"/>
      <c r="K244" s="28"/>
      <c r="L244" s="21"/>
    </row>
    <row r="245" spans="1:12" ht="14.85" hidden="1" customHeight="1" x14ac:dyDescent="0.25">
      <c r="A245" s="1479"/>
      <c r="B245" s="1488"/>
      <c r="C245" s="1160" t="s">
        <v>402</v>
      </c>
      <c r="D245" s="408" t="s">
        <v>251</v>
      </c>
      <c r="E245" s="624"/>
      <c r="F245" s="80">
        <v>195</v>
      </c>
      <c r="G245" s="80"/>
      <c r="H245" s="80"/>
      <c r="I245" s="80">
        <v>144</v>
      </c>
      <c r="J245" s="94"/>
      <c r="K245" s="28"/>
      <c r="L245" s="21"/>
    </row>
    <row r="246" spans="1:12" hidden="1" x14ac:dyDescent="0.25">
      <c r="A246" s="1479"/>
      <c r="B246" s="1488"/>
      <c r="C246" s="1160"/>
      <c r="D246" s="407" t="s">
        <v>257</v>
      </c>
      <c r="E246" s="624"/>
      <c r="F246" s="80">
        <v>155</v>
      </c>
      <c r="G246" s="80"/>
      <c r="H246" s="80"/>
      <c r="I246" s="80">
        <v>120</v>
      </c>
      <c r="J246" s="94"/>
      <c r="K246" s="28"/>
      <c r="L246" s="21"/>
    </row>
    <row r="247" spans="1:12" hidden="1" x14ac:dyDescent="0.25">
      <c r="A247" s="1479"/>
      <c r="B247" s="1488"/>
      <c r="C247" s="1160"/>
      <c r="D247" s="407" t="s">
        <v>263</v>
      </c>
      <c r="E247" s="624"/>
      <c r="F247" s="80">
        <v>40</v>
      </c>
      <c r="G247" s="80"/>
      <c r="H247" s="80"/>
      <c r="I247" s="80">
        <v>21</v>
      </c>
      <c r="J247" s="94"/>
      <c r="K247" s="28"/>
      <c r="L247" s="21"/>
    </row>
    <row r="248" spans="1:12" hidden="1" x14ac:dyDescent="0.25">
      <c r="A248" s="1479"/>
      <c r="B248" s="1488"/>
      <c r="C248" s="1160"/>
      <c r="D248" s="407" t="s">
        <v>357</v>
      </c>
      <c r="E248" s="624"/>
      <c r="F248" s="97">
        <f>(F247/F245)*100</f>
        <v>20.512820512820511</v>
      </c>
      <c r="G248" s="94"/>
      <c r="H248" s="94"/>
      <c r="I248" s="97">
        <f>I247/I245*100</f>
        <v>14.583333333333334</v>
      </c>
      <c r="J248" s="94"/>
      <c r="K248" s="28"/>
      <c r="L248" s="21"/>
    </row>
    <row r="249" spans="1:12" ht="14.85" hidden="1" customHeight="1" x14ac:dyDescent="0.25">
      <c r="A249" s="1479"/>
      <c r="B249" s="1488"/>
      <c r="C249" s="1160" t="s">
        <v>403</v>
      </c>
      <c r="D249" s="408" t="s">
        <v>251</v>
      </c>
      <c r="E249" s="624"/>
      <c r="F249" s="80">
        <v>585</v>
      </c>
      <c r="G249" s="80"/>
      <c r="H249" s="80"/>
      <c r="I249" s="80">
        <v>204</v>
      </c>
      <c r="J249" s="94"/>
      <c r="K249" s="28"/>
      <c r="L249" s="21"/>
    </row>
    <row r="250" spans="1:12" hidden="1" x14ac:dyDescent="0.25">
      <c r="A250" s="1479"/>
      <c r="B250" s="1488"/>
      <c r="C250" s="1160"/>
      <c r="D250" s="407" t="s">
        <v>257</v>
      </c>
      <c r="E250" s="624"/>
      <c r="F250" s="80">
        <v>520</v>
      </c>
      <c r="G250" s="80"/>
      <c r="H250" s="80"/>
      <c r="I250" s="80">
        <v>153</v>
      </c>
      <c r="J250" s="94"/>
      <c r="K250" s="28"/>
      <c r="L250" s="21"/>
    </row>
    <row r="251" spans="1:12" hidden="1" x14ac:dyDescent="0.25">
      <c r="A251" s="1479"/>
      <c r="B251" s="1488"/>
      <c r="C251" s="1160"/>
      <c r="D251" s="407" t="s">
        <v>263</v>
      </c>
      <c r="E251" s="624"/>
      <c r="F251" s="80">
        <v>65</v>
      </c>
      <c r="G251" s="80"/>
      <c r="H251" s="80"/>
      <c r="I251" s="80">
        <v>54</v>
      </c>
      <c r="J251" s="94"/>
      <c r="K251" s="28"/>
      <c r="L251" s="21"/>
    </row>
    <row r="252" spans="1:12" hidden="1" x14ac:dyDescent="0.25">
      <c r="A252" s="1479"/>
      <c r="B252" s="1488"/>
      <c r="C252" s="1160"/>
      <c r="D252" s="407" t="s">
        <v>357</v>
      </c>
      <c r="E252" s="624"/>
      <c r="F252" s="97">
        <f>(F251/F249)*100</f>
        <v>11.111111111111111</v>
      </c>
      <c r="G252" s="94"/>
      <c r="H252" s="94"/>
      <c r="I252" s="97">
        <f>I251/I249*100</f>
        <v>26.47058823529412</v>
      </c>
      <c r="J252" s="94"/>
      <c r="K252" s="28"/>
      <c r="L252" s="21"/>
    </row>
    <row r="253" spans="1:12" ht="14.85" hidden="1" customHeight="1" x14ac:dyDescent="0.25">
      <c r="A253" s="1479"/>
      <c r="B253" s="1488"/>
      <c r="C253" s="1160" t="s">
        <v>404</v>
      </c>
      <c r="D253" s="408" t="s">
        <v>251</v>
      </c>
      <c r="E253" s="624"/>
      <c r="F253" s="80">
        <v>245</v>
      </c>
      <c r="G253" s="80"/>
      <c r="H253" s="80"/>
      <c r="I253" s="80">
        <v>96</v>
      </c>
      <c r="J253" s="94"/>
      <c r="K253" s="28"/>
      <c r="L253" s="21"/>
    </row>
    <row r="254" spans="1:12" ht="14.85" hidden="1" customHeight="1" x14ac:dyDescent="0.25">
      <c r="A254" s="1479"/>
      <c r="B254" s="1488"/>
      <c r="C254" s="1160"/>
      <c r="D254" s="407" t="s">
        <v>257</v>
      </c>
      <c r="E254" s="624"/>
      <c r="F254" s="80">
        <v>220</v>
      </c>
      <c r="G254" s="80"/>
      <c r="H254" s="80"/>
      <c r="I254" s="80">
        <v>51</v>
      </c>
      <c r="J254" s="94"/>
      <c r="K254" s="28"/>
      <c r="L254" s="21"/>
    </row>
    <row r="255" spans="1:12" hidden="1" x14ac:dyDescent="0.25">
      <c r="A255" s="1479"/>
      <c r="B255" s="1488"/>
      <c r="C255" s="1160"/>
      <c r="D255" s="407" t="s">
        <v>263</v>
      </c>
      <c r="E255" s="624"/>
      <c r="F255" s="80">
        <v>25</v>
      </c>
      <c r="G255" s="80"/>
      <c r="H255" s="80"/>
      <c r="I255" s="80">
        <v>42</v>
      </c>
      <c r="J255" s="94"/>
      <c r="K255" s="28"/>
      <c r="L255" s="21"/>
    </row>
    <row r="256" spans="1:12" hidden="1" x14ac:dyDescent="0.25">
      <c r="A256" s="1479"/>
      <c r="B256" s="1488"/>
      <c r="C256" s="1160"/>
      <c r="D256" s="407" t="s">
        <v>357</v>
      </c>
      <c r="E256" s="624"/>
      <c r="F256" s="97">
        <f>(F255/F253)*100</f>
        <v>10.204081632653061</v>
      </c>
      <c r="G256" s="94"/>
      <c r="H256" s="94"/>
      <c r="I256" s="98">
        <f>I255/I253*100</f>
        <v>43.75</v>
      </c>
      <c r="J256" s="94"/>
      <c r="K256" s="28"/>
      <c r="L256" s="21"/>
    </row>
    <row r="257" spans="1:12" ht="14.85" hidden="1" customHeight="1" x14ac:dyDescent="0.25">
      <c r="A257" s="1479"/>
      <c r="B257" s="1488"/>
      <c r="C257" s="1160" t="s">
        <v>405</v>
      </c>
      <c r="D257" s="408" t="s">
        <v>251</v>
      </c>
      <c r="E257" s="624"/>
      <c r="F257" s="80">
        <v>75</v>
      </c>
      <c r="G257" s="80"/>
      <c r="H257" s="80"/>
      <c r="I257" s="80">
        <v>57</v>
      </c>
      <c r="J257" s="94"/>
      <c r="K257" s="28"/>
      <c r="L257" s="21"/>
    </row>
    <row r="258" spans="1:12" hidden="1" x14ac:dyDescent="0.25">
      <c r="A258" s="1479"/>
      <c r="B258" s="1488"/>
      <c r="C258" s="1160"/>
      <c r="D258" s="407" t="s">
        <v>257</v>
      </c>
      <c r="E258" s="624"/>
      <c r="F258" s="80">
        <v>20</v>
      </c>
      <c r="G258" s="80"/>
      <c r="H258" s="80"/>
      <c r="I258" s="80">
        <v>33</v>
      </c>
      <c r="J258" s="94"/>
      <c r="K258" s="28"/>
      <c r="L258" s="21"/>
    </row>
    <row r="259" spans="1:12" hidden="1" x14ac:dyDescent="0.25">
      <c r="A259" s="1479"/>
      <c r="B259" s="1488"/>
      <c r="C259" s="1160"/>
      <c r="D259" s="407" t="s">
        <v>263</v>
      </c>
      <c r="E259" s="624"/>
      <c r="F259" s="80">
        <v>55</v>
      </c>
      <c r="G259" s="80"/>
      <c r="H259" s="80"/>
      <c r="I259" s="80">
        <v>24</v>
      </c>
      <c r="J259" s="94"/>
      <c r="K259" s="28"/>
      <c r="L259" s="21"/>
    </row>
    <row r="260" spans="1:12" hidden="1" x14ac:dyDescent="0.25">
      <c r="A260" s="1479"/>
      <c r="B260" s="1488"/>
      <c r="C260" s="1160"/>
      <c r="D260" s="407" t="s">
        <v>357</v>
      </c>
      <c r="E260" s="624"/>
      <c r="F260" s="99">
        <f>(F259/F257)*100</f>
        <v>73.333333333333329</v>
      </c>
      <c r="G260" s="94"/>
      <c r="H260" s="94"/>
      <c r="I260" s="98">
        <f>I259/I257*100</f>
        <v>42.105263157894733</v>
      </c>
      <c r="J260" s="94"/>
      <c r="K260" s="28"/>
      <c r="L260" s="21"/>
    </row>
    <row r="261" spans="1:12" ht="14.85" hidden="1" customHeight="1" x14ac:dyDescent="0.25">
      <c r="A261" s="1479"/>
      <c r="B261" s="1488"/>
      <c r="C261" s="1160" t="s">
        <v>406</v>
      </c>
      <c r="D261" s="408" t="s">
        <v>251</v>
      </c>
      <c r="E261" s="624"/>
      <c r="F261" s="80">
        <v>125</v>
      </c>
      <c r="G261" s="80"/>
      <c r="H261" s="80"/>
      <c r="I261" s="80">
        <v>132</v>
      </c>
      <c r="J261" s="94"/>
      <c r="K261" s="28"/>
      <c r="L261" s="21"/>
    </row>
    <row r="262" spans="1:12" hidden="1" x14ac:dyDescent="0.25">
      <c r="A262" s="1479"/>
      <c r="B262" s="1488"/>
      <c r="C262" s="1160"/>
      <c r="D262" s="407" t="s">
        <v>257</v>
      </c>
      <c r="E262" s="624"/>
      <c r="F262" s="80">
        <v>40</v>
      </c>
      <c r="G262" s="80"/>
      <c r="H262" s="80"/>
      <c r="I262" s="80">
        <v>63</v>
      </c>
      <c r="J262" s="94"/>
      <c r="K262" s="28"/>
      <c r="L262" s="21"/>
    </row>
    <row r="263" spans="1:12" hidden="1" x14ac:dyDescent="0.25">
      <c r="A263" s="1479"/>
      <c r="B263" s="1488"/>
      <c r="C263" s="1160"/>
      <c r="D263" s="407" t="s">
        <v>263</v>
      </c>
      <c r="E263" s="624"/>
      <c r="F263" s="80">
        <v>80</v>
      </c>
      <c r="G263" s="80"/>
      <c r="H263" s="80"/>
      <c r="I263" s="80">
        <v>66</v>
      </c>
      <c r="J263" s="94"/>
      <c r="K263" s="28"/>
      <c r="L263" s="21"/>
    </row>
    <row r="264" spans="1:12" hidden="1" x14ac:dyDescent="0.25">
      <c r="A264" s="1479"/>
      <c r="B264" s="1488"/>
      <c r="C264" s="1160"/>
      <c r="D264" s="407" t="s">
        <v>357</v>
      </c>
      <c r="E264" s="624"/>
      <c r="F264" s="99">
        <f>(F263/F261)*100</f>
        <v>64</v>
      </c>
      <c r="G264" s="94"/>
      <c r="H264" s="94"/>
      <c r="I264" s="98">
        <f>I263/I261*100</f>
        <v>50</v>
      </c>
      <c r="J264" s="94"/>
      <c r="K264" s="28"/>
      <c r="L264" s="21"/>
    </row>
    <row r="265" spans="1:12" ht="14.85" hidden="1" customHeight="1" x14ac:dyDescent="0.25">
      <c r="A265" s="1479"/>
      <c r="B265" s="1488"/>
      <c r="C265" s="1160" t="s">
        <v>407</v>
      </c>
      <c r="D265" s="408" t="s">
        <v>251</v>
      </c>
      <c r="E265" s="624"/>
      <c r="F265" s="80">
        <v>315</v>
      </c>
      <c r="G265" s="80"/>
      <c r="H265" s="80"/>
      <c r="I265" s="80">
        <v>60</v>
      </c>
      <c r="J265" s="94"/>
      <c r="K265" s="28"/>
      <c r="L265" s="21"/>
    </row>
    <row r="266" spans="1:12" hidden="1" x14ac:dyDescent="0.25">
      <c r="A266" s="1479"/>
      <c r="B266" s="1488"/>
      <c r="C266" s="1160"/>
      <c r="D266" s="407" t="s">
        <v>257</v>
      </c>
      <c r="E266" s="624"/>
      <c r="F266" s="80">
        <v>180</v>
      </c>
      <c r="G266" s="80"/>
      <c r="H266" s="80"/>
      <c r="I266" s="80">
        <v>45</v>
      </c>
      <c r="J266" s="94"/>
      <c r="K266" s="28"/>
      <c r="L266" s="21"/>
    </row>
    <row r="267" spans="1:12" hidden="1" x14ac:dyDescent="0.25">
      <c r="A267" s="1479"/>
      <c r="B267" s="1488"/>
      <c r="C267" s="1160"/>
      <c r="D267" s="407" t="s">
        <v>263</v>
      </c>
      <c r="E267" s="624"/>
      <c r="F267" s="80">
        <v>135</v>
      </c>
      <c r="G267" s="80"/>
      <c r="H267" s="80"/>
      <c r="I267" s="80">
        <v>15</v>
      </c>
      <c r="J267" s="94"/>
      <c r="K267" s="28"/>
      <c r="L267" s="21"/>
    </row>
    <row r="268" spans="1:12" hidden="1" x14ac:dyDescent="0.25">
      <c r="A268" s="1479"/>
      <c r="B268" s="1488"/>
      <c r="C268" s="1160"/>
      <c r="D268" s="407" t="s">
        <v>357</v>
      </c>
      <c r="E268" s="624"/>
      <c r="F268" s="98">
        <f>(F267/F265)*100</f>
        <v>42.857142857142854</v>
      </c>
      <c r="G268" s="94"/>
      <c r="H268" s="94"/>
      <c r="I268" s="97">
        <f>I267/I265*100</f>
        <v>25</v>
      </c>
      <c r="J268" s="94"/>
      <c r="K268" s="28"/>
      <c r="L268" s="21"/>
    </row>
    <row r="269" spans="1:12" ht="14.85" hidden="1" customHeight="1" x14ac:dyDescent="0.25">
      <c r="A269" s="1479"/>
      <c r="B269" s="1488"/>
      <c r="C269" s="1160" t="s">
        <v>408</v>
      </c>
      <c r="D269" s="408" t="s">
        <v>251</v>
      </c>
      <c r="E269" s="624"/>
      <c r="F269" s="80">
        <v>10</v>
      </c>
      <c r="G269" s="80"/>
      <c r="H269" s="80"/>
      <c r="I269" s="80">
        <v>27</v>
      </c>
      <c r="J269" s="94"/>
      <c r="K269" s="28"/>
      <c r="L269" s="21"/>
    </row>
    <row r="270" spans="1:12" hidden="1" x14ac:dyDescent="0.25">
      <c r="A270" s="1479"/>
      <c r="B270" s="1488"/>
      <c r="C270" s="1160"/>
      <c r="D270" s="407" t="s">
        <v>257</v>
      </c>
      <c r="E270" s="624"/>
      <c r="F270" s="80">
        <v>10</v>
      </c>
      <c r="G270" s="80"/>
      <c r="H270" s="80"/>
      <c r="I270" s="80">
        <v>21</v>
      </c>
      <c r="J270" s="94"/>
      <c r="K270" s="28"/>
      <c r="L270" s="21"/>
    </row>
    <row r="271" spans="1:12" hidden="1" x14ac:dyDescent="0.25">
      <c r="A271" s="1479"/>
      <c r="B271" s="1488"/>
      <c r="C271" s="1160"/>
      <c r="D271" s="407" t="s">
        <v>263</v>
      </c>
      <c r="E271" s="624"/>
      <c r="F271" s="80">
        <v>0</v>
      </c>
      <c r="G271" s="80"/>
      <c r="H271" s="80"/>
      <c r="I271" s="80">
        <v>6</v>
      </c>
      <c r="J271" s="94"/>
      <c r="K271" s="28"/>
      <c r="L271" s="21"/>
    </row>
    <row r="272" spans="1:12" hidden="1" x14ac:dyDescent="0.25">
      <c r="A272" s="1479"/>
      <c r="B272" s="1488"/>
      <c r="C272" s="1160"/>
      <c r="D272" s="407" t="s">
        <v>357</v>
      </c>
      <c r="E272" s="624"/>
      <c r="F272" s="97">
        <f>(F271/F269)*100</f>
        <v>0</v>
      </c>
      <c r="G272" s="94"/>
      <c r="H272" s="94"/>
      <c r="I272" s="97">
        <f>I271/I269*100</f>
        <v>22.222222222222221</v>
      </c>
      <c r="J272" s="94"/>
      <c r="K272" s="28"/>
      <c r="L272" s="21"/>
    </row>
    <row r="273" spans="1:12" ht="14.85" hidden="1" customHeight="1" x14ac:dyDescent="0.25">
      <c r="A273" s="1479"/>
      <c r="B273" s="1488"/>
      <c r="C273" s="1160" t="s">
        <v>409</v>
      </c>
      <c r="D273" s="408" t="s">
        <v>251</v>
      </c>
      <c r="E273" s="624"/>
      <c r="F273" s="80">
        <v>50</v>
      </c>
      <c r="G273" s="80"/>
      <c r="H273" s="80"/>
      <c r="I273" s="80">
        <v>36</v>
      </c>
      <c r="J273" s="94"/>
      <c r="K273" s="28"/>
      <c r="L273" s="21"/>
    </row>
    <row r="274" spans="1:12" ht="14.85" hidden="1" customHeight="1" x14ac:dyDescent="0.25">
      <c r="A274" s="1479"/>
      <c r="B274" s="1488"/>
      <c r="C274" s="1160"/>
      <c r="D274" s="407" t="s">
        <v>257</v>
      </c>
      <c r="E274" s="624"/>
      <c r="F274" s="80">
        <v>20</v>
      </c>
      <c r="G274" s="80"/>
      <c r="H274" s="80"/>
      <c r="I274" s="80">
        <v>30</v>
      </c>
      <c r="J274" s="94"/>
      <c r="K274" s="28"/>
      <c r="L274" s="21"/>
    </row>
    <row r="275" spans="1:12" hidden="1" x14ac:dyDescent="0.25">
      <c r="A275" s="1479"/>
      <c r="B275" s="1488"/>
      <c r="C275" s="1160"/>
      <c r="D275" s="407" t="s">
        <v>263</v>
      </c>
      <c r="E275" s="624"/>
      <c r="F275" s="80">
        <v>25</v>
      </c>
      <c r="G275" s="80"/>
      <c r="H275" s="80"/>
      <c r="I275" s="80">
        <v>6</v>
      </c>
      <c r="J275" s="94"/>
      <c r="K275" s="28"/>
      <c r="L275" s="21"/>
    </row>
    <row r="276" spans="1:12" hidden="1" x14ac:dyDescent="0.25">
      <c r="A276" s="1479"/>
      <c r="B276" s="1488"/>
      <c r="C276" s="1160"/>
      <c r="D276" s="407" t="s">
        <v>357</v>
      </c>
      <c r="E276" s="624"/>
      <c r="F276" s="98">
        <f>(F275/F273)*100</f>
        <v>50</v>
      </c>
      <c r="G276" s="94"/>
      <c r="H276" s="94"/>
      <c r="I276" s="97">
        <f>I275/I273*100</f>
        <v>16.666666666666664</v>
      </c>
      <c r="J276" s="94"/>
      <c r="K276" s="28"/>
      <c r="L276" s="21"/>
    </row>
    <row r="277" spans="1:12" ht="14.85" hidden="1" customHeight="1" x14ac:dyDescent="0.25">
      <c r="A277" s="1479"/>
      <c r="B277" s="1488"/>
      <c r="C277" s="1160" t="s">
        <v>410</v>
      </c>
      <c r="D277" s="408" t="s">
        <v>251</v>
      </c>
      <c r="E277" s="624"/>
      <c r="F277" s="80">
        <v>900</v>
      </c>
      <c r="G277" s="80"/>
      <c r="H277" s="80"/>
      <c r="I277" s="80">
        <v>501</v>
      </c>
      <c r="J277" s="94"/>
      <c r="K277" s="28"/>
      <c r="L277" s="21"/>
    </row>
    <row r="278" spans="1:12" hidden="1" x14ac:dyDescent="0.25">
      <c r="A278" s="1479"/>
      <c r="B278" s="1488"/>
      <c r="C278" s="1160"/>
      <c r="D278" s="407" t="s">
        <v>257</v>
      </c>
      <c r="E278" s="624"/>
      <c r="F278" s="80">
        <v>585</v>
      </c>
      <c r="G278" s="80"/>
      <c r="H278" s="80"/>
      <c r="I278" s="80">
        <v>423</v>
      </c>
      <c r="J278" s="94"/>
      <c r="K278" s="28"/>
      <c r="L278" s="21"/>
    </row>
    <row r="279" spans="1:12" hidden="1" x14ac:dyDescent="0.25">
      <c r="A279" s="1479"/>
      <c r="B279" s="1488"/>
      <c r="C279" s="1160"/>
      <c r="D279" s="407" t="s">
        <v>263</v>
      </c>
      <c r="E279" s="624"/>
      <c r="F279" s="80">
        <v>310</v>
      </c>
      <c r="G279" s="80"/>
      <c r="H279" s="80"/>
      <c r="I279" s="80">
        <v>81</v>
      </c>
      <c r="J279" s="94"/>
      <c r="K279" s="28"/>
      <c r="L279" s="21"/>
    </row>
    <row r="280" spans="1:12" hidden="1" x14ac:dyDescent="0.25">
      <c r="A280" s="1479"/>
      <c r="B280" s="1488"/>
      <c r="C280" s="1160"/>
      <c r="D280" s="407" t="s">
        <v>357</v>
      </c>
      <c r="E280" s="624"/>
      <c r="F280" s="97">
        <f>(F279/F277)*100</f>
        <v>34.444444444444443</v>
      </c>
      <c r="G280" s="94"/>
      <c r="H280" s="94"/>
      <c r="I280" s="97">
        <f>I279/I277*100</f>
        <v>16.167664670658681</v>
      </c>
      <c r="J280" s="94"/>
      <c r="K280" s="28"/>
      <c r="L280" s="21"/>
    </row>
    <row r="281" spans="1:12" ht="14.85" hidden="1" customHeight="1" x14ac:dyDescent="0.25">
      <c r="A281" s="1479"/>
      <c r="B281" s="1488"/>
      <c r="C281" s="1160" t="s">
        <v>411</v>
      </c>
      <c r="D281" s="408" t="s">
        <v>251</v>
      </c>
      <c r="E281" s="624"/>
      <c r="F281" s="80">
        <v>1745</v>
      </c>
      <c r="G281" s="80"/>
      <c r="H281" s="80"/>
      <c r="I281" s="80">
        <v>2091</v>
      </c>
      <c r="J281" s="94"/>
      <c r="K281" s="28"/>
      <c r="L281" s="21"/>
    </row>
    <row r="282" spans="1:12" hidden="1" x14ac:dyDescent="0.25">
      <c r="A282" s="1479"/>
      <c r="B282" s="1488"/>
      <c r="C282" s="1160"/>
      <c r="D282" s="407" t="s">
        <v>257</v>
      </c>
      <c r="E282" s="624"/>
      <c r="F282" s="80">
        <v>10</v>
      </c>
      <c r="G282" s="80"/>
      <c r="H282" s="80"/>
      <c r="I282" s="80">
        <v>114</v>
      </c>
      <c r="J282" s="94"/>
      <c r="K282" s="28"/>
      <c r="L282" s="21"/>
    </row>
    <row r="283" spans="1:12" hidden="1" x14ac:dyDescent="0.25">
      <c r="A283" s="1479"/>
      <c r="B283" s="1488"/>
      <c r="C283" s="1160"/>
      <c r="D283" s="407" t="s">
        <v>263</v>
      </c>
      <c r="E283" s="624"/>
      <c r="F283" s="80">
        <v>1730</v>
      </c>
      <c r="G283" s="80"/>
      <c r="H283" s="80"/>
      <c r="I283" s="80">
        <v>1977</v>
      </c>
      <c r="J283" s="94"/>
      <c r="K283" s="28"/>
      <c r="L283" s="21"/>
    </row>
    <row r="284" spans="1:12" hidden="1" x14ac:dyDescent="0.25">
      <c r="A284" s="1479"/>
      <c r="B284" s="1488"/>
      <c r="C284" s="1160"/>
      <c r="D284" s="407" t="s">
        <v>357</v>
      </c>
      <c r="E284" s="624"/>
      <c r="F284" s="99">
        <f>(F283/F281)*100</f>
        <v>99.140401146131808</v>
      </c>
      <c r="G284" s="94"/>
      <c r="H284" s="94"/>
      <c r="I284" s="99">
        <f>I283/I281*100</f>
        <v>94.548063127690099</v>
      </c>
      <c r="J284" s="94"/>
      <c r="K284" s="28"/>
      <c r="L284" s="21"/>
    </row>
    <row r="285" spans="1:12" ht="14.85" hidden="1" customHeight="1" x14ac:dyDescent="0.25">
      <c r="A285" s="1479"/>
      <c r="B285" s="1488"/>
      <c r="C285" s="1160" t="s">
        <v>412</v>
      </c>
      <c r="D285" s="408" t="s">
        <v>251</v>
      </c>
      <c r="E285" s="624"/>
      <c r="F285" s="80">
        <v>915</v>
      </c>
      <c r="G285" s="80"/>
      <c r="H285" s="80"/>
      <c r="I285" s="80">
        <v>759</v>
      </c>
      <c r="J285" s="94"/>
      <c r="K285" s="28"/>
      <c r="L285" s="21"/>
    </row>
    <row r="286" spans="1:12" hidden="1" x14ac:dyDescent="0.25">
      <c r="A286" s="1479"/>
      <c r="B286" s="1488"/>
      <c r="C286" s="1160"/>
      <c r="D286" s="407" t="s">
        <v>257</v>
      </c>
      <c r="E286" s="624"/>
      <c r="F286" s="80">
        <v>275</v>
      </c>
      <c r="G286" s="80"/>
      <c r="H286" s="80"/>
      <c r="I286" s="80">
        <v>240</v>
      </c>
      <c r="J286" s="94"/>
      <c r="K286" s="28"/>
      <c r="L286" s="21"/>
    </row>
    <row r="287" spans="1:12" hidden="1" x14ac:dyDescent="0.25">
      <c r="A287" s="1479"/>
      <c r="B287" s="1488"/>
      <c r="C287" s="1160"/>
      <c r="D287" s="407" t="s">
        <v>263</v>
      </c>
      <c r="E287" s="624"/>
      <c r="F287" s="80">
        <v>640</v>
      </c>
      <c r="G287" s="80"/>
      <c r="H287" s="80"/>
      <c r="I287" s="80">
        <v>519</v>
      </c>
      <c r="J287" s="94"/>
      <c r="K287" s="28"/>
      <c r="L287" s="21"/>
    </row>
    <row r="288" spans="1:12" hidden="1" x14ac:dyDescent="0.25">
      <c r="A288" s="1479"/>
      <c r="B288" s="1488"/>
      <c r="C288" s="1160"/>
      <c r="D288" s="407" t="s">
        <v>357</v>
      </c>
      <c r="E288" s="624"/>
      <c r="F288" s="99">
        <f>(F287/F285)*100</f>
        <v>69.945355191256837</v>
      </c>
      <c r="G288" s="94"/>
      <c r="H288" s="94"/>
      <c r="I288" s="99">
        <f>I287/I285*100</f>
        <v>68.379446640316218</v>
      </c>
      <c r="J288" s="94"/>
      <c r="K288" s="28"/>
      <c r="L288" s="21"/>
    </row>
    <row r="289" spans="1:12" ht="14.85" hidden="1" customHeight="1" x14ac:dyDescent="0.25">
      <c r="A289" s="1479"/>
      <c r="B289" s="1488"/>
      <c r="C289" s="1160" t="s">
        <v>413</v>
      </c>
      <c r="D289" s="408" t="s">
        <v>251</v>
      </c>
      <c r="E289" s="624"/>
      <c r="F289" s="80">
        <v>330</v>
      </c>
      <c r="G289" s="80"/>
      <c r="H289" s="80"/>
      <c r="I289" s="80">
        <v>147</v>
      </c>
      <c r="J289" s="94"/>
      <c r="K289" s="28"/>
      <c r="L289" s="21"/>
    </row>
    <row r="290" spans="1:12" ht="14.85" hidden="1" customHeight="1" x14ac:dyDescent="0.25">
      <c r="A290" s="1479"/>
      <c r="B290" s="1488"/>
      <c r="C290" s="1160"/>
      <c r="D290" s="407" t="s">
        <v>257</v>
      </c>
      <c r="E290" s="624"/>
      <c r="F290" s="80">
        <v>155</v>
      </c>
      <c r="G290" s="80"/>
      <c r="H290" s="80"/>
      <c r="I290" s="80">
        <v>87</v>
      </c>
      <c r="J290" s="94"/>
      <c r="K290" s="28"/>
      <c r="L290" s="21"/>
    </row>
    <row r="291" spans="1:12" hidden="1" x14ac:dyDescent="0.25">
      <c r="A291" s="1479"/>
      <c r="B291" s="1488"/>
      <c r="C291" s="1160"/>
      <c r="D291" s="407" t="s">
        <v>263</v>
      </c>
      <c r="E291" s="624"/>
      <c r="F291" s="80">
        <v>175</v>
      </c>
      <c r="G291" s="80"/>
      <c r="H291" s="80"/>
      <c r="I291" s="80">
        <v>60</v>
      </c>
      <c r="J291" s="94"/>
      <c r="K291" s="28"/>
      <c r="L291" s="21"/>
    </row>
    <row r="292" spans="1:12" hidden="1" x14ac:dyDescent="0.25">
      <c r="A292" s="1479"/>
      <c r="B292" s="1488"/>
      <c r="C292" s="1160"/>
      <c r="D292" s="407" t="s">
        <v>357</v>
      </c>
      <c r="E292" s="624"/>
      <c r="F292" s="98">
        <f>(F291/F289)*100</f>
        <v>53.030303030303031</v>
      </c>
      <c r="G292" s="94"/>
      <c r="H292" s="94"/>
      <c r="I292" s="98">
        <f>I291/I289*100</f>
        <v>40.816326530612244</v>
      </c>
      <c r="J292" s="94"/>
      <c r="K292" s="28"/>
      <c r="L292" s="21"/>
    </row>
    <row r="293" spans="1:12" ht="14.85" hidden="1" customHeight="1" x14ac:dyDescent="0.25">
      <c r="A293" s="1479"/>
      <c r="B293" s="1488"/>
      <c r="C293" s="1160" t="s">
        <v>414</v>
      </c>
      <c r="D293" s="408" t="s">
        <v>251</v>
      </c>
      <c r="E293" s="624"/>
      <c r="F293" s="80">
        <v>95</v>
      </c>
      <c r="G293" s="80"/>
      <c r="H293" s="80"/>
      <c r="I293" s="80">
        <v>243</v>
      </c>
      <c r="J293" s="94"/>
      <c r="K293" s="28"/>
      <c r="L293" s="21"/>
    </row>
    <row r="294" spans="1:12" ht="14.85" hidden="1" customHeight="1" x14ac:dyDescent="0.25">
      <c r="A294" s="1479"/>
      <c r="B294" s="1488"/>
      <c r="C294" s="1160"/>
      <c r="D294" s="407" t="s">
        <v>257</v>
      </c>
      <c r="E294" s="624"/>
      <c r="F294" s="80">
        <v>60</v>
      </c>
      <c r="G294" s="80"/>
      <c r="H294" s="80"/>
      <c r="I294" s="80">
        <v>177</v>
      </c>
      <c r="J294" s="94"/>
      <c r="K294" s="28"/>
      <c r="L294" s="21"/>
    </row>
    <row r="295" spans="1:12" hidden="1" x14ac:dyDescent="0.25">
      <c r="A295" s="1479"/>
      <c r="B295" s="1488"/>
      <c r="C295" s="1160"/>
      <c r="D295" s="407" t="s">
        <v>263</v>
      </c>
      <c r="E295" s="624"/>
      <c r="F295" s="80">
        <v>35</v>
      </c>
      <c r="G295" s="80"/>
      <c r="H295" s="80"/>
      <c r="I295" s="80">
        <v>66</v>
      </c>
      <c r="J295" s="94"/>
      <c r="K295" s="28"/>
      <c r="L295" s="21"/>
    </row>
    <row r="296" spans="1:12" hidden="1" x14ac:dyDescent="0.25">
      <c r="A296" s="1479"/>
      <c r="B296" s="1488"/>
      <c r="C296" s="1160"/>
      <c r="D296" s="407" t="s">
        <v>357</v>
      </c>
      <c r="E296" s="624"/>
      <c r="F296" s="97">
        <f>(F295/F293)*100</f>
        <v>36.84210526315789</v>
      </c>
      <c r="G296" s="94"/>
      <c r="H296" s="94"/>
      <c r="I296" s="97">
        <f>I295/I293*100</f>
        <v>27.160493827160494</v>
      </c>
      <c r="J296" s="94"/>
      <c r="K296" s="28"/>
      <c r="L296" s="21"/>
    </row>
    <row r="297" spans="1:12" ht="14.85" hidden="1" customHeight="1" x14ac:dyDescent="0.25">
      <c r="A297" s="1479"/>
      <c r="B297" s="1488"/>
      <c r="C297" s="1160" t="s">
        <v>415</v>
      </c>
      <c r="D297" s="408" t="s">
        <v>251</v>
      </c>
      <c r="E297" s="624"/>
      <c r="F297" s="80">
        <v>50</v>
      </c>
      <c r="G297" s="80"/>
      <c r="H297" s="80"/>
      <c r="I297" s="80">
        <v>36</v>
      </c>
      <c r="J297" s="94"/>
      <c r="K297" s="28"/>
      <c r="L297" s="21"/>
    </row>
    <row r="298" spans="1:12" hidden="1" x14ac:dyDescent="0.25">
      <c r="A298" s="1479"/>
      <c r="B298" s="1488"/>
      <c r="C298" s="1160"/>
      <c r="D298" s="407" t="s">
        <v>257</v>
      </c>
      <c r="E298" s="624"/>
      <c r="F298" s="80">
        <v>50</v>
      </c>
      <c r="G298" s="80"/>
      <c r="H298" s="80"/>
      <c r="I298" s="80">
        <v>33</v>
      </c>
      <c r="J298" s="94"/>
      <c r="K298" s="28"/>
      <c r="L298" s="21"/>
    </row>
    <row r="299" spans="1:12" hidden="1" x14ac:dyDescent="0.25">
      <c r="A299" s="1479"/>
      <c r="B299" s="1488"/>
      <c r="C299" s="1160"/>
      <c r="D299" s="407" t="s">
        <v>263</v>
      </c>
      <c r="E299" s="624"/>
      <c r="F299" s="80">
        <v>0</v>
      </c>
      <c r="G299" s="80"/>
      <c r="H299" s="80"/>
      <c r="I299" s="80">
        <v>6</v>
      </c>
      <c r="J299" s="94"/>
      <c r="K299" s="28"/>
      <c r="L299" s="21"/>
    </row>
    <row r="300" spans="1:12" hidden="1" x14ac:dyDescent="0.25">
      <c r="A300" s="1479"/>
      <c r="B300" s="1488"/>
      <c r="C300" s="1160"/>
      <c r="D300" s="407" t="s">
        <v>357</v>
      </c>
      <c r="E300" s="624"/>
      <c r="F300" s="97">
        <f>(F299/F297)*100</f>
        <v>0</v>
      </c>
      <c r="G300" s="94"/>
      <c r="H300" s="94"/>
      <c r="I300" s="97">
        <f>I299/I297*100</f>
        <v>16.666666666666664</v>
      </c>
      <c r="J300" s="94"/>
      <c r="K300" s="28"/>
      <c r="L300" s="21"/>
    </row>
    <row r="301" spans="1:12" ht="14.85" hidden="1" customHeight="1" x14ac:dyDescent="0.25">
      <c r="A301" s="1479"/>
      <c r="B301" s="1488"/>
      <c r="C301" s="1160" t="s">
        <v>416</v>
      </c>
      <c r="D301" s="408" t="s">
        <v>251</v>
      </c>
      <c r="E301" s="624"/>
      <c r="F301" s="80">
        <v>70</v>
      </c>
      <c r="G301" s="80"/>
      <c r="H301" s="80"/>
      <c r="I301" s="80">
        <v>36</v>
      </c>
      <c r="J301" s="94"/>
      <c r="K301" s="28"/>
      <c r="L301" s="21"/>
    </row>
    <row r="302" spans="1:12" hidden="1" x14ac:dyDescent="0.25">
      <c r="A302" s="1479"/>
      <c r="B302" s="1488"/>
      <c r="C302" s="1160"/>
      <c r="D302" s="407" t="s">
        <v>257</v>
      </c>
      <c r="E302" s="624"/>
      <c r="F302" s="80">
        <v>50</v>
      </c>
      <c r="G302" s="80"/>
      <c r="H302" s="80"/>
      <c r="I302" s="80">
        <v>30</v>
      </c>
      <c r="J302" s="94"/>
      <c r="K302" s="28"/>
      <c r="L302" s="21"/>
    </row>
    <row r="303" spans="1:12" hidden="1" x14ac:dyDescent="0.25">
      <c r="A303" s="1479"/>
      <c r="B303" s="1488"/>
      <c r="C303" s="1160"/>
      <c r="D303" s="407" t="s">
        <v>263</v>
      </c>
      <c r="E303" s="624"/>
      <c r="F303" s="80">
        <v>20</v>
      </c>
      <c r="G303" s="80"/>
      <c r="H303" s="80"/>
      <c r="I303" s="80">
        <v>3</v>
      </c>
      <c r="J303" s="94"/>
      <c r="K303" s="28"/>
      <c r="L303" s="21"/>
    </row>
    <row r="304" spans="1:12" hidden="1" x14ac:dyDescent="0.25">
      <c r="A304" s="1479"/>
      <c r="B304" s="1488"/>
      <c r="C304" s="1160"/>
      <c r="D304" s="407" t="s">
        <v>357</v>
      </c>
      <c r="E304" s="624"/>
      <c r="F304" s="97">
        <f>(F303/F301)*100</f>
        <v>28.571428571428569</v>
      </c>
      <c r="G304" s="94"/>
      <c r="H304" s="94"/>
      <c r="I304" s="97">
        <f>I303/I301*100</f>
        <v>8.3333333333333321</v>
      </c>
      <c r="J304" s="94"/>
      <c r="K304" s="28"/>
      <c r="L304" s="21"/>
    </row>
    <row r="305" spans="1:12" ht="14.85" hidden="1" customHeight="1" x14ac:dyDescent="0.25">
      <c r="A305" s="1479"/>
      <c r="B305" s="1488"/>
      <c r="C305" s="1160" t="s">
        <v>417</v>
      </c>
      <c r="D305" s="408" t="s">
        <v>251</v>
      </c>
      <c r="E305" s="624"/>
      <c r="F305" s="80">
        <v>85</v>
      </c>
      <c r="G305" s="80"/>
      <c r="H305" s="80"/>
      <c r="I305" s="80">
        <v>159</v>
      </c>
      <c r="J305" s="94"/>
      <c r="K305" s="28"/>
      <c r="L305" s="21"/>
    </row>
    <row r="306" spans="1:12" hidden="1" x14ac:dyDescent="0.25">
      <c r="A306" s="1479"/>
      <c r="B306" s="1488"/>
      <c r="C306" s="1160"/>
      <c r="D306" s="407" t="s">
        <v>257</v>
      </c>
      <c r="E306" s="624"/>
      <c r="F306" s="80">
        <v>50</v>
      </c>
      <c r="G306" s="80"/>
      <c r="H306" s="80"/>
      <c r="I306" s="80">
        <v>96</v>
      </c>
      <c r="J306" s="94"/>
      <c r="K306" s="28"/>
      <c r="L306" s="21"/>
    </row>
    <row r="307" spans="1:12" hidden="1" x14ac:dyDescent="0.25">
      <c r="A307" s="1479"/>
      <c r="B307" s="1488"/>
      <c r="C307" s="1160"/>
      <c r="D307" s="407" t="s">
        <v>263</v>
      </c>
      <c r="E307" s="624"/>
      <c r="F307" s="80">
        <v>35</v>
      </c>
      <c r="G307" s="80"/>
      <c r="H307" s="80"/>
      <c r="I307" s="80">
        <v>63</v>
      </c>
      <c r="J307" s="94"/>
      <c r="K307" s="28"/>
      <c r="L307" s="21"/>
    </row>
    <row r="308" spans="1:12" hidden="1" x14ac:dyDescent="0.25">
      <c r="A308" s="1479"/>
      <c r="B308" s="1488"/>
      <c r="C308" s="1160"/>
      <c r="D308" s="407" t="s">
        <v>357</v>
      </c>
      <c r="E308" s="624"/>
      <c r="F308" s="98">
        <f>(F307/F305)*100</f>
        <v>41.17647058823529</v>
      </c>
      <c r="G308" s="94"/>
      <c r="H308" s="94"/>
      <c r="I308" s="97">
        <f>I307/I305*100</f>
        <v>39.622641509433961</v>
      </c>
      <c r="J308" s="94"/>
      <c r="K308" s="28"/>
      <c r="L308" s="21"/>
    </row>
    <row r="309" spans="1:12" ht="14.85" hidden="1" customHeight="1" x14ac:dyDescent="0.25">
      <c r="A309" s="1479"/>
      <c r="B309" s="1488"/>
      <c r="C309" s="1160" t="s">
        <v>418</v>
      </c>
      <c r="D309" s="408" t="s">
        <v>251</v>
      </c>
      <c r="E309" s="624"/>
      <c r="F309" s="80">
        <v>810</v>
      </c>
      <c r="G309" s="80"/>
      <c r="H309" s="80"/>
      <c r="I309" s="80">
        <v>264</v>
      </c>
      <c r="J309" s="94"/>
      <c r="K309" s="28"/>
      <c r="L309" s="21"/>
    </row>
    <row r="310" spans="1:12" hidden="1" x14ac:dyDescent="0.25">
      <c r="A310" s="1479"/>
      <c r="B310" s="1488"/>
      <c r="C310" s="1160"/>
      <c r="D310" s="407" t="s">
        <v>263</v>
      </c>
      <c r="E310" s="624"/>
      <c r="F310" s="80">
        <v>120</v>
      </c>
      <c r="G310" s="80"/>
      <c r="H310" s="80"/>
      <c r="I310" s="80">
        <v>207</v>
      </c>
      <c r="J310" s="94"/>
      <c r="K310" s="28"/>
      <c r="L310" s="21"/>
    </row>
    <row r="311" spans="1:12" ht="14.85" hidden="1" customHeight="1" x14ac:dyDescent="0.25">
      <c r="A311" s="1479"/>
      <c r="B311" s="1488"/>
      <c r="C311" s="1160"/>
      <c r="D311" s="407" t="s">
        <v>257</v>
      </c>
      <c r="E311" s="624"/>
      <c r="F311" s="80">
        <v>90</v>
      </c>
      <c r="G311" s="80"/>
      <c r="H311" s="80"/>
      <c r="I311" s="80">
        <v>60</v>
      </c>
      <c r="J311" s="94"/>
      <c r="K311" s="28"/>
      <c r="L311" s="21"/>
    </row>
    <row r="312" spans="1:12" hidden="1" x14ac:dyDescent="0.25">
      <c r="A312" s="1479"/>
      <c r="B312" s="1488"/>
      <c r="C312" s="1160"/>
      <c r="D312" s="407" t="s">
        <v>357</v>
      </c>
      <c r="E312" s="624"/>
      <c r="F312" s="97">
        <f>(F311/F309)*100</f>
        <v>11.111111111111111</v>
      </c>
      <c r="G312" s="94"/>
      <c r="H312" s="94"/>
      <c r="I312" s="97">
        <f>I311/I309*100</f>
        <v>22.727272727272727</v>
      </c>
      <c r="J312" s="94"/>
      <c r="K312" s="28"/>
      <c r="L312" s="21"/>
    </row>
    <row r="313" spans="1:12" x14ac:dyDescent="0.25">
      <c r="A313" s="1479"/>
      <c r="B313" s="1488"/>
      <c r="C313" s="1455" t="s">
        <v>419</v>
      </c>
      <c r="D313" s="1456"/>
      <c r="E313" s="624"/>
      <c r="F313" s="100">
        <f>25/61*100</f>
        <v>40.983606557377051</v>
      </c>
      <c r="G313" s="92"/>
      <c r="H313" s="92"/>
      <c r="I313" s="101">
        <f>26/61*100</f>
        <v>42.622950819672127</v>
      </c>
      <c r="J313" s="94"/>
      <c r="K313" s="28"/>
      <c r="L313" s="21"/>
    </row>
    <row r="314" spans="1:12" x14ac:dyDescent="0.25">
      <c r="A314" s="1479"/>
      <c r="B314" s="1488"/>
      <c r="C314" s="1455" t="s">
        <v>420</v>
      </c>
      <c r="D314" s="1456"/>
      <c r="E314" s="624"/>
      <c r="F314" s="102">
        <f>18/61*100</f>
        <v>29.508196721311474</v>
      </c>
      <c r="G314" s="92"/>
      <c r="H314" s="92"/>
      <c r="I314" s="102">
        <f>16/61*100</f>
        <v>26.229508196721312</v>
      </c>
      <c r="J314" s="94"/>
      <c r="K314" s="28"/>
      <c r="L314" s="21"/>
    </row>
    <row r="315" spans="1:12" ht="16.5" thickBot="1" x14ac:dyDescent="0.3">
      <c r="A315" s="1481"/>
      <c r="B315" s="1489"/>
      <c r="C315" s="1457" t="s">
        <v>421</v>
      </c>
      <c r="D315" s="1458"/>
      <c r="E315" s="421"/>
      <c r="F315" s="127">
        <f>18/61*100</f>
        <v>29.508196721311474</v>
      </c>
      <c r="G315" s="128"/>
      <c r="H315" s="128"/>
      <c r="I315" s="127">
        <f>19/61*100</f>
        <v>31.147540983606557</v>
      </c>
      <c r="J315" s="126"/>
      <c r="K315" s="110"/>
      <c r="L315" s="53"/>
    </row>
    <row r="316" spans="1:12" ht="16.5" thickBot="1" x14ac:dyDescent="0.3">
      <c r="A316" s="727" t="s">
        <v>248</v>
      </c>
      <c r="B316" s="362" t="s">
        <v>249</v>
      </c>
      <c r="C316" s="1490"/>
      <c r="D316" s="1490"/>
      <c r="E316" s="120">
        <v>2005</v>
      </c>
      <c r="F316" s="120">
        <v>2010</v>
      </c>
      <c r="G316" s="120">
        <v>2015</v>
      </c>
      <c r="H316" s="120">
        <v>2020</v>
      </c>
      <c r="I316" s="120">
        <v>2021</v>
      </c>
      <c r="J316" s="120">
        <v>2022</v>
      </c>
      <c r="K316" s="120">
        <v>2023</v>
      </c>
      <c r="L316" s="121">
        <v>2024</v>
      </c>
    </row>
    <row r="317" spans="1:12" s="64" customFormat="1" ht="15" customHeight="1" x14ac:dyDescent="0.25">
      <c r="A317" s="1413" t="s">
        <v>422</v>
      </c>
      <c r="B317" s="1271" t="s">
        <v>164</v>
      </c>
      <c r="C317" s="1415" t="s">
        <v>424</v>
      </c>
      <c r="D317" s="1415"/>
      <c r="E317" s="202"/>
      <c r="F317" s="213">
        <v>1111.68</v>
      </c>
      <c r="G317" s="213">
        <v>1291.69</v>
      </c>
      <c r="H317" s="213">
        <v>1381</v>
      </c>
      <c r="I317" s="213">
        <v>1417</v>
      </c>
      <c r="J317" s="213">
        <v>1442</v>
      </c>
      <c r="K317" s="213">
        <v>1614</v>
      </c>
      <c r="L317" s="422">
        <v>1624</v>
      </c>
    </row>
    <row r="318" spans="1:12" x14ac:dyDescent="0.25">
      <c r="A318" s="1413"/>
      <c r="B318" s="1272"/>
      <c r="C318" s="1331" t="s">
        <v>425</v>
      </c>
      <c r="D318" s="1331"/>
      <c r="E318" s="28"/>
      <c r="F318" s="29">
        <v>1467.46</v>
      </c>
      <c r="G318" s="29">
        <v>1667</v>
      </c>
      <c r="H318" s="29">
        <v>1714</v>
      </c>
      <c r="I318" s="29">
        <v>1753</v>
      </c>
      <c r="J318" s="29">
        <v>1776</v>
      </c>
      <c r="K318" s="29">
        <v>1967</v>
      </c>
      <c r="L318" s="30">
        <v>1968</v>
      </c>
    </row>
    <row r="319" spans="1:12" x14ac:dyDescent="0.25">
      <c r="A319" s="1413"/>
      <c r="B319" s="1272"/>
      <c r="C319" s="1331" t="s">
        <v>426</v>
      </c>
      <c r="D319" s="1331"/>
      <c r="E319" s="28"/>
      <c r="F319" s="29">
        <v>888.55</v>
      </c>
      <c r="G319" s="29">
        <v>1046.3599999999999</v>
      </c>
      <c r="H319" s="29">
        <v>1179</v>
      </c>
      <c r="I319" s="29">
        <v>1218</v>
      </c>
      <c r="J319" s="29">
        <v>1245</v>
      </c>
      <c r="K319" s="29">
        <v>1400</v>
      </c>
      <c r="L319" s="30">
        <v>1413</v>
      </c>
    </row>
    <row r="320" spans="1:12" x14ac:dyDescent="0.25">
      <c r="A320" s="1413"/>
      <c r="B320" s="1272"/>
      <c r="C320" s="1333" t="s">
        <v>427</v>
      </c>
      <c r="D320" s="1333"/>
      <c r="E320" s="28"/>
      <c r="F320" s="157">
        <f t="shared" ref="F320:L320" si="17">+F319-F318</f>
        <v>-578.91000000000008</v>
      </c>
      <c r="G320" s="157">
        <f t="shared" si="17"/>
        <v>-620.6400000000001</v>
      </c>
      <c r="H320" s="157">
        <f t="shared" si="17"/>
        <v>-535</v>
      </c>
      <c r="I320" s="157">
        <f t="shared" si="17"/>
        <v>-535</v>
      </c>
      <c r="J320" s="157">
        <f t="shared" si="17"/>
        <v>-531</v>
      </c>
      <c r="K320" s="157">
        <f t="shared" si="17"/>
        <v>-567</v>
      </c>
      <c r="L320" s="160">
        <f t="shared" si="17"/>
        <v>-555</v>
      </c>
    </row>
    <row r="321" spans="1:14" ht="16.5" thickBot="1" x14ac:dyDescent="0.3">
      <c r="A321" s="1413"/>
      <c r="B321" s="1409"/>
      <c r="C321" s="1335" t="s">
        <v>428</v>
      </c>
      <c r="D321" s="1335"/>
      <c r="E321" s="33"/>
      <c r="F321" s="34">
        <f t="shared" ref="F321:J321" si="18">(F319-F318)/F318*100</f>
        <v>-39.449797609474878</v>
      </c>
      <c r="G321" s="34">
        <f t="shared" si="18"/>
        <v>-37.230953809238159</v>
      </c>
      <c r="H321" s="34">
        <f t="shared" si="18"/>
        <v>-31.213535589264879</v>
      </c>
      <c r="I321" s="34">
        <f t="shared" si="18"/>
        <v>-30.519110096976611</v>
      </c>
      <c r="J321" s="34">
        <f t="shared" si="18"/>
        <v>-29.898648648648653</v>
      </c>
      <c r="K321" s="34">
        <f>(K319-K318)/K318*100</f>
        <v>-28.825622775800714</v>
      </c>
      <c r="L321" s="35">
        <f>(L319-L318)/L318*100</f>
        <v>-28.20121951219512</v>
      </c>
    </row>
    <row r="322" spans="1:14" s="64" customFormat="1" ht="15" customHeight="1" x14ac:dyDescent="0.25">
      <c r="A322" s="1413"/>
      <c r="B322" s="1408" t="s">
        <v>429</v>
      </c>
      <c r="C322" s="1147" t="s">
        <v>430</v>
      </c>
      <c r="D322" s="1147"/>
      <c r="E322" s="40"/>
      <c r="F322" s="40"/>
      <c r="G322" s="37">
        <v>42.707982485685413</v>
      </c>
      <c r="H322" s="37">
        <v>39.526019224395093</v>
      </c>
      <c r="I322" s="37">
        <v>41.187233177475093</v>
      </c>
      <c r="J322" s="37">
        <v>49.825127791229484</v>
      </c>
      <c r="K322" s="37">
        <v>50.452609158679451</v>
      </c>
      <c r="L322" s="418">
        <v>51.1</v>
      </c>
    </row>
    <row r="323" spans="1:14" x14ac:dyDescent="0.25">
      <c r="A323" s="1413"/>
      <c r="B323" s="1272"/>
      <c r="C323" s="1331" t="s">
        <v>431</v>
      </c>
      <c r="D323" s="1331"/>
      <c r="E323" s="28"/>
      <c r="F323" s="28"/>
      <c r="G323" s="29">
        <v>43.931088488645265</v>
      </c>
      <c r="H323" s="29">
        <v>40.935902477388908</v>
      </c>
      <c r="I323" s="29">
        <v>43.268292682926827</v>
      </c>
      <c r="J323" s="29">
        <v>51.96335078534031</v>
      </c>
      <c r="K323" s="29">
        <v>53.875720691864196</v>
      </c>
      <c r="L323" s="419">
        <v>51.9</v>
      </c>
    </row>
    <row r="324" spans="1:14" x14ac:dyDescent="0.25">
      <c r="A324" s="1413"/>
      <c r="B324" s="1272"/>
      <c r="C324" s="1331" t="s">
        <v>432</v>
      </c>
      <c r="D324" s="1331"/>
      <c r="E324" s="28"/>
      <c r="F324" s="28"/>
      <c r="G324" s="29">
        <v>41.784869976359339</v>
      </c>
      <c r="H324" s="29">
        <v>38.498997421942136</v>
      </c>
      <c r="I324" s="29">
        <v>39.700243987452069</v>
      </c>
      <c r="J324" s="29">
        <v>48.332571950662398</v>
      </c>
      <c r="K324" s="29">
        <v>48.018223234624145</v>
      </c>
      <c r="L324" s="216">
        <v>50.5</v>
      </c>
    </row>
    <row r="325" spans="1:14" ht="16.5" thickBot="1" x14ac:dyDescent="0.3">
      <c r="A325" s="1413"/>
      <c r="B325" s="1409"/>
      <c r="C325" s="1494" t="s">
        <v>354</v>
      </c>
      <c r="D325" s="1494"/>
      <c r="E325" s="110"/>
      <c r="F325" s="110"/>
      <c r="G325" s="423">
        <f t="shared" ref="G325:L325" si="19">+G324-G323</f>
        <v>-2.1462185122859267</v>
      </c>
      <c r="H325" s="423">
        <f t="shared" si="19"/>
        <v>-2.4369050554467719</v>
      </c>
      <c r="I325" s="423">
        <f t="shared" si="19"/>
        <v>-3.5680486954747579</v>
      </c>
      <c r="J325" s="423">
        <f t="shared" si="19"/>
        <v>-3.630778834677912</v>
      </c>
      <c r="K325" s="423">
        <f t="shared" si="19"/>
        <v>-5.8574974572400507</v>
      </c>
      <c r="L325" s="212">
        <f t="shared" si="19"/>
        <v>-1.3999999999999986</v>
      </c>
    </row>
    <row r="326" spans="1:14" s="64" customFormat="1" x14ac:dyDescent="0.25">
      <c r="A326" s="1413"/>
      <c r="B326" s="1491" t="s">
        <v>521</v>
      </c>
      <c r="C326" s="1265" t="s">
        <v>434</v>
      </c>
      <c r="D326" s="146" t="s">
        <v>435</v>
      </c>
      <c r="E326" s="40"/>
      <c r="F326" s="40"/>
      <c r="G326" s="40"/>
      <c r="H326" s="40"/>
      <c r="I326" s="40">
        <v>66</v>
      </c>
      <c r="J326" s="40">
        <v>17</v>
      </c>
      <c r="K326" s="40">
        <v>10</v>
      </c>
      <c r="L326" s="1060">
        <v>7</v>
      </c>
    </row>
    <row r="327" spans="1:14" x14ac:dyDescent="0.25">
      <c r="A327" s="1413"/>
      <c r="B327" s="1492"/>
      <c r="C327" s="1360"/>
      <c r="D327" s="147" t="s">
        <v>436</v>
      </c>
      <c r="E327" s="28"/>
      <c r="F327" s="28"/>
      <c r="G327" s="28"/>
      <c r="H327" s="28"/>
      <c r="I327" s="28">
        <v>31</v>
      </c>
      <c r="J327" s="28">
        <v>11</v>
      </c>
      <c r="K327" s="28">
        <v>4</v>
      </c>
      <c r="L327" s="1060">
        <v>2</v>
      </c>
    </row>
    <row r="328" spans="1:14" x14ac:dyDescent="0.25">
      <c r="A328" s="1413"/>
      <c r="B328" s="1492"/>
      <c r="C328" s="1360"/>
      <c r="D328" s="403" t="s">
        <v>437</v>
      </c>
      <c r="E328" s="28"/>
      <c r="F328" s="28"/>
      <c r="G328" s="28"/>
      <c r="H328" s="28"/>
      <c r="I328" s="28">
        <v>35</v>
      </c>
      <c r="J328" s="28">
        <v>6</v>
      </c>
      <c r="K328" s="28">
        <v>6</v>
      </c>
      <c r="L328" s="1060">
        <v>5</v>
      </c>
    </row>
    <row r="329" spans="1:14" x14ac:dyDescent="0.25">
      <c r="A329" s="1413"/>
      <c r="B329" s="1492"/>
      <c r="C329" s="1360"/>
      <c r="D329" s="417" t="s">
        <v>353</v>
      </c>
      <c r="E329" s="28"/>
      <c r="F329" s="28"/>
      <c r="G329" s="28"/>
      <c r="H329" s="28"/>
      <c r="I329" s="363">
        <f>I328-I327</f>
        <v>4</v>
      </c>
      <c r="J329" s="157">
        <f>J328-J327</f>
        <v>-5</v>
      </c>
      <c r="K329" s="363">
        <f>K328-K327</f>
        <v>2</v>
      </c>
      <c r="L329" s="363">
        <f>L328-L327</f>
        <v>3</v>
      </c>
    </row>
    <row r="330" spans="1:14" ht="16.5" thickBot="1" x14ac:dyDescent="0.3">
      <c r="A330" s="1413"/>
      <c r="B330" s="1492"/>
      <c r="C330" s="1361"/>
      <c r="D330" s="420" t="s">
        <v>270</v>
      </c>
      <c r="E330" s="33"/>
      <c r="F330" s="33"/>
      <c r="G330" s="33"/>
      <c r="H330" s="33"/>
      <c r="I330" s="366">
        <f>I328/I326*100</f>
        <v>53.030303030303031</v>
      </c>
      <c r="J330" s="161">
        <f>J328/J326*100</f>
        <v>35.294117647058826</v>
      </c>
      <c r="K330" s="366">
        <f>K328/K326*100</f>
        <v>60</v>
      </c>
      <c r="L330" s="366">
        <f>L328/L326*100</f>
        <v>71.428571428571431</v>
      </c>
    </row>
    <row r="331" spans="1:14" s="64" customFormat="1" ht="18.75" x14ac:dyDescent="0.25">
      <c r="A331" s="1413"/>
      <c r="B331" s="1492"/>
      <c r="C331" s="1265" t="s">
        <v>438</v>
      </c>
      <c r="D331" s="146" t="s">
        <v>435</v>
      </c>
      <c r="E331" s="40"/>
      <c r="F331" s="40"/>
      <c r="G331" s="40"/>
      <c r="H331" s="40"/>
      <c r="I331" s="40">
        <v>61</v>
      </c>
      <c r="J331" s="40">
        <v>25</v>
      </c>
      <c r="K331" s="40">
        <v>5</v>
      </c>
      <c r="L331" s="1059">
        <v>4</v>
      </c>
      <c r="M331" s="11"/>
      <c r="N331" s="11"/>
    </row>
    <row r="332" spans="1:14" ht="18.75" x14ac:dyDescent="0.25">
      <c r="A332" s="1413"/>
      <c r="B332" s="1492"/>
      <c r="C332" s="1360"/>
      <c r="D332" s="147" t="s">
        <v>436</v>
      </c>
      <c r="E332" s="28"/>
      <c r="F332" s="28"/>
      <c r="G332" s="28"/>
      <c r="H332" s="28"/>
      <c r="I332" s="28">
        <v>29</v>
      </c>
      <c r="J332" s="28">
        <v>14</v>
      </c>
      <c r="K332" s="28">
        <v>4</v>
      </c>
      <c r="L332" s="1059">
        <v>2</v>
      </c>
      <c r="M332" s="64"/>
      <c r="N332" s="64"/>
    </row>
    <row r="333" spans="1:14" ht="18.75" x14ac:dyDescent="0.25">
      <c r="A333" s="1413"/>
      <c r="B333" s="1492"/>
      <c r="C333" s="1360"/>
      <c r="D333" s="403" t="s">
        <v>437</v>
      </c>
      <c r="E333" s="28"/>
      <c r="F333" s="28"/>
      <c r="G333" s="28"/>
      <c r="H333" s="28"/>
      <c r="I333" s="28">
        <v>32</v>
      </c>
      <c r="J333" s="28">
        <v>11</v>
      </c>
      <c r="K333" s="28">
        <v>1</v>
      </c>
      <c r="L333" s="1059">
        <v>2</v>
      </c>
    </row>
    <row r="334" spans="1:14" x14ac:dyDescent="0.25">
      <c r="A334" s="1413"/>
      <c r="B334" s="1492"/>
      <c r="C334" s="1360"/>
      <c r="D334" s="417" t="s">
        <v>353</v>
      </c>
      <c r="E334" s="28"/>
      <c r="F334" s="28"/>
      <c r="G334" s="28"/>
      <c r="H334" s="28"/>
      <c r="I334" s="363">
        <f>I333-I332</f>
        <v>3</v>
      </c>
      <c r="J334" s="157">
        <f>J333-J332</f>
        <v>-3</v>
      </c>
      <c r="K334" s="157">
        <f>K333-K332</f>
        <v>-3</v>
      </c>
      <c r="L334" s="157">
        <f>L333-L332</f>
        <v>0</v>
      </c>
    </row>
    <row r="335" spans="1:14" ht="16.5" thickBot="1" x14ac:dyDescent="0.3">
      <c r="A335" s="1413"/>
      <c r="B335" s="1493"/>
      <c r="C335" s="1361"/>
      <c r="D335" s="420" t="s">
        <v>270</v>
      </c>
      <c r="E335" s="33"/>
      <c r="F335" s="33"/>
      <c r="G335" s="33"/>
      <c r="H335" s="33"/>
      <c r="I335" s="161">
        <f>I333/I331*100</f>
        <v>52.459016393442624</v>
      </c>
      <c r="J335" s="161">
        <f>J333/J331*100</f>
        <v>44</v>
      </c>
      <c r="K335" s="161">
        <f>K333/K331*100</f>
        <v>20</v>
      </c>
      <c r="L335" s="161">
        <f>L333/L331*100</f>
        <v>50</v>
      </c>
    </row>
    <row r="336" spans="1:14" s="64" customFormat="1" ht="15" customHeight="1" x14ac:dyDescent="0.25">
      <c r="A336" s="1413"/>
      <c r="B336" s="1143" t="s">
        <v>180</v>
      </c>
      <c r="C336" s="1306" t="s">
        <v>435</v>
      </c>
      <c r="D336" s="1147"/>
      <c r="E336" s="40"/>
      <c r="F336" s="40"/>
      <c r="G336" s="40"/>
      <c r="H336" s="195">
        <v>12110</v>
      </c>
      <c r="I336" s="195">
        <v>11573</v>
      </c>
      <c r="J336" s="195">
        <v>11268</v>
      </c>
      <c r="K336" s="195">
        <v>11431</v>
      </c>
      <c r="L336" s="325"/>
    </row>
    <row r="337" spans="1:13" x14ac:dyDescent="0.25">
      <c r="A337" s="1413"/>
      <c r="B337" s="1144"/>
      <c r="C337" s="1330" t="s">
        <v>436</v>
      </c>
      <c r="D337" s="1331"/>
      <c r="E337" s="28"/>
      <c r="F337" s="28"/>
      <c r="G337" s="28"/>
      <c r="H337" s="96">
        <v>3844</v>
      </c>
      <c r="I337" s="96">
        <v>3592</v>
      </c>
      <c r="J337" s="96">
        <v>3473</v>
      </c>
      <c r="K337" s="96">
        <v>3566</v>
      </c>
      <c r="L337" s="21"/>
    </row>
    <row r="338" spans="1:13" x14ac:dyDescent="0.25">
      <c r="A338" s="1413"/>
      <c r="B338" s="1144"/>
      <c r="C338" s="1330" t="s">
        <v>437</v>
      </c>
      <c r="D338" s="1331"/>
      <c r="E338" s="28"/>
      <c r="F338" s="28"/>
      <c r="G338" s="28"/>
      <c r="H338" s="96">
        <v>8266</v>
      </c>
      <c r="I338" s="96">
        <v>7981</v>
      </c>
      <c r="J338" s="96">
        <v>7795</v>
      </c>
      <c r="K338" s="96">
        <v>7865</v>
      </c>
      <c r="L338" s="21"/>
    </row>
    <row r="339" spans="1:13" x14ac:dyDescent="0.25">
      <c r="A339" s="1413"/>
      <c r="B339" s="1144"/>
      <c r="C339" s="1332" t="s">
        <v>353</v>
      </c>
      <c r="D339" s="1333"/>
      <c r="E339" s="28"/>
      <c r="F339" s="28"/>
      <c r="G339" s="28"/>
      <c r="H339" s="157">
        <f>H338-H337</f>
        <v>4422</v>
      </c>
      <c r="I339" s="157">
        <f>I338-I337</f>
        <v>4389</v>
      </c>
      <c r="J339" s="157">
        <f>J338-J337</f>
        <v>4322</v>
      </c>
      <c r="K339" s="157">
        <f>K338-K337</f>
        <v>4299</v>
      </c>
      <c r="L339" s="21"/>
    </row>
    <row r="340" spans="1:13" ht="16.5" thickBot="1" x14ac:dyDescent="0.3">
      <c r="A340" s="1413"/>
      <c r="B340" s="1264"/>
      <c r="C340" s="1361" t="s">
        <v>270</v>
      </c>
      <c r="D340" s="1416"/>
      <c r="E340" s="33"/>
      <c r="F340" s="33"/>
      <c r="G340" s="33"/>
      <c r="H340" s="161">
        <f>H338/H336*100</f>
        <v>68.257638315441781</v>
      </c>
      <c r="I340" s="161">
        <f>I338/I336*100</f>
        <v>68.962239695843778</v>
      </c>
      <c r="J340" s="161">
        <f>J338/J336*100</f>
        <v>69.178203762868293</v>
      </c>
      <c r="K340" s="161">
        <f>K338/K336*100</f>
        <v>68.804129122561449</v>
      </c>
      <c r="L340" s="22"/>
    </row>
    <row r="341" spans="1:13" ht="16.5" thickBot="1" x14ac:dyDescent="0.3">
      <c r="A341" s="727" t="s">
        <v>248</v>
      </c>
      <c r="B341" s="683" t="s">
        <v>249</v>
      </c>
      <c r="C341" s="1512"/>
      <c r="D341" s="1513"/>
      <c r="E341" s="244">
        <v>2005</v>
      </c>
      <c r="F341" s="244">
        <v>2010</v>
      </c>
      <c r="G341" s="244">
        <v>2015</v>
      </c>
      <c r="H341" s="244">
        <v>2020</v>
      </c>
      <c r="I341" s="244">
        <v>2021</v>
      </c>
      <c r="J341" s="244">
        <v>2022</v>
      </c>
      <c r="K341" s="424">
        <v>2023</v>
      </c>
      <c r="L341" s="245">
        <v>2024</v>
      </c>
    </row>
    <row r="342" spans="1:13" s="64" customFormat="1" x14ac:dyDescent="0.25">
      <c r="A342" s="1385" t="s">
        <v>439</v>
      </c>
      <c r="B342" s="1495" t="s">
        <v>440</v>
      </c>
      <c r="C342" s="1515" t="s">
        <v>251</v>
      </c>
      <c r="D342" s="1516"/>
      <c r="E342" s="54">
        <v>83.2</v>
      </c>
      <c r="F342" s="55">
        <v>84.4</v>
      </c>
      <c r="G342" s="55">
        <v>84.8</v>
      </c>
      <c r="H342" s="55">
        <v>83.8</v>
      </c>
      <c r="I342" s="55">
        <v>85.6</v>
      </c>
      <c r="J342" s="56">
        <v>86.062588480759189</v>
      </c>
      <c r="K342" s="56">
        <v>86.9</v>
      </c>
      <c r="L342" s="425"/>
      <c r="M342" s="326"/>
    </row>
    <row r="343" spans="1:13" x14ac:dyDescent="0.25">
      <c r="A343" s="1385"/>
      <c r="B343" s="1496"/>
      <c r="C343" s="1451" t="s">
        <v>257</v>
      </c>
      <c r="D343" s="1452"/>
      <c r="E343" s="57">
        <v>79.7</v>
      </c>
      <c r="F343" s="58">
        <v>80.900000000000006</v>
      </c>
      <c r="G343" s="58">
        <v>82.4</v>
      </c>
      <c r="H343" s="58">
        <v>81.099999999999994</v>
      </c>
      <c r="I343" s="58">
        <v>82.9</v>
      </c>
      <c r="J343" s="59">
        <v>83.461239148361827</v>
      </c>
      <c r="K343" s="28">
        <v>84.9</v>
      </c>
      <c r="L343" s="21"/>
    </row>
    <row r="344" spans="1:13" x14ac:dyDescent="0.25">
      <c r="A344" s="1385"/>
      <c r="B344" s="1496"/>
      <c r="C344" s="1451" t="s">
        <v>263</v>
      </c>
      <c r="D344" s="1452"/>
      <c r="E344" s="57">
        <v>85.7</v>
      </c>
      <c r="F344" s="58">
        <v>86.9</v>
      </c>
      <c r="G344" s="58">
        <v>86.5</v>
      </c>
      <c r="H344" s="58">
        <v>85.9</v>
      </c>
      <c r="I344" s="58">
        <v>87.7</v>
      </c>
      <c r="J344" s="59">
        <v>87.966028726939555</v>
      </c>
      <c r="K344" s="28">
        <v>88.2</v>
      </c>
      <c r="L344" s="21"/>
    </row>
    <row r="345" spans="1:13" s="64" customFormat="1" ht="16.5" thickBot="1" x14ac:dyDescent="0.3">
      <c r="A345" s="1385"/>
      <c r="B345" s="1514"/>
      <c r="C345" s="1453" t="s">
        <v>441</v>
      </c>
      <c r="D345" s="1454"/>
      <c r="E345" s="339">
        <f t="shared" ref="E345:K345" si="20">+E344-E343</f>
        <v>6</v>
      </c>
      <c r="F345" s="339">
        <f t="shared" si="20"/>
        <v>6</v>
      </c>
      <c r="G345" s="339">
        <f t="shared" si="20"/>
        <v>4.0999999999999943</v>
      </c>
      <c r="H345" s="339">
        <f t="shared" si="20"/>
        <v>4.8000000000000114</v>
      </c>
      <c r="I345" s="339">
        <f t="shared" si="20"/>
        <v>4.7999999999999972</v>
      </c>
      <c r="J345" s="426">
        <f t="shared" si="20"/>
        <v>4.5047895785777285</v>
      </c>
      <c r="K345" s="426">
        <f t="shared" si="20"/>
        <v>3.2999999999999972</v>
      </c>
      <c r="L345" s="204"/>
    </row>
    <row r="346" spans="1:13" s="64" customFormat="1" x14ac:dyDescent="0.25">
      <c r="A346" s="1385"/>
      <c r="B346" s="1495" t="s">
        <v>192</v>
      </c>
      <c r="C346" s="1497" t="s">
        <v>251</v>
      </c>
      <c r="D346" s="1498"/>
      <c r="E346" s="107"/>
      <c r="F346" s="341"/>
      <c r="G346" s="224">
        <v>6202</v>
      </c>
      <c r="H346" s="224">
        <v>6892</v>
      </c>
      <c r="I346" s="224">
        <v>6830</v>
      </c>
      <c r="J346" s="195">
        <v>7180</v>
      </c>
      <c r="K346" s="225">
        <v>6986</v>
      </c>
      <c r="L346" s="325"/>
    </row>
    <row r="347" spans="1:13" x14ac:dyDescent="0.25">
      <c r="A347" s="1385"/>
      <c r="B347" s="1496"/>
      <c r="C347" s="1451" t="s">
        <v>257</v>
      </c>
      <c r="D347" s="1452"/>
      <c r="E347" s="57"/>
      <c r="F347" s="218"/>
      <c r="G347" s="219">
        <v>2732</v>
      </c>
      <c r="H347" s="219">
        <v>2949</v>
      </c>
      <c r="I347" s="219">
        <v>2912</v>
      </c>
      <c r="J347" s="96">
        <v>3052</v>
      </c>
      <c r="K347" s="96">
        <v>3140</v>
      </c>
      <c r="L347" s="21"/>
    </row>
    <row r="348" spans="1:13" x14ac:dyDescent="0.25">
      <c r="A348" s="1385"/>
      <c r="B348" s="1496"/>
      <c r="C348" s="1451" t="s">
        <v>263</v>
      </c>
      <c r="D348" s="1452"/>
      <c r="E348" s="57"/>
      <c r="F348" s="218"/>
      <c r="G348" s="219">
        <v>3470</v>
      </c>
      <c r="H348" s="219">
        <v>3943</v>
      </c>
      <c r="I348" s="219">
        <v>3918</v>
      </c>
      <c r="J348" s="96">
        <v>4128</v>
      </c>
      <c r="K348" s="96">
        <v>3846</v>
      </c>
      <c r="L348" s="21"/>
    </row>
    <row r="349" spans="1:13" s="64" customFormat="1" ht="16.5" thickBot="1" x14ac:dyDescent="0.3">
      <c r="A349" s="1385"/>
      <c r="B349" s="1496"/>
      <c r="C349" s="1499" t="s">
        <v>270</v>
      </c>
      <c r="D349" s="1494"/>
      <c r="E349" s="350"/>
      <c r="F349" s="350"/>
      <c r="G349" s="378">
        <f>G348/G346*100</f>
        <v>55.949693647210573</v>
      </c>
      <c r="H349" s="378">
        <f>H348/H346*100</f>
        <v>57.211259431224605</v>
      </c>
      <c r="I349" s="378">
        <f>I348/I346*100</f>
        <v>57.364568081991216</v>
      </c>
      <c r="J349" s="378">
        <f>J348/J346*100</f>
        <v>57.493036211699163</v>
      </c>
      <c r="K349" s="378">
        <f>K348/K346*100</f>
        <v>55.052963068995133</v>
      </c>
      <c r="L349" s="352"/>
    </row>
    <row r="350" spans="1:13" ht="16.5" thickBot="1" x14ac:dyDescent="0.3">
      <c r="A350" s="151" t="s">
        <v>248</v>
      </c>
      <c r="B350" s="725" t="s">
        <v>249</v>
      </c>
      <c r="C350" s="1501"/>
      <c r="D350" s="1501"/>
      <c r="E350" s="695"/>
      <c r="F350" s="695" t="s">
        <v>443</v>
      </c>
      <c r="G350" s="695" t="s">
        <v>444</v>
      </c>
      <c r="H350" s="695" t="s">
        <v>445</v>
      </c>
      <c r="I350" s="695" t="s">
        <v>446</v>
      </c>
      <c r="J350" s="695" t="s">
        <v>447</v>
      </c>
      <c r="K350" s="695" t="s">
        <v>448</v>
      </c>
      <c r="L350" s="696" t="s">
        <v>449</v>
      </c>
    </row>
    <row r="351" spans="1:13" s="64" customFormat="1" x14ac:dyDescent="0.25">
      <c r="A351" s="1517" t="s">
        <v>450</v>
      </c>
      <c r="B351" s="1518" t="s">
        <v>199</v>
      </c>
      <c r="C351" s="1388" t="s">
        <v>451</v>
      </c>
      <c r="D351" s="429" t="s">
        <v>435</v>
      </c>
      <c r="E351" s="192"/>
      <c r="F351" s="192">
        <v>7977</v>
      </c>
      <c r="G351" s="192">
        <v>7741</v>
      </c>
      <c r="H351" s="192">
        <v>7380</v>
      </c>
      <c r="I351" s="192">
        <v>7172</v>
      </c>
      <c r="J351" s="192">
        <v>6830</v>
      </c>
      <c r="K351" s="192">
        <v>6742</v>
      </c>
      <c r="L351" s="323"/>
    </row>
    <row r="352" spans="1:13" x14ac:dyDescent="0.25">
      <c r="A352" s="1517"/>
      <c r="B352" s="1518"/>
      <c r="C352" s="1348"/>
      <c r="D352" s="428" t="s">
        <v>436</v>
      </c>
      <c r="E352" s="157"/>
      <c r="F352" s="96">
        <v>4073</v>
      </c>
      <c r="G352" s="96">
        <v>3875</v>
      </c>
      <c r="H352" s="96">
        <v>3737</v>
      </c>
      <c r="I352" s="96">
        <v>3592</v>
      </c>
      <c r="J352" s="96">
        <v>3449</v>
      </c>
      <c r="K352" s="96">
        <v>3416</v>
      </c>
      <c r="L352" s="21"/>
    </row>
    <row r="353" spans="1:15" ht="16.5" thickBot="1" x14ac:dyDescent="0.3">
      <c r="A353" s="1517"/>
      <c r="B353" s="1518"/>
      <c r="C353" s="1349"/>
      <c r="D353" s="431" t="s">
        <v>437</v>
      </c>
      <c r="E353" s="197"/>
      <c r="F353" s="190">
        <v>3904</v>
      </c>
      <c r="G353" s="190">
        <v>3866</v>
      </c>
      <c r="H353" s="190">
        <v>3643</v>
      </c>
      <c r="I353" s="190">
        <v>3580</v>
      </c>
      <c r="J353" s="190">
        <v>3381</v>
      </c>
      <c r="K353" s="190">
        <v>3326</v>
      </c>
      <c r="L353" s="22"/>
    </row>
    <row r="354" spans="1:15" ht="15" customHeight="1" x14ac:dyDescent="0.25">
      <c r="A354" s="1517"/>
      <c r="B354" s="1518"/>
      <c r="C354" s="1347" t="s">
        <v>452</v>
      </c>
      <c r="D354" s="430" t="s">
        <v>435</v>
      </c>
      <c r="E354" s="195"/>
      <c r="F354" s="342">
        <v>4421</v>
      </c>
      <c r="G354" s="343">
        <v>4487</v>
      </c>
      <c r="H354" s="343">
        <v>4127</v>
      </c>
      <c r="I354" s="343">
        <v>4153</v>
      </c>
      <c r="J354" s="343">
        <v>4113</v>
      </c>
      <c r="K354" s="195">
        <v>4080</v>
      </c>
      <c r="L354" s="20"/>
    </row>
    <row r="355" spans="1:15" x14ac:dyDescent="0.25">
      <c r="A355" s="1517"/>
      <c r="B355" s="1518"/>
      <c r="C355" s="1348"/>
      <c r="D355" s="428" t="s">
        <v>436</v>
      </c>
      <c r="E355" s="157"/>
      <c r="F355" s="96">
        <v>2233</v>
      </c>
      <c r="G355" s="96">
        <v>2276</v>
      </c>
      <c r="H355" s="96">
        <v>2127</v>
      </c>
      <c r="I355" s="96">
        <v>2162</v>
      </c>
      <c r="J355" s="96">
        <v>2155</v>
      </c>
      <c r="K355" s="96">
        <v>2130</v>
      </c>
      <c r="L355" s="21"/>
    </row>
    <row r="356" spans="1:15" ht="16.5" thickBot="1" x14ac:dyDescent="0.3">
      <c r="A356" s="1517"/>
      <c r="B356" s="1518"/>
      <c r="C356" s="1349"/>
      <c r="D356" s="431" t="s">
        <v>437</v>
      </c>
      <c r="E356" s="197"/>
      <c r="F356" s="190">
        <v>2188</v>
      </c>
      <c r="G356" s="190">
        <v>2211</v>
      </c>
      <c r="H356" s="190">
        <v>2000</v>
      </c>
      <c r="I356" s="190">
        <v>1991</v>
      </c>
      <c r="J356" s="190">
        <v>1958</v>
      </c>
      <c r="K356" s="190">
        <v>1950</v>
      </c>
      <c r="L356" s="22"/>
    </row>
    <row r="357" spans="1:15" s="64" customFormat="1" ht="14.45" customHeight="1" x14ac:dyDescent="0.25">
      <c r="A357" s="1517"/>
      <c r="B357" s="1518"/>
      <c r="C357" s="1497" t="s">
        <v>453</v>
      </c>
      <c r="D357" s="1498"/>
      <c r="E357" s="195"/>
      <c r="F357" s="260">
        <f>+(F354/F351)*100</f>
        <v>55.421837783627922</v>
      </c>
      <c r="G357" s="260">
        <f t="shared" ref="G357:J357" si="21">+(G354/G351)*100</f>
        <v>57.964087327218706</v>
      </c>
      <c r="H357" s="260">
        <f t="shared" si="21"/>
        <v>55.921409214092144</v>
      </c>
      <c r="I357" s="260">
        <f t="shared" si="21"/>
        <v>57.905744562186278</v>
      </c>
      <c r="J357" s="260">
        <f t="shared" si="21"/>
        <v>60.219619326500727</v>
      </c>
      <c r="K357" s="260">
        <f>+(K354/K351)*100</f>
        <v>60.516167309403734</v>
      </c>
      <c r="L357" s="325"/>
    </row>
    <row r="358" spans="1:15" x14ac:dyDescent="0.25">
      <c r="A358" s="1517"/>
      <c r="B358" s="1518"/>
      <c r="C358" s="1451" t="s">
        <v>454</v>
      </c>
      <c r="D358" s="1452"/>
      <c r="E358" s="28"/>
      <c r="F358" s="340">
        <v>54.824453719616997</v>
      </c>
      <c r="G358" s="340">
        <v>58.735483870967741</v>
      </c>
      <c r="H358" s="340">
        <v>56.917313352956924</v>
      </c>
      <c r="I358" s="340">
        <v>60.189309576837417</v>
      </c>
      <c r="J358" s="340">
        <v>62.481878805450854</v>
      </c>
      <c r="K358" s="340">
        <v>62.481878805450854</v>
      </c>
      <c r="L358" s="21"/>
    </row>
    <row r="359" spans="1:15" x14ac:dyDescent="0.25">
      <c r="A359" s="1517"/>
      <c r="B359" s="1518"/>
      <c r="C359" s="1451" t="s">
        <v>455</v>
      </c>
      <c r="D359" s="1452"/>
      <c r="E359" s="28"/>
      <c r="F359" s="340">
        <v>56.045081967213115</v>
      </c>
      <c r="G359" s="340">
        <v>57.190894981893422</v>
      </c>
      <c r="H359" s="340">
        <v>54.899807850672524</v>
      </c>
      <c r="I359" s="340">
        <v>55.614525139664806</v>
      </c>
      <c r="J359" s="340">
        <v>57.91186039633245</v>
      </c>
      <c r="K359" s="340">
        <v>57.91186039633245</v>
      </c>
      <c r="L359" s="21"/>
      <c r="O359" s="64"/>
    </row>
    <row r="360" spans="1:15" s="64" customFormat="1" ht="16.5" thickBot="1" x14ac:dyDescent="0.3">
      <c r="A360" s="1517"/>
      <c r="B360" s="1518"/>
      <c r="C360" s="1502" t="s">
        <v>354</v>
      </c>
      <c r="D360" s="1503"/>
      <c r="E360" s="336"/>
      <c r="F360" s="454">
        <f t="shared" ref="F360:J360" si="22">+F359-F358</f>
        <v>1.2206282475961174</v>
      </c>
      <c r="G360" s="349">
        <f t="shared" si="22"/>
        <v>-1.5445888890743191</v>
      </c>
      <c r="H360" s="349">
        <f t="shared" si="22"/>
        <v>-2.0175055022844006</v>
      </c>
      <c r="I360" s="349">
        <f t="shared" si="22"/>
        <v>-4.5747844371726103</v>
      </c>
      <c r="J360" s="349">
        <f t="shared" si="22"/>
        <v>-4.5700184091184042</v>
      </c>
      <c r="K360" s="349">
        <f>+K359-K358</f>
        <v>-4.5700184091184042</v>
      </c>
      <c r="L360" s="352"/>
    </row>
    <row r="361" spans="1:15" ht="16.5" thickBot="1" x14ac:dyDescent="0.3">
      <c r="A361" s="151" t="s">
        <v>248</v>
      </c>
      <c r="B361" s="725" t="s">
        <v>249</v>
      </c>
      <c r="C361" s="1501"/>
      <c r="D361" s="1501"/>
      <c r="E361" s="695" t="s">
        <v>442</v>
      </c>
      <c r="F361" s="695" t="s">
        <v>443</v>
      </c>
      <c r="G361" s="695" t="s">
        <v>444</v>
      </c>
      <c r="H361" s="695" t="s">
        <v>445</v>
      </c>
      <c r="I361" s="695" t="s">
        <v>446</v>
      </c>
      <c r="J361" s="695" t="s">
        <v>447</v>
      </c>
      <c r="K361" s="695" t="s">
        <v>448</v>
      </c>
      <c r="L361" s="696" t="s">
        <v>449</v>
      </c>
    </row>
    <row r="362" spans="1:15" ht="14.85" customHeight="1" x14ac:dyDescent="0.25">
      <c r="A362" s="1429" t="s">
        <v>456</v>
      </c>
      <c r="B362" s="1504" t="s">
        <v>457</v>
      </c>
      <c r="C362" s="1388" t="s">
        <v>458</v>
      </c>
      <c r="D362" s="429" t="s">
        <v>459</v>
      </c>
      <c r="E362" s="192" t="s">
        <v>460</v>
      </c>
      <c r="F362" s="192">
        <v>2798</v>
      </c>
      <c r="G362" s="192">
        <v>2796</v>
      </c>
      <c r="H362" s="192">
        <v>2568</v>
      </c>
      <c r="I362" s="192">
        <v>2435</v>
      </c>
      <c r="J362" s="192">
        <v>2296</v>
      </c>
      <c r="K362" s="962">
        <v>2240</v>
      </c>
      <c r="L362" s="87"/>
    </row>
    <row r="363" spans="1:15" ht="14.1" customHeight="1" x14ac:dyDescent="0.25">
      <c r="A363" s="1429"/>
      <c r="B363" s="1504"/>
      <c r="C363" s="1348"/>
      <c r="D363" s="428" t="s">
        <v>436</v>
      </c>
      <c r="E363" s="96"/>
      <c r="F363" s="96">
        <v>1383</v>
      </c>
      <c r="G363" s="96">
        <v>1335</v>
      </c>
      <c r="H363" s="96">
        <v>1212</v>
      </c>
      <c r="I363" s="96">
        <v>1169</v>
      </c>
      <c r="J363" s="96">
        <v>1104</v>
      </c>
      <c r="K363" s="972">
        <v>1118</v>
      </c>
      <c r="L363" s="21"/>
    </row>
    <row r="364" spans="1:15" ht="16.5" thickBot="1" x14ac:dyDescent="0.3">
      <c r="A364" s="1429"/>
      <c r="B364" s="1504"/>
      <c r="C364" s="1506"/>
      <c r="D364" s="434" t="s">
        <v>437</v>
      </c>
      <c r="E364" s="360"/>
      <c r="F364" s="360">
        <v>1415</v>
      </c>
      <c r="G364" s="360">
        <v>1461</v>
      </c>
      <c r="H364" s="360">
        <v>1356</v>
      </c>
      <c r="I364" s="360">
        <v>1266</v>
      </c>
      <c r="J364" s="360">
        <v>1192</v>
      </c>
      <c r="K364" s="973">
        <v>1122</v>
      </c>
      <c r="L364" s="53"/>
    </row>
    <row r="365" spans="1:15" ht="14.85" customHeight="1" x14ac:dyDescent="0.25">
      <c r="A365" s="1429"/>
      <c r="B365" s="1504"/>
      <c r="C365" s="1347" t="s">
        <v>461</v>
      </c>
      <c r="D365" s="430" t="s">
        <v>459</v>
      </c>
      <c r="E365" s="195"/>
      <c r="F365" s="195">
        <v>1287</v>
      </c>
      <c r="G365" s="195">
        <f>660+759</f>
        <v>1419</v>
      </c>
      <c r="H365" s="195">
        <v>1273</v>
      </c>
      <c r="I365" s="195">
        <v>1261</v>
      </c>
      <c r="J365" s="195">
        <f>653+535</f>
        <v>1188</v>
      </c>
      <c r="K365" s="965">
        <v>1201</v>
      </c>
      <c r="L365" s="20"/>
    </row>
    <row r="366" spans="1:15" x14ac:dyDescent="0.25">
      <c r="A366" s="1429"/>
      <c r="B366" s="1504"/>
      <c r="C366" s="1348"/>
      <c r="D366" s="428" t="s">
        <v>436</v>
      </c>
      <c r="E366" s="96"/>
      <c r="F366" s="96">
        <v>719</v>
      </c>
      <c r="G366" s="96">
        <f>339+402</f>
        <v>741</v>
      </c>
      <c r="H366" s="96">
        <v>658</v>
      </c>
      <c r="I366" s="96">
        <v>648</v>
      </c>
      <c r="J366" s="96">
        <f>320+306</f>
        <v>626</v>
      </c>
      <c r="K366" s="972">
        <v>641</v>
      </c>
      <c r="L366" s="21"/>
    </row>
    <row r="367" spans="1:15" ht="16.5" thickBot="1" x14ac:dyDescent="0.3">
      <c r="A367" s="1429"/>
      <c r="B367" s="1504"/>
      <c r="C367" s="1506"/>
      <c r="D367" s="434" t="s">
        <v>437</v>
      </c>
      <c r="E367" s="360"/>
      <c r="F367" s="360">
        <v>568</v>
      </c>
      <c r="G367" s="360">
        <f>321+357</f>
        <v>678</v>
      </c>
      <c r="H367" s="360">
        <v>615</v>
      </c>
      <c r="I367" s="360">
        <v>613</v>
      </c>
      <c r="J367" s="360">
        <f>333+229</f>
        <v>562</v>
      </c>
      <c r="K367" s="973">
        <v>560</v>
      </c>
      <c r="L367" s="53"/>
    </row>
    <row r="368" spans="1:15" x14ac:dyDescent="0.25">
      <c r="A368" s="1429"/>
      <c r="B368" s="1504"/>
      <c r="C368" s="1510" t="s">
        <v>462</v>
      </c>
      <c r="D368" s="1511"/>
      <c r="E368" s="225"/>
      <c r="F368" s="283">
        <f>F366/F363*100</f>
        <v>51.988430947216202</v>
      </c>
      <c r="G368" s="283">
        <f t="shared" ref="G368:I369" si="23">G366/G363*100</f>
        <v>55.50561797752809</v>
      </c>
      <c r="H368" s="283">
        <f t="shared" si="23"/>
        <v>54.290429042904286</v>
      </c>
      <c r="I368" s="283">
        <f t="shared" si="23"/>
        <v>55.43199315654406</v>
      </c>
      <c r="J368" s="283">
        <f>J366/J363*100</f>
        <v>56.702898550724633</v>
      </c>
      <c r="K368" s="283">
        <f>K366/K363*100</f>
        <v>57.334525939177105</v>
      </c>
      <c r="L368" s="20"/>
    </row>
    <row r="369" spans="1:17" x14ac:dyDescent="0.25">
      <c r="A369" s="1429"/>
      <c r="B369" s="1504"/>
      <c r="C369" s="1330" t="s">
        <v>463</v>
      </c>
      <c r="D369" s="1331"/>
      <c r="E369" s="96"/>
      <c r="F369" s="29">
        <f>F367/F364*100</f>
        <v>40.141342756183747</v>
      </c>
      <c r="G369" s="29">
        <f t="shared" si="23"/>
        <v>46.406570841889113</v>
      </c>
      <c r="H369" s="29">
        <f t="shared" si="23"/>
        <v>45.353982300884951</v>
      </c>
      <c r="I369" s="29">
        <f t="shared" si="23"/>
        <v>48.420221169036338</v>
      </c>
      <c r="J369" s="29">
        <f>J367/J364*100</f>
        <v>47.147651006711413</v>
      </c>
      <c r="K369" s="29">
        <f>K367/K364*100</f>
        <v>49.910873440285201</v>
      </c>
      <c r="L369" s="21"/>
    </row>
    <row r="370" spans="1:17" ht="16.5" thickBot="1" x14ac:dyDescent="0.3">
      <c r="A370" s="1429"/>
      <c r="B370" s="1505"/>
      <c r="C370" s="1419" t="s">
        <v>354</v>
      </c>
      <c r="D370" s="1310"/>
      <c r="E370" s="110"/>
      <c r="F370" s="165">
        <f>+F369-F368</f>
        <v>-11.847088191032455</v>
      </c>
      <c r="G370" s="165">
        <f t="shared" ref="G370:I370" si="24">+G369-G368</f>
        <v>-9.0990471356389762</v>
      </c>
      <c r="H370" s="165">
        <f t="shared" si="24"/>
        <v>-8.936446742019335</v>
      </c>
      <c r="I370" s="165">
        <f t="shared" si="24"/>
        <v>-7.0117719875077213</v>
      </c>
      <c r="J370" s="165">
        <f>+J369-J368</f>
        <v>-9.5552475440132199</v>
      </c>
      <c r="K370" s="165">
        <f>+K369-K368</f>
        <v>-7.4236524988919044</v>
      </c>
      <c r="L370" s="53"/>
    </row>
    <row r="371" spans="1:17" ht="16.5" thickBot="1" x14ac:dyDescent="0.3">
      <c r="A371" s="1382"/>
      <c r="B371" s="362" t="s">
        <v>249</v>
      </c>
      <c r="C371" s="1490"/>
      <c r="D371" s="1490"/>
      <c r="E371" s="120" t="s">
        <v>442</v>
      </c>
      <c r="F371" s="120" t="s">
        <v>443</v>
      </c>
      <c r="G371" s="120" t="s">
        <v>444</v>
      </c>
      <c r="H371" s="120" t="s">
        <v>445</v>
      </c>
      <c r="I371" s="120" t="s">
        <v>446</v>
      </c>
      <c r="J371" s="120" t="s">
        <v>447</v>
      </c>
      <c r="K371" s="120" t="s">
        <v>448</v>
      </c>
      <c r="L371" s="121" t="s">
        <v>449</v>
      </c>
    </row>
    <row r="372" spans="1:17" ht="15" customHeight="1" x14ac:dyDescent="0.25">
      <c r="A372" s="1382"/>
      <c r="B372" s="1500" t="s">
        <v>464</v>
      </c>
      <c r="C372" s="1465" t="s">
        <v>459</v>
      </c>
      <c r="D372" s="1511"/>
      <c r="E372" s="36"/>
      <c r="F372" s="195">
        <v>191</v>
      </c>
      <c r="G372" s="195">
        <v>249</v>
      </c>
      <c r="H372" s="195">
        <v>574</v>
      </c>
      <c r="I372" s="195">
        <v>265</v>
      </c>
      <c r="J372" s="195">
        <v>286</v>
      </c>
      <c r="K372" s="40">
        <v>338</v>
      </c>
      <c r="L372" s="20"/>
    </row>
    <row r="373" spans="1:17" x14ac:dyDescent="0.25">
      <c r="A373" s="1382"/>
      <c r="B373" s="1378"/>
      <c r="C373" s="1330" t="s">
        <v>436</v>
      </c>
      <c r="D373" s="1331"/>
      <c r="E373" s="96"/>
      <c r="F373" s="96">
        <v>79</v>
      </c>
      <c r="G373" s="96">
        <v>108</v>
      </c>
      <c r="H373" s="96">
        <v>182</v>
      </c>
      <c r="I373" s="96">
        <v>60</v>
      </c>
      <c r="J373" s="96">
        <v>74</v>
      </c>
      <c r="K373" s="96">
        <v>78</v>
      </c>
      <c r="L373" s="21"/>
    </row>
    <row r="374" spans="1:17" x14ac:dyDescent="0.25">
      <c r="A374" s="1382"/>
      <c r="B374" s="1378"/>
      <c r="C374" s="1330" t="s">
        <v>437</v>
      </c>
      <c r="D374" s="1331"/>
      <c r="E374" s="96"/>
      <c r="F374" s="96">
        <v>112</v>
      </c>
      <c r="G374" s="96">
        <v>140</v>
      </c>
      <c r="H374" s="96">
        <v>392</v>
      </c>
      <c r="I374" s="96">
        <v>205</v>
      </c>
      <c r="J374" s="96">
        <v>212</v>
      </c>
      <c r="K374" s="96">
        <v>260</v>
      </c>
      <c r="L374" s="21"/>
    </row>
    <row r="375" spans="1:17" ht="16.5" thickBot="1" x14ac:dyDescent="0.3">
      <c r="A375" s="1382"/>
      <c r="B375" s="1378"/>
      <c r="C375" s="1526" t="s">
        <v>270</v>
      </c>
      <c r="D375" s="1527"/>
      <c r="E375" s="360"/>
      <c r="F375" s="455">
        <f t="shared" ref="F375:K375" si="25">F374/F372*100</f>
        <v>58.638743455497377</v>
      </c>
      <c r="G375" s="455">
        <f t="shared" si="25"/>
        <v>56.224899598393577</v>
      </c>
      <c r="H375" s="455">
        <f t="shared" si="25"/>
        <v>68.292682926829272</v>
      </c>
      <c r="I375" s="455">
        <f t="shared" si="25"/>
        <v>77.358490566037744</v>
      </c>
      <c r="J375" s="455">
        <f t="shared" si="25"/>
        <v>74.12587412587412</v>
      </c>
      <c r="K375" s="455">
        <f t="shared" si="25"/>
        <v>76.923076923076934</v>
      </c>
      <c r="L375" s="53"/>
    </row>
    <row r="376" spans="1:17" ht="14.85" customHeight="1" x14ac:dyDescent="0.25">
      <c r="A376" s="1382"/>
      <c r="B376" s="1378"/>
      <c r="C376" s="1159" t="s">
        <v>523</v>
      </c>
      <c r="D376" s="437" t="s">
        <v>251</v>
      </c>
      <c r="E376" s="249"/>
      <c r="F376" s="225">
        <v>132</v>
      </c>
      <c r="G376" s="225">
        <v>95</v>
      </c>
      <c r="H376" s="225">
        <v>136</v>
      </c>
      <c r="I376" s="225">
        <v>26</v>
      </c>
      <c r="J376" s="225">
        <v>28</v>
      </c>
      <c r="K376" s="36">
        <v>29</v>
      </c>
      <c r="L376" s="20"/>
      <c r="N376" s="64"/>
      <c r="O376" s="64"/>
      <c r="P376" s="64"/>
      <c r="Q376" s="64"/>
    </row>
    <row r="377" spans="1:17" x14ac:dyDescent="0.25">
      <c r="A377" s="1382"/>
      <c r="B377" s="1378"/>
      <c r="C377" s="1160"/>
      <c r="D377" s="403" t="s">
        <v>257</v>
      </c>
      <c r="E377" s="94"/>
      <c r="F377" s="354">
        <v>40</v>
      </c>
      <c r="G377" s="354">
        <v>36</v>
      </c>
      <c r="H377" s="354">
        <v>70</v>
      </c>
      <c r="I377" s="354">
        <v>14</v>
      </c>
      <c r="J377" s="354">
        <v>13</v>
      </c>
      <c r="K377" s="28">
        <v>11</v>
      </c>
      <c r="L377" s="21"/>
    </row>
    <row r="378" spans="1:17" x14ac:dyDescent="0.25">
      <c r="A378" s="1382"/>
      <c r="B378" s="1378"/>
      <c r="C378" s="1160"/>
      <c r="D378" s="403" t="s">
        <v>263</v>
      </c>
      <c r="E378" s="94"/>
      <c r="F378" s="354">
        <v>92</v>
      </c>
      <c r="G378" s="354">
        <v>59</v>
      </c>
      <c r="H378" s="354">
        <v>66</v>
      </c>
      <c r="I378" s="354">
        <v>12</v>
      </c>
      <c r="J378" s="354">
        <v>15</v>
      </c>
      <c r="K378" s="28">
        <v>18</v>
      </c>
      <c r="L378" s="21"/>
    </row>
    <row r="379" spans="1:17" s="64" customFormat="1" ht="16.5" thickBot="1" x14ac:dyDescent="0.3">
      <c r="A379" s="1382"/>
      <c r="B379" s="1378"/>
      <c r="C379" s="1519"/>
      <c r="D379" s="439" t="s">
        <v>270</v>
      </c>
      <c r="E379" s="128"/>
      <c r="F379" s="440">
        <f>(F378*100)/F376</f>
        <v>69.696969696969703</v>
      </c>
      <c r="G379" s="440">
        <f t="shared" ref="G379:J379" si="26">(G378*100)/G376</f>
        <v>62.10526315789474</v>
      </c>
      <c r="H379" s="361">
        <f>(H378*100)/H376</f>
        <v>48.529411764705884</v>
      </c>
      <c r="I379" s="361">
        <f>(I378*100)/I376</f>
        <v>46.153846153846153</v>
      </c>
      <c r="J379" s="361">
        <f t="shared" si="26"/>
        <v>53.571428571428569</v>
      </c>
      <c r="K379" s="440">
        <f>(K378*100)/K376</f>
        <v>62.068965517241381</v>
      </c>
      <c r="L379" s="352"/>
      <c r="N379" s="11"/>
      <c r="O379" s="11"/>
      <c r="P379" s="11"/>
      <c r="Q379" s="11"/>
    </row>
    <row r="380" spans="1:17" x14ac:dyDescent="0.25">
      <c r="A380" s="1382"/>
      <c r="B380" s="1378"/>
      <c r="C380" s="1159" t="s">
        <v>465</v>
      </c>
      <c r="D380" s="437" t="s">
        <v>251</v>
      </c>
      <c r="E380" s="249"/>
      <c r="F380" s="225"/>
      <c r="G380" s="225">
        <v>79</v>
      </c>
      <c r="H380" s="225">
        <v>351</v>
      </c>
      <c r="I380" s="225">
        <v>225</v>
      </c>
      <c r="J380" s="225">
        <v>222</v>
      </c>
      <c r="K380" s="36">
        <v>269</v>
      </c>
      <c r="L380" s="20"/>
      <c r="N380" s="64"/>
      <c r="O380" s="64"/>
      <c r="P380" s="64"/>
      <c r="Q380" s="64"/>
    </row>
    <row r="381" spans="1:17" x14ac:dyDescent="0.25">
      <c r="A381" s="1382"/>
      <c r="B381" s="1378"/>
      <c r="C381" s="1160"/>
      <c r="D381" s="403" t="s">
        <v>257</v>
      </c>
      <c r="E381" s="94"/>
      <c r="F381" s="354"/>
      <c r="G381" s="354">
        <v>18</v>
      </c>
      <c r="H381" s="354">
        <v>47</v>
      </c>
      <c r="I381" s="354">
        <v>35</v>
      </c>
      <c r="J381" s="354">
        <v>34</v>
      </c>
      <c r="K381" s="28">
        <v>45</v>
      </c>
      <c r="L381" s="21"/>
    </row>
    <row r="382" spans="1:17" x14ac:dyDescent="0.25">
      <c r="A382" s="1382"/>
      <c r="B382" s="1378"/>
      <c r="C382" s="1160"/>
      <c r="D382" s="403" t="s">
        <v>263</v>
      </c>
      <c r="E382" s="94"/>
      <c r="F382" s="354"/>
      <c r="G382" s="354">
        <v>61</v>
      </c>
      <c r="H382" s="354">
        <v>304</v>
      </c>
      <c r="I382" s="354">
        <v>190</v>
      </c>
      <c r="J382" s="354">
        <v>188</v>
      </c>
      <c r="K382" s="28">
        <v>224</v>
      </c>
      <c r="L382" s="21"/>
    </row>
    <row r="383" spans="1:17" s="64" customFormat="1" ht="16.5" thickBot="1" x14ac:dyDescent="0.3">
      <c r="A383" s="1382"/>
      <c r="B383" s="1378"/>
      <c r="C383" s="1519"/>
      <c r="D383" s="439" t="s">
        <v>270</v>
      </c>
      <c r="E383" s="128"/>
      <c r="F383" s="441"/>
      <c r="G383" s="440">
        <f>(G382*100)/G380</f>
        <v>77.215189873417728</v>
      </c>
      <c r="H383" s="440">
        <f t="shared" ref="H383:K383" si="27">(H382*100)/H380</f>
        <v>86.609686609686605</v>
      </c>
      <c r="I383" s="440">
        <f t="shared" si="27"/>
        <v>84.444444444444443</v>
      </c>
      <c r="J383" s="440">
        <f t="shared" si="27"/>
        <v>84.684684684684683</v>
      </c>
      <c r="K383" s="440">
        <f t="shared" si="27"/>
        <v>83.271375464684013</v>
      </c>
      <c r="L383" s="352"/>
    </row>
    <row r="384" spans="1:17" x14ac:dyDescent="0.25">
      <c r="A384" s="1382"/>
      <c r="B384" s="1378"/>
      <c r="C384" s="1159" t="s">
        <v>471</v>
      </c>
      <c r="D384" s="437" t="s">
        <v>251</v>
      </c>
      <c r="E384" s="249"/>
      <c r="F384" s="225">
        <v>37</v>
      </c>
      <c r="G384" s="225">
        <v>44</v>
      </c>
      <c r="H384" s="225">
        <v>56</v>
      </c>
      <c r="I384" s="225"/>
      <c r="J384" s="225"/>
      <c r="K384" s="36"/>
      <c r="L384" s="20"/>
    </row>
    <row r="385" spans="1:12" x14ac:dyDescent="0.25">
      <c r="A385" s="1382"/>
      <c r="B385" s="1378"/>
      <c r="C385" s="1160"/>
      <c r="D385" s="403" t="s">
        <v>257</v>
      </c>
      <c r="E385" s="94"/>
      <c r="F385" s="354">
        <v>17</v>
      </c>
      <c r="G385" s="354">
        <v>24</v>
      </c>
      <c r="H385" s="354">
        <v>35</v>
      </c>
      <c r="I385" s="354"/>
      <c r="J385" s="354"/>
      <c r="K385" s="28"/>
      <c r="L385" s="21"/>
    </row>
    <row r="386" spans="1:12" x14ac:dyDescent="0.25">
      <c r="A386" s="1382"/>
      <c r="B386" s="1378"/>
      <c r="C386" s="1160"/>
      <c r="D386" s="403" t="s">
        <v>263</v>
      </c>
      <c r="E386" s="94"/>
      <c r="F386" s="354">
        <v>20</v>
      </c>
      <c r="G386" s="354">
        <v>20</v>
      </c>
      <c r="H386" s="354">
        <v>21</v>
      </c>
      <c r="I386" s="354"/>
      <c r="J386" s="354"/>
      <c r="K386" s="28"/>
      <c r="L386" s="21"/>
    </row>
    <row r="387" spans="1:12" ht="16.5" thickBot="1" x14ac:dyDescent="0.3">
      <c r="A387" s="1382"/>
      <c r="B387" s="1378"/>
      <c r="C387" s="1519"/>
      <c r="D387" s="439" t="s">
        <v>270</v>
      </c>
      <c r="E387" s="128"/>
      <c r="F387" s="361">
        <f>(F386*100)/F384</f>
        <v>54.054054054054056</v>
      </c>
      <c r="G387" s="361">
        <f t="shared" ref="G387" si="28">(G386*100)/G384</f>
        <v>45.454545454545453</v>
      </c>
      <c r="H387" s="442">
        <f>(H386*100)/H384</f>
        <v>37.5</v>
      </c>
      <c r="I387" s="441"/>
      <c r="J387" s="441"/>
      <c r="K387" s="110"/>
      <c r="L387" s="53"/>
    </row>
    <row r="388" spans="1:12" x14ac:dyDescent="0.25">
      <c r="A388" s="1382"/>
      <c r="B388" s="1378"/>
      <c r="C388" s="1159" t="s">
        <v>522</v>
      </c>
      <c r="D388" s="437" t="s">
        <v>251</v>
      </c>
      <c r="E388" s="249"/>
      <c r="F388" s="225">
        <v>22</v>
      </c>
      <c r="G388" s="225">
        <v>31</v>
      </c>
      <c r="H388" s="225">
        <v>31</v>
      </c>
      <c r="I388" s="225"/>
      <c r="J388" s="225"/>
      <c r="K388" s="36"/>
      <c r="L388" s="20"/>
    </row>
    <row r="389" spans="1:12" x14ac:dyDescent="0.25">
      <c r="A389" s="1382"/>
      <c r="B389" s="1378"/>
      <c r="C389" s="1160"/>
      <c r="D389" s="403" t="s">
        <v>257</v>
      </c>
      <c r="E389" s="94"/>
      <c r="F389" s="354">
        <v>22</v>
      </c>
      <c r="G389" s="354">
        <v>30</v>
      </c>
      <c r="H389" s="354">
        <v>30</v>
      </c>
      <c r="I389" s="354"/>
      <c r="J389" s="354"/>
      <c r="K389" s="28"/>
      <c r="L389" s="21"/>
    </row>
    <row r="390" spans="1:12" x14ac:dyDescent="0.25">
      <c r="A390" s="1382"/>
      <c r="B390" s="1378"/>
      <c r="C390" s="1160"/>
      <c r="D390" s="403" t="s">
        <v>263</v>
      </c>
      <c r="E390" s="94"/>
      <c r="F390" s="354">
        <v>0</v>
      </c>
      <c r="G390" s="354">
        <v>1</v>
      </c>
      <c r="H390" s="354">
        <v>1</v>
      </c>
      <c r="I390" s="354"/>
      <c r="J390" s="354"/>
      <c r="K390" s="28"/>
      <c r="L390" s="21"/>
    </row>
    <row r="391" spans="1:12" ht="16.5" thickBot="1" x14ac:dyDescent="0.3">
      <c r="A391" s="1382"/>
      <c r="B391" s="1378"/>
      <c r="C391" s="1519"/>
      <c r="D391" s="439" t="s">
        <v>270</v>
      </c>
      <c r="E391" s="128"/>
      <c r="F391" s="442">
        <v>0</v>
      </c>
      <c r="G391" s="442">
        <f>(G390*100)/G388</f>
        <v>3.225806451612903</v>
      </c>
      <c r="H391" s="442">
        <f>(H390*100)/H388</f>
        <v>3.225806451612903</v>
      </c>
      <c r="I391" s="441"/>
      <c r="J391" s="441"/>
      <c r="K391" s="110"/>
      <c r="L391" s="53"/>
    </row>
    <row r="392" spans="1:12" x14ac:dyDescent="0.25">
      <c r="A392" s="1382"/>
      <c r="B392" s="1378"/>
      <c r="C392" s="1159" t="s">
        <v>480</v>
      </c>
      <c r="D392" s="437" t="s">
        <v>251</v>
      </c>
      <c r="E392" s="249"/>
      <c r="F392" s="225"/>
      <c r="G392" s="225"/>
      <c r="H392" s="225"/>
      <c r="I392" s="225">
        <v>14</v>
      </c>
      <c r="J392" s="225">
        <v>36</v>
      </c>
      <c r="K392" s="36">
        <v>40</v>
      </c>
      <c r="L392" s="20"/>
    </row>
    <row r="393" spans="1:12" x14ac:dyDescent="0.25">
      <c r="A393" s="1382"/>
      <c r="B393" s="1378"/>
      <c r="C393" s="1160"/>
      <c r="D393" s="403" t="s">
        <v>257</v>
      </c>
      <c r="E393" s="94"/>
      <c r="F393" s="96"/>
      <c r="G393" s="96"/>
      <c r="H393" s="96"/>
      <c r="I393" s="96">
        <v>11</v>
      </c>
      <c r="J393" s="96">
        <v>27</v>
      </c>
      <c r="K393" s="28">
        <v>22</v>
      </c>
      <c r="L393" s="21"/>
    </row>
    <row r="394" spans="1:12" x14ac:dyDescent="0.25">
      <c r="A394" s="1382"/>
      <c r="B394" s="1378"/>
      <c r="C394" s="1160"/>
      <c r="D394" s="403" t="s">
        <v>263</v>
      </c>
      <c r="E394" s="94"/>
      <c r="F394" s="96"/>
      <c r="G394" s="96"/>
      <c r="H394" s="96"/>
      <c r="I394" s="96">
        <v>3</v>
      </c>
      <c r="J394" s="96">
        <v>9</v>
      </c>
      <c r="K394" s="28">
        <v>18</v>
      </c>
      <c r="L394" s="21"/>
    </row>
    <row r="395" spans="1:12" ht="16.5" thickBot="1" x14ac:dyDescent="0.3">
      <c r="A395" s="1382"/>
      <c r="B395" s="1378"/>
      <c r="C395" s="1519"/>
      <c r="D395" s="439" t="s">
        <v>270</v>
      </c>
      <c r="E395" s="128"/>
      <c r="F395" s="441"/>
      <c r="G395" s="441"/>
      <c r="H395" s="441"/>
      <c r="I395" s="442">
        <f>(I394*100)/I392</f>
        <v>21.428571428571427</v>
      </c>
      <c r="J395" s="442">
        <f>(J394*100)/J392</f>
        <v>25</v>
      </c>
      <c r="K395" s="361">
        <f>(K394*100)/K392</f>
        <v>45</v>
      </c>
      <c r="L395" s="53"/>
    </row>
    <row r="396" spans="1:12" x14ac:dyDescent="0.25">
      <c r="A396" s="1382"/>
      <c r="B396" s="1378"/>
      <c r="C396" s="1166" t="s">
        <v>472</v>
      </c>
      <c r="D396" s="444" t="s">
        <v>473</v>
      </c>
      <c r="E396" s="249"/>
      <c r="F396" s="261">
        <f>1/3*100</f>
        <v>33.333333333333329</v>
      </c>
      <c r="G396" s="261">
        <f>1/4*100</f>
        <v>25</v>
      </c>
      <c r="H396" s="261">
        <f>2/4*100</f>
        <v>50</v>
      </c>
      <c r="I396" s="261">
        <f>1/3*100</f>
        <v>33.333333333333329</v>
      </c>
      <c r="J396" s="261">
        <f>1/3*100</f>
        <v>33.333333333333329</v>
      </c>
      <c r="K396" s="261">
        <f>0/3*100</f>
        <v>0</v>
      </c>
      <c r="L396" s="20"/>
    </row>
    <row r="397" spans="1:12" x14ac:dyDescent="0.25">
      <c r="A397" s="1382"/>
      <c r="B397" s="1378"/>
      <c r="C397" s="1167"/>
      <c r="D397" s="443" t="s">
        <v>474</v>
      </c>
      <c r="E397" s="94"/>
      <c r="F397" s="234">
        <f>1/3*100</f>
        <v>33.333333333333329</v>
      </c>
      <c r="G397" s="234">
        <f>2/4*100</f>
        <v>50</v>
      </c>
      <c r="H397" s="235">
        <f>1/4*100</f>
        <v>25</v>
      </c>
      <c r="I397" s="234">
        <f t="shared" ref="I397:K398" si="29">1/3*100</f>
        <v>33.333333333333329</v>
      </c>
      <c r="J397" s="234">
        <f t="shared" si="29"/>
        <v>33.333333333333329</v>
      </c>
      <c r="K397" s="234">
        <f>2/3*100</f>
        <v>66.666666666666657</v>
      </c>
      <c r="L397" s="21"/>
    </row>
    <row r="398" spans="1:12" ht="16.5" thickBot="1" x14ac:dyDescent="0.3">
      <c r="A398" s="1382"/>
      <c r="B398" s="1378"/>
      <c r="C398" s="1168"/>
      <c r="D398" s="445" t="s">
        <v>475</v>
      </c>
      <c r="E398" s="126"/>
      <c r="F398" s="355">
        <f>1/3*100</f>
        <v>33.333333333333329</v>
      </c>
      <c r="G398" s="355">
        <f>1/4*100</f>
        <v>25</v>
      </c>
      <c r="H398" s="356">
        <f>1/4*100</f>
        <v>25</v>
      </c>
      <c r="I398" s="355">
        <f t="shared" si="29"/>
        <v>33.333333333333329</v>
      </c>
      <c r="J398" s="355">
        <f t="shared" si="29"/>
        <v>33.333333333333329</v>
      </c>
      <c r="K398" s="355">
        <f t="shared" si="29"/>
        <v>33.333333333333329</v>
      </c>
      <c r="L398" s="53"/>
    </row>
    <row r="399" spans="1:12" ht="16.5" thickBot="1" x14ac:dyDescent="0.3">
      <c r="A399" s="1382"/>
      <c r="B399" s="727" t="s">
        <v>249</v>
      </c>
      <c r="C399" s="1525"/>
      <c r="D399" s="1490"/>
      <c r="E399" s="120" t="s">
        <v>442</v>
      </c>
      <c r="F399" s="120" t="s">
        <v>443</v>
      </c>
      <c r="G399" s="120" t="s">
        <v>444</v>
      </c>
      <c r="H399" s="120" t="s">
        <v>445</v>
      </c>
      <c r="I399" s="120" t="s">
        <v>446</v>
      </c>
      <c r="J399" s="120" t="s">
        <v>447</v>
      </c>
      <c r="K399" s="120" t="s">
        <v>448</v>
      </c>
      <c r="L399" s="121" t="s">
        <v>449</v>
      </c>
    </row>
    <row r="400" spans="1:12" s="64" customFormat="1" ht="15" customHeight="1" x14ac:dyDescent="0.25">
      <c r="A400" s="1382"/>
      <c r="B400" s="1378" t="s">
        <v>476</v>
      </c>
      <c r="C400" s="1465" t="s">
        <v>459</v>
      </c>
      <c r="D400" s="1520"/>
      <c r="E400" s="40"/>
      <c r="F400" s="195">
        <v>1150</v>
      </c>
      <c r="G400" s="195">
        <v>381</v>
      </c>
      <c r="H400" s="195">
        <v>789</v>
      </c>
      <c r="I400" s="195">
        <v>904</v>
      </c>
      <c r="J400" s="195">
        <v>1571</v>
      </c>
      <c r="K400" s="195">
        <v>3276</v>
      </c>
      <c r="L400" s="325"/>
    </row>
    <row r="401" spans="1:12" x14ac:dyDescent="0.25">
      <c r="A401" s="1382"/>
      <c r="B401" s="1378"/>
      <c r="C401" s="1330" t="s">
        <v>436</v>
      </c>
      <c r="D401" s="1331"/>
      <c r="E401" s="96"/>
      <c r="F401" s="96">
        <v>533</v>
      </c>
      <c r="G401" s="96">
        <v>103</v>
      </c>
      <c r="H401" s="96">
        <v>2012</v>
      </c>
      <c r="I401" s="96">
        <v>285</v>
      </c>
      <c r="J401" s="96">
        <v>496</v>
      </c>
      <c r="K401" s="96">
        <v>968</v>
      </c>
      <c r="L401" s="21"/>
    </row>
    <row r="402" spans="1:12" x14ac:dyDescent="0.25">
      <c r="A402" s="1382"/>
      <c r="B402" s="1378"/>
      <c r="C402" s="1330" t="s">
        <v>437</v>
      </c>
      <c r="D402" s="1331"/>
      <c r="E402" s="96"/>
      <c r="F402" s="96">
        <v>617</v>
      </c>
      <c r="G402" s="96">
        <v>278</v>
      </c>
      <c r="H402" s="96">
        <v>577</v>
      </c>
      <c r="I402" s="96">
        <v>619</v>
      </c>
      <c r="J402" s="96">
        <v>1075</v>
      </c>
      <c r="K402" s="96">
        <v>2308</v>
      </c>
      <c r="L402" s="21"/>
    </row>
    <row r="403" spans="1:12" x14ac:dyDescent="0.25">
      <c r="A403" s="1382"/>
      <c r="B403" s="1378"/>
      <c r="C403" s="1526" t="s">
        <v>270</v>
      </c>
      <c r="D403" s="1527"/>
      <c r="E403" s="360"/>
      <c r="F403" s="435">
        <f t="shared" ref="F403:K403" si="30">F402/F400*100</f>
        <v>53.652173913043477</v>
      </c>
      <c r="G403" s="435">
        <f t="shared" si="30"/>
        <v>72.965879265091857</v>
      </c>
      <c r="H403" s="435">
        <f t="shared" si="30"/>
        <v>73.130544993662866</v>
      </c>
      <c r="I403" s="435">
        <f t="shared" si="30"/>
        <v>68.473451327433636</v>
      </c>
      <c r="J403" s="435">
        <f t="shared" si="30"/>
        <v>68.427753023551873</v>
      </c>
      <c r="K403" s="435">
        <f t="shared" si="30"/>
        <v>70.451770451770457</v>
      </c>
      <c r="L403" s="53"/>
    </row>
    <row r="404" spans="1:12" x14ac:dyDescent="0.25">
      <c r="A404" s="1382"/>
      <c r="B404" s="1378"/>
      <c r="C404" s="1159" t="s">
        <v>541</v>
      </c>
      <c r="D404" s="437" t="s">
        <v>251</v>
      </c>
      <c r="E404" s="249"/>
      <c r="F404" s="225">
        <v>342</v>
      </c>
      <c r="G404" s="225"/>
      <c r="H404" s="225"/>
      <c r="I404" s="225"/>
      <c r="J404" s="225"/>
      <c r="K404" s="36"/>
      <c r="L404" s="20"/>
    </row>
    <row r="405" spans="1:12" x14ac:dyDescent="0.25">
      <c r="A405" s="1382"/>
      <c r="B405" s="1378"/>
      <c r="C405" s="1160"/>
      <c r="D405" s="403" t="s">
        <v>257</v>
      </c>
      <c r="E405" s="94"/>
      <c r="F405" s="354">
        <v>237</v>
      </c>
      <c r="G405" s="354"/>
      <c r="H405" s="354"/>
      <c r="I405" s="354"/>
      <c r="J405" s="354"/>
      <c r="K405" s="28"/>
      <c r="L405" s="21"/>
    </row>
    <row r="406" spans="1:12" x14ac:dyDescent="0.25">
      <c r="A406" s="1382"/>
      <c r="B406" s="1378"/>
      <c r="C406" s="1160"/>
      <c r="D406" s="403" t="s">
        <v>263</v>
      </c>
      <c r="E406" s="94"/>
      <c r="F406" s="354">
        <v>105</v>
      </c>
      <c r="G406" s="354"/>
      <c r="H406" s="354"/>
      <c r="I406" s="354"/>
      <c r="J406" s="354"/>
      <c r="K406" s="28"/>
      <c r="L406" s="21"/>
    </row>
    <row r="407" spans="1:12" s="64" customFormat="1" ht="16.5" thickBot="1" x14ac:dyDescent="0.3">
      <c r="A407" s="1382"/>
      <c r="B407" s="1378"/>
      <c r="C407" s="1519"/>
      <c r="D407" s="439" t="s">
        <v>270</v>
      </c>
      <c r="E407" s="128"/>
      <c r="F407" s="442">
        <f>(F406*100)/F404</f>
        <v>30.701754385964911</v>
      </c>
      <c r="G407" s="441"/>
      <c r="H407" s="441"/>
      <c r="I407" s="441"/>
      <c r="J407" s="441"/>
      <c r="K407" s="336"/>
      <c r="L407" s="352"/>
    </row>
    <row r="408" spans="1:12" x14ac:dyDescent="0.25">
      <c r="A408" s="1382"/>
      <c r="B408" s="1378"/>
      <c r="C408" s="1159" t="s">
        <v>465</v>
      </c>
      <c r="D408" s="437" t="s">
        <v>251</v>
      </c>
      <c r="E408" s="249"/>
      <c r="F408" s="225">
        <v>277</v>
      </c>
      <c r="G408" s="225">
        <v>188</v>
      </c>
      <c r="H408" s="225">
        <v>608</v>
      </c>
      <c r="I408" s="225">
        <v>607</v>
      </c>
      <c r="J408" s="225">
        <v>1154</v>
      </c>
      <c r="K408" s="225">
        <v>2771</v>
      </c>
      <c r="L408" s="20"/>
    </row>
    <row r="409" spans="1:12" x14ac:dyDescent="0.25">
      <c r="A409" s="1382"/>
      <c r="B409" s="1378"/>
      <c r="C409" s="1160"/>
      <c r="D409" s="403" t="s">
        <v>257</v>
      </c>
      <c r="E409" s="94"/>
      <c r="F409" s="354">
        <v>79</v>
      </c>
      <c r="G409" s="354">
        <v>59</v>
      </c>
      <c r="H409" s="354">
        <v>154</v>
      </c>
      <c r="I409" s="354">
        <v>161</v>
      </c>
      <c r="J409" s="354">
        <v>309</v>
      </c>
      <c r="K409" s="28">
        <v>732</v>
      </c>
      <c r="L409" s="21"/>
    </row>
    <row r="410" spans="1:12" x14ac:dyDescent="0.25">
      <c r="A410" s="1382"/>
      <c r="B410" s="1378"/>
      <c r="C410" s="1160"/>
      <c r="D410" s="403" t="s">
        <v>263</v>
      </c>
      <c r="E410" s="94"/>
      <c r="F410" s="354">
        <v>198</v>
      </c>
      <c r="G410" s="354">
        <v>129</v>
      </c>
      <c r="H410" s="354">
        <v>454</v>
      </c>
      <c r="I410" s="354">
        <v>446</v>
      </c>
      <c r="J410" s="354">
        <v>845</v>
      </c>
      <c r="K410" s="28">
        <v>2039</v>
      </c>
      <c r="L410" s="21"/>
    </row>
    <row r="411" spans="1:12" s="64" customFormat="1" ht="16.5" thickBot="1" x14ac:dyDescent="0.3">
      <c r="A411" s="1382"/>
      <c r="B411" s="1378"/>
      <c r="C411" s="1519"/>
      <c r="D411" s="439" t="s">
        <v>270</v>
      </c>
      <c r="E411" s="128"/>
      <c r="F411" s="440">
        <f>(F410*100)/F408</f>
        <v>71.480144404332137</v>
      </c>
      <c r="G411" s="440">
        <f>(G410*100)/G408</f>
        <v>68.61702127659575</v>
      </c>
      <c r="H411" s="440">
        <f>(H410*100)/H408</f>
        <v>74.671052631578945</v>
      </c>
      <c r="I411" s="440">
        <f t="shared" ref="I411:K411" si="31">(I410*100)/I408</f>
        <v>73.476112026359147</v>
      </c>
      <c r="J411" s="440">
        <f t="shared" si="31"/>
        <v>73.223570190641254</v>
      </c>
      <c r="K411" s="440">
        <f t="shared" si="31"/>
        <v>73.583543846986643</v>
      </c>
      <c r="L411" s="352"/>
    </row>
    <row r="412" spans="1:12" ht="14.85" customHeight="1" x14ac:dyDescent="0.25">
      <c r="A412" s="1382"/>
      <c r="B412" s="1378"/>
      <c r="C412" s="1159" t="s">
        <v>523</v>
      </c>
      <c r="D412" s="437" t="s">
        <v>251</v>
      </c>
      <c r="E412" s="249"/>
      <c r="F412" s="225">
        <v>239</v>
      </c>
      <c r="G412" s="225">
        <v>58</v>
      </c>
      <c r="H412" s="225">
        <v>74</v>
      </c>
      <c r="I412" s="225">
        <v>99</v>
      </c>
      <c r="J412" s="225">
        <v>111</v>
      </c>
      <c r="K412" s="36">
        <v>114</v>
      </c>
      <c r="L412" s="20"/>
    </row>
    <row r="413" spans="1:12" ht="14.85" customHeight="1" x14ac:dyDescent="0.25">
      <c r="A413" s="1382"/>
      <c r="B413" s="1378"/>
      <c r="C413" s="1160"/>
      <c r="D413" s="403" t="s">
        <v>257</v>
      </c>
      <c r="E413" s="94"/>
      <c r="F413" s="354">
        <v>56</v>
      </c>
      <c r="G413" s="354">
        <v>2</v>
      </c>
      <c r="H413" s="354">
        <v>21</v>
      </c>
      <c r="I413" s="354">
        <v>39</v>
      </c>
      <c r="J413" s="354">
        <v>59</v>
      </c>
      <c r="K413" s="28">
        <v>51</v>
      </c>
      <c r="L413" s="21"/>
    </row>
    <row r="414" spans="1:12" x14ac:dyDescent="0.25">
      <c r="A414" s="1382"/>
      <c r="B414" s="1378"/>
      <c r="C414" s="1160"/>
      <c r="D414" s="403" t="s">
        <v>263</v>
      </c>
      <c r="E414" s="94"/>
      <c r="F414" s="354">
        <v>183</v>
      </c>
      <c r="G414" s="354">
        <v>56</v>
      </c>
      <c r="H414" s="354">
        <v>53</v>
      </c>
      <c r="I414" s="354">
        <v>60</v>
      </c>
      <c r="J414" s="354">
        <v>52</v>
      </c>
      <c r="K414" s="28">
        <v>63</v>
      </c>
      <c r="L414" s="21"/>
    </row>
    <row r="415" spans="1:12" s="64" customFormat="1" ht="16.5" thickBot="1" x14ac:dyDescent="0.3">
      <c r="A415" s="1382"/>
      <c r="B415" s="1378"/>
      <c r="C415" s="1519"/>
      <c r="D415" s="439" t="s">
        <v>270</v>
      </c>
      <c r="E415" s="128"/>
      <c r="F415" s="440">
        <f>(F414*100)/F412</f>
        <v>76.56903765690376</v>
      </c>
      <c r="G415" s="440">
        <f>(G414*100)/G412</f>
        <v>96.551724137931032</v>
      </c>
      <c r="H415" s="440">
        <f>(H414*100)/H412</f>
        <v>71.621621621621628</v>
      </c>
      <c r="I415" s="440">
        <f t="shared" ref="I415:K415" si="32">(I414*100)/I412</f>
        <v>60.606060606060609</v>
      </c>
      <c r="J415" s="361">
        <f t="shared" si="32"/>
        <v>46.846846846846844</v>
      </c>
      <c r="K415" s="361">
        <f t="shared" si="32"/>
        <v>55.263157894736842</v>
      </c>
      <c r="L415" s="352"/>
    </row>
    <row r="416" spans="1:12" ht="14.85" customHeight="1" x14ac:dyDescent="0.25">
      <c r="A416" s="1382"/>
      <c r="B416" s="1378"/>
      <c r="C416" s="1159" t="s">
        <v>524</v>
      </c>
      <c r="D416" s="437" t="s">
        <v>251</v>
      </c>
      <c r="E416" s="249"/>
      <c r="F416" s="225">
        <v>144</v>
      </c>
      <c r="G416" s="225">
        <v>29</v>
      </c>
      <c r="H416" s="225">
        <v>17</v>
      </c>
      <c r="I416" s="225">
        <v>35</v>
      </c>
      <c r="J416" s="225">
        <v>46</v>
      </c>
      <c r="K416" s="36">
        <v>79</v>
      </c>
      <c r="L416" s="20"/>
    </row>
    <row r="417" spans="1:12" ht="14.85" customHeight="1" x14ac:dyDescent="0.25">
      <c r="A417" s="1382"/>
      <c r="B417" s="1378"/>
      <c r="C417" s="1160"/>
      <c r="D417" s="403" t="s">
        <v>257</v>
      </c>
      <c r="E417" s="94"/>
      <c r="F417" s="354">
        <v>124</v>
      </c>
      <c r="G417" s="354">
        <v>29</v>
      </c>
      <c r="H417" s="354">
        <v>14</v>
      </c>
      <c r="I417" s="354">
        <v>29</v>
      </c>
      <c r="J417" s="354">
        <v>38</v>
      </c>
      <c r="K417" s="28">
        <v>65</v>
      </c>
      <c r="L417" s="21"/>
    </row>
    <row r="418" spans="1:12" x14ac:dyDescent="0.25">
      <c r="A418" s="1382"/>
      <c r="B418" s="1378"/>
      <c r="C418" s="1160"/>
      <c r="D418" s="403" t="s">
        <v>263</v>
      </c>
      <c r="E418" s="94"/>
      <c r="F418" s="354">
        <v>20</v>
      </c>
      <c r="G418" s="354">
        <v>0</v>
      </c>
      <c r="H418" s="354">
        <v>3</v>
      </c>
      <c r="I418" s="354">
        <v>6</v>
      </c>
      <c r="J418" s="354">
        <v>8</v>
      </c>
      <c r="K418" s="28">
        <v>14</v>
      </c>
      <c r="L418" s="21"/>
    </row>
    <row r="419" spans="1:12" s="64" customFormat="1" ht="16.5" thickBot="1" x14ac:dyDescent="0.3">
      <c r="A419" s="1382"/>
      <c r="B419" s="1378"/>
      <c r="C419" s="1519"/>
      <c r="D419" s="439" t="s">
        <v>270</v>
      </c>
      <c r="E419" s="128"/>
      <c r="F419" s="442">
        <f>(F418*100)/F416</f>
        <v>13.888888888888889</v>
      </c>
      <c r="G419" s="442">
        <f>(G418*100)/G416</f>
        <v>0</v>
      </c>
      <c r="H419" s="442">
        <f>(H418*100)/H416</f>
        <v>17.647058823529413</v>
      </c>
      <c r="I419" s="442">
        <f t="shared" ref="I419:K419" si="33">(I418*100)/I416</f>
        <v>17.142857142857142</v>
      </c>
      <c r="J419" s="442">
        <f t="shared" si="33"/>
        <v>17.391304347826086</v>
      </c>
      <c r="K419" s="442">
        <f t="shared" si="33"/>
        <v>17.721518987341771</v>
      </c>
      <c r="L419" s="352"/>
    </row>
    <row r="420" spans="1:12" ht="14.85" customHeight="1" x14ac:dyDescent="0.25">
      <c r="A420" s="1382"/>
      <c r="B420" s="1378"/>
      <c r="C420" s="1159" t="s">
        <v>531</v>
      </c>
      <c r="D420" s="437" t="s">
        <v>251</v>
      </c>
      <c r="E420" s="249"/>
      <c r="F420" s="225">
        <v>133</v>
      </c>
      <c r="G420" s="225">
        <v>106</v>
      </c>
      <c r="H420" s="225">
        <v>90</v>
      </c>
      <c r="I420" s="225">
        <v>121</v>
      </c>
      <c r="J420" s="225">
        <v>153</v>
      </c>
      <c r="K420" s="36">
        <v>162</v>
      </c>
      <c r="L420" s="20"/>
    </row>
    <row r="421" spans="1:12" ht="14.85" customHeight="1" x14ac:dyDescent="0.25">
      <c r="A421" s="1382"/>
      <c r="B421" s="1378"/>
      <c r="C421" s="1160"/>
      <c r="D421" s="403" t="s">
        <v>257</v>
      </c>
      <c r="E421" s="94"/>
      <c r="F421" s="354">
        <v>23</v>
      </c>
      <c r="G421" s="354">
        <v>13</v>
      </c>
      <c r="H421" s="354">
        <v>23</v>
      </c>
      <c r="I421" s="354">
        <v>30</v>
      </c>
      <c r="J421" s="354">
        <v>29</v>
      </c>
      <c r="K421" s="28">
        <v>25</v>
      </c>
      <c r="L421" s="21"/>
    </row>
    <row r="422" spans="1:12" x14ac:dyDescent="0.25">
      <c r="A422" s="1382"/>
      <c r="B422" s="1378"/>
      <c r="C422" s="1160"/>
      <c r="D422" s="403" t="s">
        <v>263</v>
      </c>
      <c r="E422" s="94"/>
      <c r="F422" s="354">
        <v>110</v>
      </c>
      <c r="G422" s="354">
        <v>93</v>
      </c>
      <c r="H422" s="354">
        <v>67</v>
      </c>
      <c r="I422" s="354">
        <v>91</v>
      </c>
      <c r="J422" s="354">
        <v>124</v>
      </c>
      <c r="K422" s="28">
        <v>137</v>
      </c>
      <c r="L422" s="21"/>
    </row>
    <row r="423" spans="1:12" s="64" customFormat="1" ht="16.5" thickBot="1" x14ac:dyDescent="0.3">
      <c r="A423" s="1382"/>
      <c r="B423" s="1378"/>
      <c r="C423" s="1519"/>
      <c r="D423" s="439" t="s">
        <v>270</v>
      </c>
      <c r="E423" s="128"/>
      <c r="F423" s="440">
        <f>(F422*100)/F420</f>
        <v>82.706766917293237</v>
      </c>
      <c r="G423" s="440">
        <f>(G422*100)/G420</f>
        <v>87.735849056603769</v>
      </c>
      <c r="H423" s="440">
        <f>(H422*100)/H420</f>
        <v>74.444444444444443</v>
      </c>
      <c r="I423" s="440">
        <f t="shared" ref="I423:K423" si="34">(I422*100)/I420</f>
        <v>75.206611570247929</v>
      </c>
      <c r="J423" s="440">
        <f t="shared" si="34"/>
        <v>81.045751633986924</v>
      </c>
      <c r="K423" s="440">
        <f t="shared" si="34"/>
        <v>84.567901234567898</v>
      </c>
      <c r="L423" s="352"/>
    </row>
    <row r="424" spans="1:12" ht="14.85" customHeight="1" x14ac:dyDescent="0.25">
      <c r="A424" s="1382"/>
      <c r="B424" s="1378"/>
      <c r="C424" s="1159" t="s">
        <v>522</v>
      </c>
      <c r="D424" s="437" t="s">
        <v>251</v>
      </c>
      <c r="E424" s="249"/>
      <c r="F424" s="225">
        <v>15</v>
      </c>
      <c r="G424" s="225"/>
      <c r="H424" s="225"/>
      <c r="I424" s="225"/>
      <c r="J424" s="225"/>
      <c r="K424" s="36"/>
      <c r="L424" s="20"/>
    </row>
    <row r="425" spans="1:12" ht="14.85" customHeight="1" x14ac:dyDescent="0.25">
      <c r="A425" s="1382"/>
      <c r="B425" s="1378"/>
      <c r="C425" s="1160"/>
      <c r="D425" s="403" t="s">
        <v>257</v>
      </c>
      <c r="E425" s="94"/>
      <c r="F425" s="354">
        <v>14</v>
      </c>
      <c r="G425" s="354"/>
      <c r="H425" s="354"/>
      <c r="I425" s="354"/>
      <c r="J425" s="354"/>
      <c r="K425" s="28"/>
      <c r="L425" s="21"/>
    </row>
    <row r="426" spans="1:12" x14ac:dyDescent="0.25">
      <c r="A426" s="1382"/>
      <c r="B426" s="1378"/>
      <c r="C426" s="1160"/>
      <c r="D426" s="403" t="s">
        <v>263</v>
      </c>
      <c r="E426" s="94"/>
      <c r="F426" s="354">
        <v>1</v>
      </c>
      <c r="G426" s="354"/>
      <c r="H426" s="354"/>
      <c r="I426" s="354"/>
      <c r="J426" s="354"/>
      <c r="K426" s="28"/>
      <c r="L426" s="21"/>
    </row>
    <row r="427" spans="1:12" s="64" customFormat="1" ht="16.5" thickBot="1" x14ac:dyDescent="0.3">
      <c r="A427" s="1382"/>
      <c r="B427" s="1378"/>
      <c r="C427" s="1519"/>
      <c r="D427" s="439" t="s">
        <v>270</v>
      </c>
      <c r="E427" s="128"/>
      <c r="F427" s="442">
        <f>(F426*100)/F424</f>
        <v>6.666666666666667</v>
      </c>
      <c r="G427" s="441"/>
      <c r="H427" s="441"/>
      <c r="I427" s="441"/>
      <c r="J427" s="441"/>
      <c r="K427" s="336"/>
      <c r="L427" s="352"/>
    </row>
    <row r="428" spans="1:12" ht="14.85" customHeight="1" x14ac:dyDescent="0.25">
      <c r="A428" s="1382"/>
      <c r="B428" s="1378"/>
      <c r="C428" s="1159" t="s">
        <v>480</v>
      </c>
      <c r="D428" s="437" t="s">
        <v>251</v>
      </c>
      <c r="E428" s="249"/>
      <c r="F428" s="225"/>
      <c r="G428" s="225"/>
      <c r="H428" s="225"/>
      <c r="I428" s="225">
        <v>38</v>
      </c>
      <c r="J428" s="225">
        <v>82</v>
      </c>
      <c r="K428" s="36">
        <v>102</v>
      </c>
      <c r="L428" s="20"/>
    </row>
    <row r="429" spans="1:12" ht="14.85" customHeight="1" x14ac:dyDescent="0.25">
      <c r="A429" s="1382"/>
      <c r="B429" s="1378"/>
      <c r="C429" s="1160"/>
      <c r="D429" s="403" t="s">
        <v>257</v>
      </c>
      <c r="E429" s="94"/>
      <c r="F429" s="354"/>
      <c r="G429" s="354"/>
      <c r="H429" s="354"/>
      <c r="I429" s="354">
        <v>24</v>
      </c>
      <c r="J429" s="354">
        <v>50</v>
      </c>
      <c r="K429" s="28">
        <v>73</v>
      </c>
      <c r="L429" s="21"/>
    </row>
    <row r="430" spans="1:12" x14ac:dyDescent="0.25">
      <c r="A430" s="1382"/>
      <c r="B430" s="1378"/>
      <c r="C430" s="1160"/>
      <c r="D430" s="403" t="s">
        <v>263</v>
      </c>
      <c r="E430" s="94"/>
      <c r="F430" s="354"/>
      <c r="G430" s="354"/>
      <c r="H430" s="354"/>
      <c r="I430" s="354">
        <v>14</v>
      </c>
      <c r="J430" s="354">
        <v>32</v>
      </c>
      <c r="K430" s="28">
        <v>29</v>
      </c>
      <c r="L430" s="21"/>
    </row>
    <row r="431" spans="1:12" s="64" customFormat="1" ht="16.5" thickBot="1" x14ac:dyDescent="0.3">
      <c r="A431" s="1382"/>
      <c r="B431" s="1378"/>
      <c r="C431" s="1519"/>
      <c r="D431" s="439" t="s">
        <v>270</v>
      </c>
      <c r="E431" s="128"/>
      <c r="F431" s="441"/>
      <c r="G431" s="441"/>
      <c r="H431" s="441"/>
      <c r="I431" s="442">
        <f>(I430*100)/I428</f>
        <v>36.842105263157897</v>
      </c>
      <c r="J431" s="442">
        <f>(J430*100)/J428</f>
        <v>39.024390243902438</v>
      </c>
      <c r="K431" s="442">
        <f>(K430*100)/K428</f>
        <v>28.431372549019606</v>
      </c>
      <c r="L431" s="352"/>
    </row>
    <row r="432" spans="1:12" ht="14.85" customHeight="1" x14ac:dyDescent="0.25">
      <c r="A432" s="1382"/>
      <c r="B432" s="1378"/>
      <c r="C432" s="1159" t="s">
        <v>471</v>
      </c>
      <c r="D432" s="437" t="s">
        <v>251</v>
      </c>
      <c r="E432" s="249"/>
      <c r="F432" s="225"/>
      <c r="G432" s="225"/>
      <c r="H432" s="225"/>
      <c r="I432" s="225">
        <v>4</v>
      </c>
      <c r="J432" s="225">
        <v>25</v>
      </c>
      <c r="K432" s="36">
        <v>48</v>
      </c>
      <c r="L432" s="20"/>
    </row>
    <row r="433" spans="1:12" ht="14.85" customHeight="1" x14ac:dyDescent="0.25">
      <c r="A433" s="1382"/>
      <c r="B433" s="1378"/>
      <c r="C433" s="1160"/>
      <c r="D433" s="403" t="s">
        <v>257</v>
      </c>
      <c r="E433" s="94"/>
      <c r="F433" s="96"/>
      <c r="G433" s="96"/>
      <c r="H433" s="96"/>
      <c r="I433" s="96">
        <v>2</v>
      </c>
      <c r="J433" s="96">
        <v>11</v>
      </c>
      <c r="K433" s="28">
        <v>22</v>
      </c>
      <c r="L433" s="21"/>
    </row>
    <row r="434" spans="1:12" x14ac:dyDescent="0.25">
      <c r="A434" s="1382"/>
      <c r="B434" s="1378"/>
      <c r="C434" s="1160"/>
      <c r="D434" s="403" t="s">
        <v>263</v>
      </c>
      <c r="E434" s="94"/>
      <c r="F434" s="96"/>
      <c r="G434" s="96"/>
      <c r="H434" s="96"/>
      <c r="I434" s="96">
        <v>2</v>
      </c>
      <c r="J434" s="96">
        <v>14</v>
      </c>
      <c r="K434" s="28">
        <v>26</v>
      </c>
      <c r="L434" s="21"/>
    </row>
    <row r="435" spans="1:12" s="64" customFormat="1" ht="16.5" thickBot="1" x14ac:dyDescent="0.3">
      <c r="A435" s="1382"/>
      <c r="B435" s="1378"/>
      <c r="C435" s="1519"/>
      <c r="D435" s="439" t="s">
        <v>270</v>
      </c>
      <c r="E435" s="128"/>
      <c r="F435" s="441"/>
      <c r="G435" s="441"/>
      <c r="H435" s="441"/>
      <c r="I435" s="361">
        <f>(I434*100)/I432</f>
        <v>50</v>
      </c>
      <c r="J435" s="361">
        <f>(J434*100)/J432</f>
        <v>56</v>
      </c>
      <c r="K435" s="361">
        <f>(K434*100)/K432</f>
        <v>54.166666666666664</v>
      </c>
      <c r="L435" s="352"/>
    </row>
    <row r="436" spans="1:12" x14ac:dyDescent="0.25">
      <c r="A436" s="1382"/>
      <c r="B436" s="1378"/>
      <c r="C436" s="1166" t="s">
        <v>472</v>
      </c>
      <c r="D436" s="444" t="s">
        <v>473</v>
      </c>
      <c r="E436" s="249"/>
      <c r="F436" s="261">
        <v>50</v>
      </c>
      <c r="G436" s="261">
        <f>1/4*100</f>
        <v>25</v>
      </c>
      <c r="H436" s="261">
        <f>1/4*100</f>
        <v>25</v>
      </c>
      <c r="I436" s="261">
        <f>2/6*100</f>
        <v>33.333333333333329</v>
      </c>
      <c r="J436" s="261">
        <f>2/6*100</f>
        <v>33.333333333333329</v>
      </c>
      <c r="K436" s="261">
        <f>2/6*100</f>
        <v>33.333333333333329</v>
      </c>
      <c r="L436" s="20"/>
    </row>
    <row r="437" spans="1:12" x14ac:dyDescent="0.25">
      <c r="A437" s="1382"/>
      <c r="B437" s="1378"/>
      <c r="C437" s="1167"/>
      <c r="D437" s="443" t="s">
        <v>474</v>
      </c>
      <c r="E437" s="94"/>
      <c r="F437" s="234">
        <v>50</v>
      </c>
      <c r="G437" s="234">
        <f>3/4*100</f>
        <v>75</v>
      </c>
      <c r="H437" s="234">
        <f>3/4*100</f>
        <v>75</v>
      </c>
      <c r="I437" s="234">
        <v>50</v>
      </c>
      <c r="J437" s="234">
        <v>33.333333333333329</v>
      </c>
      <c r="K437" s="234">
        <v>33.333333333333329</v>
      </c>
      <c r="L437" s="21"/>
    </row>
    <row r="438" spans="1:12" x14ac:dyDescent="0.25">
      <c r="A438" s="1382"/>
      <c r="B438" s="1378"/>
      <c r="C438" s="1168"/>
      <c r="D438" s="445" t="s">
        <v>475</v>
      </c>
      <c r="E438" s="126"/>
      <c r="F438" s="355">
        <v>0</v>
      </c>
      <c r="G438" s="355">
        <v>0</v>
      </c>
      <c r="H438" s="355">
        <v>0</v>
      </c>
      <c r="I438" s="355">
        <f>1/6*100</f>
        <v>16.666666666666664</v>
      </c>
      <c r="J438" s="355">
        <v>33.333333333333329</v>
      </c>
      <c r="K438" s="355">
        <v>33.333333333333329</v>
      </c>
      <c r="L438" s="53"/>
    </row>
    <row r="439" spans="1:12" ht="16.5" thickBot="1" x14ac:dyDescent="0.3">
      <c r="A439" s="1382"/>
      <c r="B439" s="727" t="s">
        <v>249</v>
      </c>
      <c r="C439" s="1531"/>
      <c r="D439" s="1532"/>
      <c r="E439" s="621" t="s">
        <v>442</v>
      </c>
      <c r="F439" s="621" t="s">
        <v>443</v>
      </c>
      <c r="G439" s="621" t="s">
        <v>444</v>
      </c>
      <c r="H439" s="621" t="s">
        <v>445</v>
      </c>
      <c r="I439" s="621" t="s">
        <v>446</v>
      </c>
      <c r="J439" s="621" t="s">
        <v>447</v>
      </c>
      <c r="K439" s="621" t="s">
        <v>448</v>
      </c>
      <c r="L439" s="621" t="s">
        <v>449</v>
      </c>
    </row>
    <row r="440" spans="1:12" s="64" customFormat="1" x14ac:dyDescent="0.25">
      <c r="A440" s="1429"/>
      <c r="B440" s="1378" t="s">
        <v>219</v>
      </c>
      <c r="C440" s="1530" t="s">
        <v>459</v>
      </c>
      <c r="D440" s="1415"/>
      <c r="E440" s="202"/>
      <c r="F440" s="194"/>
      <c r="G440" s="194"/>
      <c r="H440" s="447">
        <v>18</v>
      </c>
      <c r="I440" s="447">
        <v>111</v>
      </c>
      <c r="J440" s="447">
        <v>101</v>
      </c>
      <c r="K440" s="447">
        <v>100</v>
      </c>
      <c r="L440" s="323"/>
    </row>
    <row r="441" spans="1:12" x14ac:dyDescent="0.25">
      <c r="A441" s="1429"/>
      <c r="B441" s="1378"/>
      <c r="C441" s="1330" t="s">
        <v>436</v>
      </c>
      <c r="D441" s="1331"/>
      <c r="E441" s="28"/>
      <c r="F441" s="187"/>
      <c r="G441" s="187"/>
      <c r="H441" s="358">
        <v>11</v>
      </c>
      <c r="I441" s="358">
        <v>78</v>
      </c>
      <c r="J441" s="358">
        <v>67</v>
      </c>
      <c r="K441" s="358">
        <v>73</v>
      </c>
      <c r="L441" s="21"/>
    </row>
    <row r="442" spans="1:12" x14ac:dyDescent="0.25">
      <c r="A442" s="1429"/>
      <c r="B442" s="1378"/>
      <c r="C442" s="1330" t="s">
        <v>437</v>
      </c>
      <c r="D442" s="1331"/>
      <c r="E442" s="96"/>
      <c r="F442" s="96"/>
      <c r="G442" s="96"/>
      <c r="H442" s="358">
        <v>7</v>
      </c>
      <c r="I442" s="358">
        <v>33</v>
      </c>
      <c r="J442" s="358">
        <v>34</v>
      </c>
      <c r="K442" s="358">
        <v>27</v>
      </c>
      <c r="L442" s="21"/>
    </row>
    <row r="443" spans="1:12" x14ac:dyDescent="0.25">
      <c r="A443" s="1429"/>
      <c r="B443" s="1378"/>
      <c r="C443" s="1332" t="s">
        <v>353</v>
      </c>
      <c r="D443" s="1333"/>
      <c r="E443" s="157"/>
      <c r="F443" s="157"/>
      <c r="G443" s="157"/>
      <c r="H443" s="157">
        <f>H442-H441</f>
        <v>-4</v>
      </c>
      <c r="I443" s="157">
        <f>I442-I441</f>
        <v>-45</v>
      </c>
      <c r="J443" s="157">
        <f>J442-J441</f>
        <v>-33</v>
      </c>
      <c r="K443" s="157">
        <f>K442-K441</f>
        <v>-46</v>
      </c>
      <c r="L443" s="21"/>
    </row>
    <row r="444" spans="1:12" ht="16.5" thickBot="1" x14ac:dyDescent="0.3">
      <c r="A444" s="1429"/>
      <c r="B444" s="1378"/>
      <c r="C444" s="1419" t="s">
        <v>270</v>
      </c>
      <c r="D444" s="1310"/>
      <c r="E444" s="360"/>
      <c r="F444" s="360"/>
      <c r="G444" s="360"/>
      <c r="H444" s="423">
        <f>H442/H440*100</f>
        <v>38.888888888888893</v>
      </c>
      <c r="I444" s="423">
        <f>I442/I440*100</f>
        <v>29.72972972972973</v>
      </c>
      <c r="J444" s="423">
        <f>J442/J440*100</f>
        <v>33.663366336633665</v>
      </c>
      <c r="K444" s="423">
        <f>K442/K440*100</f>
        <v>27</v>
      </c>
      <c r="L444" s="53"/>
    </row>
    <row r="445" spans="1:12" x14ac:dyDescent="0.25">
      <c r="A445" s="1429"/>
      <c r="B445" s="1378"/>
      <c r="C445" s="1521" t="s">
        <v>484</v>
      </c>
      <c r="D445" s="1522"/>
      <c r="E445" s="225"/>
      <c r="F445" s="225"/>
      <c r="G445" s="225"/>
      <c r="H445" s="261">
        <v>0</v>
      </c>
      <c r="I445" s="261">
        <f>1/2*100</f>
        <v>50</v>
      </c>
      <c r="J445" s="261">
        <f>1/2*100</f>
        <v>50</v>
      </c>
      <c r="K445" s="315">
        <v>100</v>
      </c>
      <c r="L445" s="20"/>
    </row>
    <row r="446" spans="1:12" x14ac:dyDescent="0.25">
      <c r="A446" s="1429"/>
      <c r="B446" s="1378"/>
      <c r="C446" s="1332" t="s">
        <v>485</v>
      </c>
      <c r="D446" s="1333"/>
      <c r="E446" s="96"/>
      <c r="F446" s="96"/>
      <c r="G446" s="96"/>
      <c r="H446" s="235">
        <v>100</v>
      </c>
      <c r="I446" s="235">
        <v>0</v>
      </c>
      <c r="J446" s="235">
        <v>0</v>
      </c>
      <c r="K446" s="237">
        <v>0</v>
      </c>
      <c r="L446" s="21"/>
    </row>
    <row r="447" spans="1:12" ht="16.5" thickBot="1" x14ac:dyDescent="0.3">
      <c r="A447" s="1429"/>
      <c r="B447" s="1378"/>
      <c r="C447" s="1499" t="s">
        <v>486</v>
      </c>
      <c r="D447" s="1494"/>
      <c r="E447" s="360"/>
      <c r="F447" s="360"/>
      <c r="G447" s="360"/>
      <c r="H447" s="356">
        <v>0</v>
      </c>
      <c r="I447" s="356">
        <f>1/2*100</f>
        <v>50</v>
      </c>
      <c r="J447" s="356">
        <f>1/2*100</f>
        <v>50</v>
      </c>
      <c r="K447" s="361">
        <v>0</v>
      </c>
      <c r="L447" s="53"/>
    </row>
    <row r="448" spans="1:12" ht="16.5" thickBot="1" x14ac:dyDescent="0.3">
      <c r="A448" s="151" t="s">
        <v>248</v>
      </c>
      <c r="B448" s="733" t="s">
        <v>249</v>
      </c>
      <c r="C448" s="1508"/>
      <c r="D448" s="1509"/>
      <c r="E448" s="616">
        <v>2005</v>
      </c>
      <c r="F448" s="616">
        <v>2010</v>
      </c>
      <c r="G448" s="616">
        <v>2015</v>
      </c>
      <c r="H448" s="616">
        <v>2020</v>
      </c>
      <c r="I448" s="616">
        <v>2021</v>
      </c>
      <c r="J448" s="616">
        <v>2022</v>
      </c>
      <c r="K448" s="616">
        <v>2023</v>
      </c>
      <c r="L448" s="616">
        <v>2024</v>
      </c>
    </row>
    <row r="449" spans="1:17" s="64" customFormat="1" ht="15" customHeight="1" x14ac:dyDescent="0.25">
      <c r="A449" s="1338" t="s">
        <v>487</v>
      </c>
      <c r="B449" s="1119" t="s">
        <v>227</v>
      </c>
      <c r="C449" s="1465" t="s">
        <v>435</v>
      </c>
      <c r="D449" s="1520"/>
      <c r="E449" s="40"/>
      <c r="F449" s="40"/>
      <c r="G449" s="40"/>
      <c r="H449" s="40"/>
      <c r="I449" s="40"/>
      <c r="J449" s="40"/>
      <c r="K449" s="195">
        <v>1200</v>
      </c>
      <c r="L449" s="1070">
        <v>1264</v>
      </c>
      <c r="M449" s="11"/>
      <c r="N449" s="11"/>
      <c r="O449" s="11"/>
      <c r="P449" s="11"/>
      <c r="Q449" s="11"/>
    </row>
    <row r="450" spans="1:17" x14ac:dyDescent="0.25">
      <c r="A450" s="1338"/>
      <c r="B450" s="1119"/>
      <c r="C450" s="1330" t="s">
        <v>533</v>
      </c>
      <c r="D450" s="1331"/>
      <c r="E450" s="28"/>
      <c r="F450" s="28"/>
      <c r="G450" s="28"/>
      <c r="H450" s="28"/>
      <c r="I450" s="28"/>
      <c r="J450" s="28"/>
      <c r="K450" s="28">
        <v>317</v>
      </c>
      <c r="L450" s="21">
        <v>329</v>
      </c>
    </row>
    <row r="451" spans="1:17" ht="16.5" thickBot="1" x14ac:dyDescent="0.3">
      <c r="A451" s="1338"/>
      <c r="B451" s="1119"/>
      <c r="C451" s="1528" t="s">
        <v>534</v>
      </c>
      <c r="D451" s="1529"/>
      <c r="E451" s="33"/>
      <c r="F451" s="33"/>
      <c r="G451" s="33"/>
      <c r="H451" s="33"/>
      <c r="I451" s="33"/>
      <c r="J451" s="33"/>
      <c r="K451" s="33">
        <v>883</v>
      </c>
      <c r="L451" s="22">
        <v>935</v>
      </c>
    </row>
    <row r="452" spans="1:17" x14ac:dyDescent="0.25">
      <c r="A452" s="1338"/>
      <c r="B452" s="1119"/>
      <c r="C452" s="1507" t="s">
        <v>353</v>
      </c>
      <c r="D452" s="1228"/>
      <c r="E452" s="122"/>
      <c r="F452" s="122"/>
      <c r="G452" s="122"/>
      <c r="H452" s="122"/>
      <c r="I452" s="122"/>
      <c r="J452" s="122"/>
      <c r="K452" s="446">
        <f t="shared" ref="K452" si="35">K451-K450</f>
        <v>566</v>
      </c>
      <c r="L452" s="323">
        <v>606</v>
      </c>
    </row>
    <row r="453" spans="1:17" ht="16.5" thickBot="1" x14ac:dyDescent="0.3">
      <c r="A453" s="1338"/>
      <c r="B453" s="1404"/>
      <c r="C453" s="1419" t="s">
        <v>270</v>
      </c>
      <c r="D453" s="1310"/>
      <c r="E453" s="441"/>
      <c r="F453" s="441"/>
      <c r="G453" s="441"/>
      <c r="H453" s="441"/>
      <c r="I453" s="441"/>
      <c r="J453" s="441"/>
      <c r="K453" s="165">
        <f t="shared" ref="K453" si="36">K451/K449*100</f>
        <v>73.583333333333329</v>
      </c>
      <c r="L453" s="166">
        <v>73.971518987341767</v>
      </c>
    </row>
    <row r="454" spans="1:17" x14ac:dyDescent="0.25">
      <c r="A454" s="1338"/>
      <c r="B454" s="1276" t="s">
        <v>488</v>
      </c>
      <c r="C454" s="1521" t="s">
        <v>489</v>
      </c>
      <c r="D454" s="1522"/>
      <c r="E454" s="40"/>
      <c r="F454" s="40">
        <v>51</v>
      </c>
      <c r="G454" s="40">
        <v>80</v>
      </c>
      <c r="H454" s="40">
        <v>115</v>
      </c>
      <c r="I454" s="40"/>
      <c r="J454" s="40"/>
      <c r="K454" s="40">
        <v>123</v>
      </c>
      <c r="L454" s="1070">
        <v>34</v>
      </c>
    </row>
    <row r="455" spans="1:17" x14ac:dyDescent="0.25">
      <c r="A455" s="1338"/>
      <c r="B455" s="1119"/>
      <c r="C455" s="1332" t="s">
        <v>490</v>
      </c>
      <c r="D455" s="1333"/>
      <c r="E455" s="44"/>
      <c r="F455" s="44">
        <v>3</v>
      </c>
      <c r="G455" s="44">
        <v>3</v>
      </c>
      <c r="H455" s="44">
        <v>5</v>
      </c>
      <c r="I455" s="44"/>
      <c r="J455" s="44"/>
      <c r="K455" s="44">
        <v>4</v>
      </c>
      <c r="L455" s="1070">
        <v>2</v>
      </c>
    </row>
    <row r="456" spans="1:17" ht="16.5" thickBot="1" x14ac:dyDescent="0.3">
      <c r="A456" s="1338"/>
      <c r="B456" s="1119"/>
      <c r="C456" s="1499" t="s">
        <v>491</v>
      </c>
      <c r="D456" s="1494"/>
      <c r="E456" s="336"/>
      <c r="F456" s="165">
        <f>F455/F454*100</f>
        <v>5.8823529411764701</v>
      </c>
      <c r="G456" s="165">
        <f t="shared" ref="G456:H456" si="37">G455/G454*100</f>
        <v>3.75</v>
      </c>
      <c r="H456" s="165">
        <f t="shared" si="37"/>
        <v>4.3478260869565215</v>
      </c>
      <c r="I456" s="336"/>
      <c r="J456" s="336"/>
      <c r="K456" s="165">
        <f>K455/K454*100</f>
        <v>3.2520325203252036</v>
      </c>
      <c r="L456" s="1071">
        <v>5.8823529411764701</v>
      </c>
    </row>
    <row r="457" spans="1:17" ht="16.5" thickBot="1" x14ac:dyDescent="0.3">
      <c r="A457" s="151" t="s">
        <v>248</v>
      </c>
      <c r="B457" s="734" t="s">
        <v>249</v>
      </c>
      <c r="C457" s="1508"/>
      <c r="D457" s="1509"/>
      <c r="E457" s="617">
        <v>2005</v>
      </c>
      <c r="F457" s="617">
        <v>2010</v>
      </c>
      <c r="G457" s="617">
        <v>2015</v>
      </c>
      <c r="H457" s="617">
        <v>2020</v>
      </c>
      <c r="I457" s="617">
        <v>2021</v>
      </c>
      <c r="J457" s="617">
        <v>2022</v>
      </c>
      <c r="K457" s="616">
        <v>2023</v>
      </c>
      <c r="L457" s="616">
        <v>2024</v>
      </c>
    </row>
    <row r="458" spans="1:17" ht="15" customHeight="1" thickBot="1" x14ac:dyDescent="0.3">
      <c r="A458" s="1261" t="s">
        <v>492</v>
      </c>
      <c r="B458" s="1443" t="s">
        <v>493</v>
      </c>
      <c r="C458" s="1523" t="s">
        <v>459</v>
      </c>
      <c r="D458" s="1524"/>
      <c r="E458" s="449"/>
      <c r="F458" s="450">
        <v>1931</v>
      </c>
      <c r="G458" s="450">
        <v>2039</v>
      </c>
      <c r="H458" s="450">
        <v>2486</v>
      </c>
      <c r="I458" s="450">
        <v>3072</v>
      </c>
      <c r="J458" s="450">
        <v>3465</v>
      </c>
      <c r="K458" s="450">
        <v>3190</v>
      </c>
      <c r="L458" s="450">
        <v>3252</v>
      </c>
    </row>
    <row r="459" spans="1:17" x14ac:dyDescent="0.25">
      <c r="A459" s="1261"/>
      <c r="B459" s="1443"/>
      <c r="C459" s="1159" t="s">
        <v>436</v>
      </c>
      <c r="D459" s="451" t="s">
        <v>494</v>
      </c>
      <c r="E459" s="36"/>
      <c r="F459" s="225">
        <v>897</v>
      </c>
      <c r="G459" s="225">
        <v>949</v>
      </c>
      <c r="H459" s="225">
        <v>1401</v>
      </c>
      <c r="I459" s="225">
        <v>1689</v>
      </c>
      <c r="J459" s="225">
        <v>1931</v>
      </c>
      <c r="K459" s="225">
        <v>1834</v>
      </c>
      <c r="L459" s="20">
        <v>1856</v>
      </c>
    </row>
    <row r="460" spans="1:17" x14ac:dyDescent="0.25">
      <c r="A460" s="1261"/>
      <c r="B460" s="1443"/>
      <c r="C460" s="1160"/>
      <c r="D460" s="403" t="s">
        <v>495</v>
      </c>
      <c r="E460" s="28"/>
      <c r="F460" s="96">
        <v>148</v>
      </c>
      <c r="G460" s="96">
        <v>142</v>
      </c>
      <c r="H460" s="96">
        <v>148</v>
      </c>
      <c r="I460" s="96">
        <v>202</v>
      </c>
      <c r="J460" s="96">
        <v>218</v>
      </c>
      <c r="K460" s="96">
        <v>205</v>
      </c>
      <c r="L460" s="21">
        <v>187</v>
      </c>
    </row>
    <row r="461" spans="1:17" x14ac:dyDescent="0.25">
      <c r="A461" s="1261"/>
      <c r="B461" s="1443"/>
      <c r="C461" s="1160" t="s">
        <v>437</v>
      </c>
      <c r="D461" s="403" t="s">
        <v>496</v>
      </c>
      <c r="E461" s="28"/>
      <c r="F461" s="96">
        <v>237</v>
      </c>
      <c r="G461" s="96">
        <v>268</v>
      </c>
      <c r="H461" s="96">
        <v>469</v>
      </c>
      <c r="I461" s="96">
        <v>554</v>
      </c>
      <c r="J461" s="96">
        <v>617</v>
      </c>
      <c r="K461" s="96">
        <v>575</v>
      </c>
      <c r="L461" s="21">
        <v>558</v>
      </c>
    </row>
    <row r="462" spans="1:17" ht="16.5" thickBot="1" x14ac:dyDescent="0.3">
      <c r="A462" s="1261"/>
      <c r="B462" s="1443"/>
      <c r="C462" s="1161"/>
      <c r="D462" s="452" t="s">
        <v>497</v>
      </c>
      <c r="E462" s="33"/>
      <c r="F462" s="190">
        <v>198</v>
      </c>
      <c r="G462" s="190">
        <v>217</v>
      </c>
      <c r="H462" s="190">
        <v>250</v>
      </c>
      <c r="I462" s="190">
        <v>298</v>
      </c>
      <c r="J462" s="190">
        <v>296</v>
      </c>
      <c r="K462" s="190">
        <v>261</v>
      </c>
      <c r="L462" s="22">
        <v>341</v>
      </c>
    </row>
    <row r="463" spans="1:17" x14ac:dyDescent="0.25">
      <c r="A463" s="1261"/>
      <c r="B463" s="1443"/>
      <c r="C463" s="1263" t="s">
        <v>353</v>
      </c>
      <c r="D463" s="453" t="s">
        <v>498</v>
      </c>
      <c r="E463" s="36"/>
      <c r="F463" s="81">
        <f t="shared" ref="F463:L463" si="38">+F461-F459</f>
        <v>-660</v>
      </c>
      <c r="G463" s="81">
        <f t="shared" si="38"/>
        <v>-681</v>
      </c>
      <c r="H463" s="81">
        <f t="shared" si="38"/>
        <v>-932</v>
      </c>
      <c r="I463" s="81">
        <f t="shared" si="38"/>
        <v>-1135</v>
      </c>
      <c r="J463" s="81">
        <f t="shared" si="38"/>
        <v>-1314</v>
      </c>
      <c r="K463" s="81">
        <f t="shared" si="38"/>
        <v>-1259</v>
      </c>
      <c r="L463" s="81">
        <f t="shared" si="38"/>
        <v>-1298</v>
      </c>
    </row>
    <row r="464" spans="1:17" x14ac:dyDescent="0.25">
      <c r="A464" s="1261"/>
      <c r="B464" s="1443"/>
      <c r="C464" s="1256"/>
      <c r="D464" s="436" t="s">
        <v>499</v>
      </c>
      <c r="E464" s="28"/>
      <c r="F464" s="79">
        <f t="shared" ref="F464:L464" si="39">F462-F460</f>
        <v>50</v>
      </c>
      <c r="G464" s="79">
        <f t="shared" si="39"/>
        <v>75</v>
      </c>
      <c r="H464" s="79">
        <f t="shared" si="39"/>
        <v>102</v>
      </c>
      <c r="I464" s="79">
        <f t="shared" si="39"/>
        <v>96</v>
      </c>
      <c r="J464" s="79">
        <f t="shared" si="39"/>
        <v>78</v>
      </c>
      <c r="K464" s="79">
        <f t="shared" si="39"/>
        <v>56</v>
      </c>
      <c r="L464" s="79">
        <f t="shared" si="39"/>
        <v>154</v>
      </c>
    </row>
    <row r="465" spans="1:12" ht="16.5" customHeight="1" x14ac:dyDescent="0.25">
      <c r="A465" s="1261"/>
      <c r="B465" s="1443"/>
      <c r="C465" s="1256" t="s">
        <v>270</v>
      </c>
      <c r="D465" s="436" t="s">
        <v>500</v>
      </c>
      <c r="E465" s="28"/>
      <c r="F465" s="263">
        <f>+F461/(F461+F459)*100</f>
        <v>20.899470899470899</v>
      </c>
      <c r="G465" s="263">
        <f t="shared" ref="G465:L466" si="40">+G461/(G461+G459)*100</f>
        <v>22.02136400986031</v>
      </c>
      <c r="H465" s="263">
        <f t="shared" si="40"/>
        <v>25.080213903743314</v>
      </c>
      <c r="I465" s="263">
        <f t="shared" si="40"/>
        <v>24.699063753901026</v>
      </c>
      <c r="J465" s="263">
        <f t="shared" si="40"/>
        <v>24.215070643642072</v>
      </c>
      <c r="K465" s="263">
        <f t="shared" si="40"/>
        <v>23.868825238688252</v>
      </c>
      <c r="L465" s="263">
        <f t="shared" si="40"/>
        <v>23.11516155758078</v>
      </c>
    </row>
    <row r="466" spans="1:12" ht="16.5" thickBot="1" x14ac:dyDescent="0.3">
      <c r="A466" s="1262"/>
      <c r="B466" s="1444"/>
      <c r="C466" s="1257"/>
      <c r="D466" s="438" t="s">
        <v>501</v>
      </c>
      <c r="E466" s="33"/>
      <c r="F466" s="230">
        <f>+F462/(F462+F460)*100</f>
        <v>57.225433526011557</v>
      </c>
      <c r="G466" s="230">
        <f t="shared" si="40"/>
        <v>60.445682451253482</v>
      </c>
      <c r="H466" s="230">
        <f t="shared" si="40"/>
        <v>62.814070351758801</v>
      </c>
      <c r="I466" s="230">
        <f t="shared" si="40"/>
        <v>59.599999999999994</v>
      </c>
      <c r="J466" s="230">
        <f t="shared" si="40"/>
        <v>57.58754863813229</v>
      </c>
      <c r="K466" s="230">
        <f t="shared" si="40"/>
        <v>56.008583690987123</v>
      </c>
      <c r="L466" s="230">
        <f t="shared" si="40"/>
        <v>64.583333333333343</v>
      </c>
    </row>
  </sheetData>
  <mergeCells count="227">
    <mergeCell ref="A449:A456"/>
    <mergeCell ref="B449:B453"/>
    <mergeCell ref="C449:D449"/>
    <mergeCell ref="C450:D450"/>
    <mergeCell ref="C451:D451"/>
    <mergeCell ref="C372:D372"/>
    <mergeCell ref="C373:D373"/>
    <mergeCell ref="C374:D374"/>
    <mergeCell ref="C375:D375"/>
    <mergeCell ref="C388:C391"/>
    <mergeCell ref="C376:C379"/>
    <mergeCell ref="C424:C427"/>
    <mergeCell ref="C428:C431"/>
    <mergeCell ref="C432:C435"/>
    <mergeCell ref="B454:B456"/>
    <mergeCell ref="C454:D454"/>
    <mergeCell ref="C456:D456"/>
    <mergeCell ref="C440:D440"/>
    <mergeCell ref="C441:D441"/>
    <mergeCell ref="C442:D442"/>
    <mergeCell ref="C443:D443"/>
    <mergeCell ref="C439:D439"/>
    <mergeCell ref="C455:D455"/>
    <mergeCell ref="C453:D453"/>
    <mergeCell ref="C465:C466"/>
    <mergeCell ref="B458:B466"/>
    <mergeCell ref="A458:A466"/>
    <mergeCell ref="C384:C387"/>
    <mergeCell ref="C380:C383"/>
    <mergeCell ref="C400:D400"/>
    <mergeCell ref="C401:D401"/>
    <mergeCell ref="C402:D402"/>
    <mergeCell ref="C408:C411"/>
    <mergeCell ref="C412:C415"/>
    <mergeCell ref="C416:C419"/>
    <mergeCell ref="C404:C407"/>
    <mergeCell ref="C396:C398"/>
    <mergeCell ref="C444:D444"/>
    <mergeCell ref="C445:D445"/>
    <mergeCell ref="C446:D446"/>
    <mergeCell ref="C447:D447"/>
    <mergeCell ref="C458:D458"/>
    <mergeCell ref="C448:D448"/>
    <mergeCell ref="C399:D399"/>
    <mergeCell ref="C392:C395"/>
    <mergeCell ref="C403:D403"/>
    <mergeCell ref="C436:C438"/>
    <mergeCell ref="C420:C423"/>
    <mergeCell ref="C459:C460"/>
    <mergeCell ref="C461:C462"/>
    <mergeCell ref="C463:C464"/>
    <mergeCell ref="C452:D452"/>
    <mergeCell ref="A317:A340"/>
    <mergeCell ref="B317:B321"/>
    <mergeCell ref="C317:D317"/>
    <mergeCell ref="C318:D318"/>
    <mergeCell ref="C319:D319"/>
    <mergeCell ref="C320:D320"/>
    <mergeCell ref="C321:D321"/>
    <mergeCell ref="C322:D322"/>
    <mergeCell ref="C457:D457"/>
    <mergeCell ref="C368:D368"/>
    <mergeCell ref="C369:D369"/>
    <mergeCell ref="C370:D370"/>
    <mergeCell ref="C341:D341"/>
    <mergeCell ref="A342:A349"/>
    <mergeCell ref="B342:B345"/>
    <mergeCell ref="C342:D342"/>
    <mergeCell ref="A362:A447"/>
    <mergeCell ref="A351:A360"/>
    <mergeCell ref="B351:B360"/>
    <mergeCell ref="B440:B447"/>
    <mergeCell ref="B346:B349"/>
    <mergeCell ref="C346:D346"/>
    <mergeCell ref="C347:D347"/>
    <mergeCell ref="C348:D348"/>
    <mergeCell ref="C349:D349"/>
    <mergeCell ref="B400:B438"/>
    <mergeCell ref="B372:B398"/>
    <mergeCell ref="C350:D350"/>
    <mergeCell ref="C358:D358"/>
    <mergeCell ref="C359:D359"/>
    <mergeCell ref="C360:D360"/>
    <mergeCell ref="C361:D361"/>
    <mergeCell ref="B362:B370"/>
    <mergeCell ref="C351:C353"/>
    <mergeCell ref="C354:C356"/>
    <mergeCell ref="C362:C364"/>
    <mergeCell ref="C365:C367"/>
    <mergeCell ref="C357:D357"/>
    <mergeCell ref="C371:D371"/>
    <mergeCell ref="B336:B340"/>
    <mergeCell ref="C336:D336"/>
    <mergeCell ref="C337:D337"/>
    <mergeCell ref="C338:D338"/>
    <mergeCell ref="C339:D339"/>
    <mergeCell ref="C340:D340"/>
    <mergeCell ref="B322:B325"/>
    <mergeCell ref="C316:D316"/>
    <mergeCell ref="B326:B335"/>
    <mergeCell ref="C326:C330"/>
    <mergeCell ref="C324:D324"/>
    <mergeCell ref="C325:D325"/>
    <mergeCell ref="C323:D323"/>
    <mergeCell ref="C331:C335"/>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A3:A45"/>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45:D45"/>
    <mergeCell ref="C46:D46"/>
    <mergeCell ref="B36:B40"/>
    <mergeCell ref="C36:D36"/>
    <mergeCell ref="C37:D37"/>
    <mergeCell ref="C38:D38"/>
    <mergeCell ref="C39:D39"/>
    <mergeCell ref="C40:D40"/>
    <mergeCell ref="B31:B35"/>
    <mergeCell ref="B41:B45"/>
    <mergeCell ref="C41:D41"/>
    <mergeCell ref="C42:D42"/>
    <mergeCell ref="C43:D43"/>
    <mergeCell ref="C33:D33"/>
    <mergeCell ref="C34:D34"/>
    <mergeCell ref="C35:D3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343:D343"/>
    <mergeCell ref="C344:D344"/>
    <mergeCell ref="C345:D345"/>
    <mergeCell ref="C257:C260"/>
    <mergeCell ref="C297:C300"/>
    <mergeCell ref="C301:C304"/>
    <mergeCell ref="C305:C308"/>
    <mergeCell ref="C309:C312"/>
    <mergeCell ref="C313:D313"/>
    <mergeCell ref="C314:D314"/>
    <mergeCell ref="C315:D315"/>
    <mergeCell ref="C261:C264"/>
    <mergeCell ref="C265:C268"/>
    <mergeCell ref="C269:C272"/>
    <mergeCell ref="C273:C276"/>
    <mergeCell ref="C277:C280"/>
    <mergeCell ref="C281:C284"/>
    <mergeCell ref="C285:C288"/>
    <mergeCell ref="C289:C292"/>
    <mergeCell ref="C293:C296"/>
  </mergeCells>
  <conditionalFormatting sqref="E349:F349">
    <cfRule type="cellIs" dxfId="1106" priority="199" operator="greaterThan">
      <formula>0</formula>
    </cfRule>
    <cfRule type="cellIs" dxfId="1105" priority="198" operator="lessThan">
      <formula>0</formula>
    </cfRule>
  </conditionalFormatting>
  <conditionalFormatting sqref="E39:L39">
    <cfRule type="cellIs" dxfId="1104" priority="335" operator="greaterThan">
      <formula>1</formula>
    </cfRule>
    <cfRule type="cellIs" dxfId="1103" priority="334" operator="lessThan">
      <formula>1</formula>
    </cfRule>
    <cfRule type="cellIs" dxfId="1102" priority="333" operator="greaterThan">
      <formula>1</formula>
    </cfRule>
    <cfRule type="cellIs" dxfId="1101" priority="332" operator="greaterThan">
      <formula>1</formula>
    </cfRule>
  </conditionalFormatting>
  <conditionalFormatting sqref="E40:L40">
    <cfRule type="cellIs" dxfId="1100" priority="331" operator="greaterThan">
      <formula>50</formula>
    </cfRule>
    <cfRule type="cellIs" dxfId="1099" priority="337" operator="greaterThan">
      <formula>50</formula>
    </cfRule>
    <cfRule type="cellIs" dxfId="1098" priority="336" operator="lessThan">
      <formula>50</formula>
    </cfRule>
  </conditionalFormatting>
  <conditionalFormatting sqref="E44:L44">
    <cfRule type="cellIs" dxfId="1097" priority="330" operator="greaterThan">
      <formula>1</formula>
    </cfRule>
    <cfRule type="cellIs" dxfId="1096" priority="329" operator="lessThan">
      <formula>1</formula>
    </cfRule>
    <cfRule type="cellIs" dxfId="1095" priority="328" operator="greaterThan">
      <formula>1</formula>
    </cfRule>
    <cfRule type="cellIs" dxfId="1094" priority="327" operator="greaterThan">
      <formula>1</formula>
    </cfRule>
  </conditionalFormatting>
  <conditionalFormatting sqref="E45:L45">
    <cfRule type="cellIs" dxfId="1093" priority="325" operator="lessThan">
      <formula>50</formula>
    </cfRule>
    <cfRule type="cellIs" dxfId="1092" priority="324" operator="greaterThan">
      <formula>50</formula>
    </cfRule>
    <cfRule type="cellIs" dxfId="1091" priority="326" operator="greaterThan">
      <formula>50</formula>
    </cfRule>
  </conditionalFormatting>
  <conditionalFormatting sqref="E50:L50">
    <cfRule type="cellIs" dxfId="1090" priority="104" operator="greaterThan">
      <formula>1</formula>
    </cfRule>
    <cfRule type="cellIs" dxfId="1089" priority="105" operator="greaterThan">
      <formula>1</formula>
    </cfRule>
    <cfRule type="cellIs" dxfId="1088" priority="106" operator="lessThan">
      <formula>1</formula>
    </cfRule>
    <cfRule type="cellIs" dxfId="1087" priority="107" operator="greaterThan">
      <formula>1</formula>
    </cfRule>
    <cfRule type="cellIs" dxfId="1086" priority="103" operator="lessThan">
      <formula>1</formula>
    </cfRule>
  </conditionalFormatting>
  <conditionalFormatting sqref="E51:L51">
    <cfRule type="cellIs" dxfId="1085" priority="115" operator="lessThan">
      <formula>50</formula>
    </cfRule>
    <cfRule type="cellIs" dxfId="1084" priority="116" operator="greaterThan">
      <formula>50</formula>
    </cfRule>
    <cfRule type="cellIs" dxfId="1083" priority="114" operator="greaterThan">
      <formula>50</formula>
    </cfRule>
  </conditionalFormatting>
  <conditionalFormatting sqref="F370:K370">
    <cfRule type="cellIs" dxfId="1082" priority="95" operator="lessThan">
      <formula>0</formula>
    </cfRule>
  </conditionalFormatting>
  <conditionalFormatting sqref="F320:L321">
    <cfRule type="cellIs" dxfId="1081" priority="209" operator="lessThan">
      <formula>1</formula>
    </cfRule>
  </conditionalFormatting>
  <conditionalFormatting sqref="F463:L463">
    <cfRule type="cellIs" dxfId="1080" priority="23" operator="lessThan">
      <formula>0</formula>
    </cfRule>
  </conditionalFormatting>
  <conditionalFormatting sqref="F464:L466">
    <cfRule type="cellIs" dxfId="1079" priority="21" operator="greaterThan">
      <formula>0</formula>
    </cfRule>
  </conditionalFormatting>
  <conditionalFormatting sqref="F466:L466">
    <cfRule type="cellIs" dxfId="1078" priority="26" operator="lessThan">
      <formula>0</formula>
    </cfRule>
    <cfRule type="cellIs" dxfId="1077" priority="25" operator="greaterThan">
      <formula>0</formula>
    </cfRule>
  </conditionalFormatting>
  <conditionalFormatting sqref="G360:K360">
    <cfRule type="cellIs" dxfId="1076" priority="35" operator="lessThan">
      <formula>0</formula>
    </cfRule>
    <cfRule type="cellIs" dxfId="1075" priority="36" operator="greaterThan">
      <formula>0</formula>
    </cfRule>
  </conditionalFormatting>
  <conditionalFormatting sqref="G325:L325">
    <cfRule type="cellIs" dxfId="1074" priority="37" operator="lessThan">
      <formula>1</formula>
    </cfRule>
  </conditionalFormatting>
  <conditionalFormatting sqref="H443:J443">
    <cfRule type="cellIs" dxfId="1073" priority="12" operator="greaterThan">
      <formula>0</formula>
    </cfRule>
  </conditionalFormatting>
  <conditionalFormatting sqref="H59:K59">
    <cfRule type="cellIs" dxfId="1072" priority="110" operator="greaterThan">
      <formula>0</formula>
    </cfRule>
  </conditionalFormatting>
  <conditionalFormatting sqref="H60:K60">
    <cfRule type="cellIs" dxfId="1071" priority="109" operator="greaterThan">
      <formula>50</formula>
    </cfRule>
    <cfRule type="cellIs" dxfId="1070" priority="108" operator="lessThan">
      <formula>50</formula>
    </cfRule>
    <cfRule type="cellIs" dxfId="1069" priority="111" operator="lessThan">
      <formula>50</formula>
    </cfRule>
    <cfRule type="cellIs" dxfId="1068" priority="112" operator="greaterThan">
      <formula>50</formula>
    </cfRule>
  </conditionalFormatting>
  <conditionalFormatting sqref="H339:K339">
    <cfRule type="cellIs" dxfId="1067" priority="244" operator="lessThan">
      <formula>0</formula>
    </cfRule>
  </conditionalFormatting>
  <conditionalFormatting sqref="H340:K340">
    <cfRule type="cellIs" dxfId="1066" priority="243" operator="lessThan">
      <formula>50</formula>
    </cfRule>
  </conditionalFormatting>
  <conditionalFormatting sqref="H443:K443">
    <cfRule type="cellIs" dxfId="1065" priority="11" operator="lessThan">
      <formula>0</formula>
    </cfRule>
  </conditionalFormatting>
  <conditionalFormatting sqref="H444:K444">
    <cfRule type="cellIs" dxfId="1064" priority="14" operator="greaterThan">
      <formula>50</formula>
    </cfRule>
    <cfRule type="cellIs" dxfId="1063" priority="13" operator="lessThan">
      <formula>50</formula>
    </cfRule>
  </conditionalFormatting>
  <conditionalFormatting sqref="H55:L55">
    <cfRule type="cellIs" dxfId="1062" priority="113" operator="greaterThan">
      <formula>0</formula>
    </cfRule>
  </conditionalFormatting>
  <conditionalFormatting sqref="J329">
    <cfRule type="cellIs" dxfId="1061" priority="234" operator="greaterThan">
      <formula>0</formula>
    </cfRule>
    <cfRule type="cellIs" dxfId="1060" priority="235" operator="lessThan">
      <formula>1</formula>
    </cfRule>
  </conditionalFormatting>
  <conditionalFormatting sqref="J330">
    <cfRule type="cellIs" dxfId="1059" priority="233" operator="greaterThan">
      <formula>50</formula>
    </cfRule>
    <cfRule type="cellIs" dxfId="1058" priority="236" operator="lessThan">
      <formula>50</formula>
    </cfRule>
  </conditionalFormatting>
  <conditionalFormatting sqref="J334:L334">
    <cfRule type="cellIs" dxfId="1057" priority="246" operator="lessThan">
      <formula>1</formula>
    </cfRule>
    <cfRule type="cellIs" dxfId="1056" priority="245" operator="greaterThan">
      <formula>0</formula>
    </cfRule>
  </conditionalFormatting>
  <conditionalFormatting sqref="K453">
    <cfRule type="cellIs" dxfId="1055" priority="20" operator="greaterThan">
      <formula>50</formula>
    </cfRule>
    <cfRule type="cellIs" dxfId="1054" priority="19" operator="lessThan">
      <formula>50</formula>
    </cfRule>
    <cfRule type="cellIs" dxfId="1053" priority="18" operator="lessThan">
      <formula>50</formula>
    </cfRule>
  </conditionalFormatting>
  <hyperlinks>
    <hyperlink ref="M1" location="INDICADORES!A1" display="INDICADORES" xr:uid="{3D07E864-A9CA-4384-B341-5FD37A92F24D}"/>
    <hyperlink ref="O1" location="DISTRITOS!A1" display="DISTRITOS" xr:uid="{9F49796A-8405-42FA-8998-2FCF4982B646}"/>
  </hyperlinks>
  <pageMargins left="0.7" right="0.7" top="0.75" bottom="0.75" header="0.3" footer="0.3"/>
  <pageSetup paperSize="9" orientation="portrait" r:id="rId1"/>
  <ignoredErrors>
    <ignoredError sqref="G39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6F90F-275E-431A-9749-37F71FA797E5}">
  <sheetPr codeName="Hoja8">
    <tabColor theme="8" tint="-0.249977111117893"/>
  </sheetPr>
  <dimension ref="A1:GP458"/>
  <sheetViews>
    <sheetView showGridLines="0" zoomScale="80" zoomScaleNormal="80" workbookViewId="0">
      <pane ySplit="2" topLeftCell="A37" activePane="bottomLeft" state="frozen"/>
      <selection activeCell="F334" sqref="F334"/>
      <selection pane="bottomLeft" activeCell="Q434" sqref="Q434"/>
    </sheetView>
  </sheetViews>
  <sheetFormatPr baseColWidth="10" defaultColWidth="11.42578125" defaultRowHeight="15.75" x14ac:dyDescent="0.25"/>
  <cols>
    <col min="1" max="1" width="26.5703125" style="64" customWidth="1"/>
    <col min="2" max="2" width="50.5703125" style="205" customWidth="1"/>
    <col min="3" max="4" width="30.5703125" style="11" customWidth="1"/>
    <col min="5" max="12" width="13.5703125" style="11" customWidth="1"/>
    <col min="13" max="13" width="14.5703125" style="11" customWidth="1"/>
    <col min="14" max="14" width="3.42578125" style="11" customWidth="1"/>
    <col min="15" max="15" width="14.5703125" style="11" customWidth="1"/>
    <col min="16" max="16384" width="11.42578125" style="11"/>
  </cols>
  <sheetData>
    <row r="1" spans="1:198" ht="30" customHeight="1" thickTop="1" thickBot="1" x14ac:dyDescent="0.3">
      <c r="A1" s="1020" t="s">
        <v>542</v>
      </c>
      <c r="B1" s="1020"/>
      <c r="C1" s="1020"/>
      <c r="D1" s="1020"/>
      <c r="E1" s="1020"/>
      <c r="F1" s="1020"/>
      <c r="G1" s="1020"/>
      <c r="H1" s="1020"/>
      <c r="I1" s="1020"/>
      <c r="J1" s="1020"/>
      <c r="K1" s="1020"/>
      <c r="M1" s="1032" t="s">
        <v>246</v>
      </c>
      <c r="N1" s="480"/>
      <c r="O1" s="1033" t="s">
        <v>247</v>
      </c>
      <c r="CG1" s="1034"/>
      <c r="CH1" s="1035"/>
      <c r="CI1" s="1035"/>
      <c r="CJ1" s="1035"/>
      <c r="CK1" s="1035"/>
      <c r="CL1" s="1035"/>
      <c r="CM1" s="1035"/>
      <c r="CN1" s="1035"/>
      <c r="CO1" s="1035"/>
      <c r="CP1" s="1036"/>
    </row>
    <row r="2" spans="1:198" ht="18" customHeight="1" thickBot="1" x14ac:dyDescent="0.3">
      <c r="A2" s="727" t="s">
        <v>248</v>
      </c>
      <c r="B2" s="736" t="s">
        <v>249</v>
      </c>
      <c r="C2" s="1536"/>
      <c r="D2" s="1536"/>
      <c r="E2" s="120">
        <v>2005</v>
      </c>
      <c r="F2" s="120">
        <v>2010</v>
      </c>
      <c r="G2" s="120">
        <v>2015</v>
      </c>
      <c r="H2" s="120">
        <v>2020</v>
      </c>
      <c r="I2" s="120">
        <v>2021</v>
      </c>
      <c r="J2" s="120">
        <v>2022</v>
      </c>
      <c r="K2" s="120">
        <v>2023</v>
      </c>
      <c r="L2" s="1031">
        <v>2024</v>
      </c>
      <c r="BH2" s="1040"/>
      <c r="BI2" s="1042"/>
      <c r="BJ2" s="1042"/>
      <c r="BK2" s="1042"/>
      <c r="BL2" s="1042"/>
      <c r="BM2" s="1042"/>
      <c r="BN2" s="1042"/>
      <c r="BO2" s="1042"/>
      <c r="BP2" s="1042"/>
      <c r="BQ2" s="1042"/>
      <c r="BR2" s="1042"/>
      <c r="BS2" s="1042"/>
      <c r="BU2" s="1041"/>
      <c r="CD2" s="1034"/>
      <c r="CE2" s="1035"/>
      <c r="CF2" s="1035"/>
      <c r="CG2" s="1040"/>
      <c r="CH2" s="1041"/>
      <c r="CI2" s="1038"/>
      <c r="CJ2" s="1038"/>
      <c r="CK2" s="1038"/>
      <c r="CL2" s="1038"/>
      <c r="CM2" s="1038"/>
      <c r="CN2" s="1038"/>
      <c r="CO2" s="1038"/>
      <c r="CP2" s="1039"/>
    </row>
    <row r="3" spans="1:198" s="64" customFormat="1" x14ac:dyDescent="0.25">
      <c r="A3" s="1312" t="s">
        <v>26</v>
      </c>
      <c r="B3" s="1426" t="s">
        <v>250</v>
      </c>
      <c r="C3" s="1537" t="s">
        <v>251</v>
      </c>
      <c r="D3" s="1211"/>
      <c r="E3" s="81">
        <v>141202</v>
      </c>
      <c r="F3" s="81">
        <v>146358</v>
      </c>
      <c r="G3" s="81">
        <v>141435</v>
      </c>
      <c r="H3" s="81">
        <v>147551</v>
      </c>
      <c r="I3" s="81">
        <v>145700</v>
      </c>
      <c r="J3" s="81">
        <v>144371</v>
      </c>
      <c r="K3" s="81">
        <v>144796</v>
      </c>
      <c r="L3" s="82">
        <v>148111</v>
      </c>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039"/>
      <c r="BV3" s="11"/>
      <c r="BW3" s="11"/>
      <c r="BX3" s="11"/>
      <c r="BY3" s="11"/>
      <c r="BZ3" s="11"/>
      <c r="CA3" s="11"/>
      <c r="CB3" s="11"/>
      <c r="CC3" s="11"/>
      <c r="CD3" s="1037"/>
      <c r="CE3" s="1038"/>
      <c r="CF3" s="1038"/>
      <c r="CG3" s="1038"/>
      <c r="CH3" s="1039"/>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row>
    <row r="4" spans="1:198" x14ac:dyDescent="0.25">
      <c r="A4" s="1312"/>
      <c r="B4" s="1195"/>
      <c r="C4" s="1304" t="s">
        <v>257</v>
      </c>
      <c r="D4" s="1213"/>
      <c r="E4" s="80">
        <v>63163</v>
      </c>
      <c r="F4" s="80">
        <v>65752</v>
      </c>
      <c r="G4" s="80">
        <v>63322</v>
      </c>
      <c r="H4" s="80">
        <v>66424</v>
      </c>
      <c r="I4" s="80">
        <v>65599</v>
      </c>
      <c r="J4" s="80">
        <v>65080</v>
      </c>
      <c r="K4" s="80">
        <v>65245</v>
      </c>
      <c r="L4" s="83">
        <v>66860</v>
      </c>
    </row>
    <row r="5" spans="1:198" x14ac:dyDescent="0.25">
      <c r="A5" s="1312"/>
      <c r="B5" s="1195"/>
      <c r="C5" s="1304" t="s">
        <v>263</v>
      </c>
      <c r="D5" s="1213"/>
      <c r="E5" s="80">
        <v>78039</v>
      </c>
      <c r="F5" s="80">
        <v>80606</v>
      </c>
      <c r="G5" s="80">
        <v>78113</v>
      </c>
      <c r="H5" s="80">
        <v>81127</v>
      </c>
      <c r="I5" s="80">
        <v>80101</v>
      </c>
      <c r="J5" s="80">
        <v>79291</v>
      </c>
      <c r="K5" s="80">
        <v>79551</v>
      </c>
      <c r="L5" s="83">
        <v>81251</v>
      </c>
    </row>
    <row r="6" spans="1:198" x14ac:dyDescent="0.25">
      <c r="A6" s="1312"/>
      <c r="B6" s="1196"/>
      <c r="C6" s="1425" t="s">
        <v>269</v>
      </c>
      <c r="D6" s="1215"/>
      <c r="E6" s="363">
        <f>+E5-E4</f>
        <v>14876</v>
      </c>
      <c r="F6" s="363">
        <f t="shared" ref="F6:L6" si="0">+F5-F4</f>
        <v>14854</v>
      </c>
      <c r="G6" s="363">
        <f t="shared" si="0"/>
        <v>14791</v>
      </c>
      <c r="H6" s="363">
        <f t="shared" si="0"/>
        <v>14703</v>
      </c>
      <c r="I6" s="363">
        <f t="shared" si="0"/>
        <v>14502</v>
      </c>
      <c r="J6" s="363">
        <f t="shared" si="0"/>
        <v>14211</v>
      </c>
      <c r="K6" s="363">
        <f t="shared" si="0"/>
        <v>14306</v>
      </c>
      <c r="L6" s="365">
        <f t="shared" si="0"/>
        <v>14391</v>
      </c>
    </row>
    <row r="7" spans="1:198" ht="16.5" thickBot="1" x14ac:dyDescent="0.3">
      <c r="A7" s="1312"/>
      <c r="B7" s="1197"/>
      <c r="C7" s="1125" t="s">
        <v>270</v>
      </c>
      <c r="D7" s="1126"/>
      <c r="E7" s="366">
        <f>E5/E3*100</f>
        <v>55.267630770102407</v>
      </c>
      <c r="F7" s="366">
        <f t="shared" ref="F7:L7" si="1">F5/F3*100</f>
        <v>55.074543243280175</v>
      </c>
      <c r="G7" s="366">
        <f t="shared" si="1"/>
        <v>55.22890373669884</v>
      </c>
      <c r="H7" s="366">
        <f t="shared" si="1"/>
        <v>54.982345087461283</v>
      </c>
      <c r="I7" s="366">
        <f t="shared" si="1"/>
        <v>54.976664378860676</v>
      </c>
      <c r="J7" s="366">
        <f t="shared" si="1"/>
        <v>54.92169480020226</v>
      </c>
      <c r="K7" s="366">
        <f t="shared" si="1"/>
        <v>54.94005359264068</v>
      </c>
      <c r="L7" s="367">
        <f t="shared" si="1"/>
        <v>54.858180688807721</v>
      </c>
    </row>
    <row r="8" spans="1:198" ht="16.5" thickBot="1" x14ac:dyDescent="0.3">
      <c r="A8" s="1312"/>
      <c r="B8" s="1198" t="s">
        <v>271</v>
      </c>
      <c r="C8" s="1300" t="s">
        <v>257</v>
      </c>
      <c r="D8" s="168" t="s">
        <v>272</v>
      </c>
      <c r="E8" s="81">
        <v>63163</v>
      </c>
      <c r="F8" s="81">
        <v>65752</v>
      </c>
      <c r="G8" s="81">
        <v>63322</v>
      </c>
      <c r="H8" s="81">
        <v>66424</v>
      </c>
      <c r="I8" s="81">
        <v>65599</v>
      </c>
      <c r="J8" s="81">
        <v>65080</v>
      </c>
      <c r="K8" s="81">
        <v>65245</v>
      </c>
      <c r="L8" s="82">
        <v>66860</v>
      </c>
    </row>
    <row r="9" spans="1:198" ht="16.5" thickBot="1" x14ac:dyDescent="0.3">
      <c r="A9" s="1312"/>
      <c r="B9" s="1199"/>
      <c r="C9" s="1301"/>
      <c r="D9" s="164" t="s">
        <v>275</v>
      </c>
      <c r="E9" s="80">
        <v>10280</v>
      </c>
      <c r="F9" s="80">
        <v>10227</v>
      </c>
      <c r="G9" s="80">
        <v>9614</v>
      </c>
      <c r="H9" s="80">
        <v>10263</v>
      </c>
      <c r="I9" s="80">
        <v>10078</v>
      </c>
      <c r="J9" s="80">
        <v>9758</v>
      </c>
      <c r="K9" s="80">
        <v>9633</v>
      </c>
      <c r="L9" s="83">
        <v>9165</v>
      </c>
    </row>
    <row r="10" spans="1:198" ht="16.5" thickBot="1" x14ac:dyDescent="0.3">
      <c r="A10" s="1312"/>
      <c r="B10" s="1199"/>
      <c r="C10" s="1301"/>
      <c r="D10" s="164" t="s">
        <v>282</v>
      </c>
      <c r="E10" s="80">
        <v>42236</v>
      </c>
      <c r="F10" s="80">
        <v>43963</v>
      </c>
      <c r="G10" s="80">
        <v>41486</v>
      </c>
      <c r="H10" s="80">
        <v>43098</v>
      </c>
      <c r="I10" s="80">
        <v>42604</v>
      </c>
      <c r="J10" s="80">
        <v>42322</v>
      </c>
      <c r="K10" s="80">
        <v>42460</v>
      </c>
      <c r="L10" s="83">
        <v>44233</v>
      </c>
    </row>
    <row r="11" spans="1:198" ht="16.5" thickBot="1" x14ac:dyDescent="0.3">
      <c r="A11" s="1312"/>
      <c r="B11" s="1199"/>
      <c r="C11" s="1301"/>
      <c r="D11" s="164" t="s">
        <v>288</v>
      </c>
      <c r="E11" s="80">
        <v>10644</v>
      </c>
      <c r="F11" s="80">
        <v>11561</v>
      </c>
      <c r="G11" s="80">
        <v>12222</v>
      </c>
      <c r="H11" s="80">
        <v>13063</v>
      </c>
      <c r="I11" s="80">
        <v>12917</v>
      </c>
      <c r="J11" s="80">
        <v>13000</v>
      </c>
      <c r="K11" s="80">
        <v>13152</v>
      </c>
      <c r="L11" s="83">
        <v>13462</v>
      </c>
    </row>
    <row r="12" spans="1:198" ht="16.5" thickBot="1" x14ac:dyDescent="0.3">
      <c r="A12" s="1312"/>
      <c r="B12" s="1199"/>
      <c r="C12" s="1301"/>
      <c r="D12" s="164" t="s">
        <v>295</v>
      </c>
      <c r="E12" s="80">
        <v>2711</v>
      </c>
      <c r="F12" s="80">
        <v>3466</v>
      </c>
      <c r="G12" s="80">
        <v>3847</v>
      </c>
      <c r="H12" s="80">
        <v>3910</v>
      </c>
      <c r="I12" s="80">
        <v>3875</v>
      </c>
      <c r="J12" s="80">
        <v>3901</v>
      </c>
      <c r="K12" s="80">
        <v>3943</v>
      </c>
      <c r="L12" s="83">
        <v>4053</v>
      </c>
    </row>
    <row r="13" spans="1:198" ht="16.5" thickBot="1" x14ac:dyDescent="0.3">
      <c r="A13" s="1312"/>
      <c r="B13" s="1199"/>
      <c r="C13" s="1538"/>
      <c r="D13" s="456" t="s">
        <v>296</v>
      </c>
      <c r="E13" s="457">
        <v>3</v>
      </c>
      <c r="F13" s="457">
        <v>1</v>
      </c>
      <c r="G13" s="372">
        <v>0</v>
      </c>
      <c r="H13" s="457">
        <v>0</v>
      </c>
      <c r="I13" s="372">
        <v>0</v>
      </c>
      <c r="J13" s="372">
        <v>0</v>
      </c>
      <c r="K13" s="372">
        <v>0</v>
      </c>
      <c r="L13" s="373">
        <v>0</v>
      </c>
    </row>
    <row r="14" spans="1:198" ht="16.5" thickBot="1" x14ac:dyDescent="0.3">
      <c r="A14" s="1312"/>
      <c r="B14" s="1199"/>
      <c r="C14" s="1303" t="s">
        <v>263</v>
      </c>
      <c r="D14" s="168" t="s">
        <v>272</v>
      </c>
      <c r="E14" s="81">
        <v>78039</v>
      </c>
      <c r="F14" s="81">
        <v>80606</v>
      </c>
      <c r="G14" s="81">
        <v>78113</v>
      </c>
      <c r="H14" s="81">
        <v>81127</v>
      </c>
      <c r="I14" s="81">
        <v>80101</v>
      </c>
      <c r="J14" s="81">
        <v>79291</v>
      </c>
      <c r="K14" s="81">
        <v>79551</v>
      </c>
      <c r="L14" s="82">
        <v>81251</v>
      </c>
    </row>
    <row r="15" spans="1:198" ht="16.5" thickBot="1" x14ac:dyDescent="0.3">
      <c r="A15" s="1312"/>
      <c r="B15" s="1199"/>
      <c r="C15" s="1304"/>
      <c r="D15" s="164" t="s">
        <v>275</v>
      </c>
      <c r="E15" s="80">
        <v>9550</v>
      </c>
      <c r="F15" s="80">
        <v>9593</v>
      </c>
      <c r="G15" s="80">
        <v>9479</v>
      </c>
      <c r="H15" s="80">
        <v>10020</v>
      </c>
      <c r="I15" s="80">
        <v>9835</v>
      </c>
      <c r="J15" s="80">
        <v>9630</v>
      </c>
      <c r="K15" s="80">
        <v>9576</v>
      </c>
      <c r="L15" s="83">
        <v>9127</v>
      </c>
    </row>
    <row r="16" spans="1:198" ht="16.5" thickBot="1" x14ac:dyDescent="0.3">
      <c r="A16" s="1312"/>
      <c r="B16" s="1199"/>
      <c r="C16" s="1304"/>
      <c r="D16" s="164" t="s">
        <v>282</v>
      </c>
      <c r="E16" s="80">
        <v>50530</v>
      </c>
      <c r="F16" s="80">
        <v>51746</v>
      </c>
      <c r="G16" s="80">
        <v>48200</v>
      </c>
      <c r="H16" s="80">
        <v>49727</v>
      </c>
      <c r="I16" s="80">
        <v>49059</v>
      </c>
      <c r="J16" s="80">
        <v>48375</v>
      </c>
      <c r="K16" s="80">
        <v>48507</v>
      </c>
      <c r="L16" s="83">
        <v>50405</v>
      </c>
    </row>
    <row r="17" spans="1:13" ht="16.5" thickBot="1" x14ac:dyDescent="0.3">
      <c r="A17" s="1312"/>
      <c r="B17" s="1199"/>
      <c r="C17" s="1304"/>
      <c r="D17" s="164" t="s">
        <v>288</v>
      </c>
      <c r="E17" s="80">
        <v>17956</v>
      </c>
      <c r="F17" s="80">
        <v>19266</v>
      </c>
      <c r="G17" s="80">
        <v>20434</v>
      </c>
      <c r="H17" s="80">
        <v>21380</v>
      </c>
      <c r="I17" s="80">
        <v>21207</v>
      </c>
      <c r="J17" s="80">
        <v>21286</v>
      </c>
      <c r="K17" s="80">
        <v>21468</v>
      </c>
      <c r="L17" s="83">
        <v>21718</v>
      </c>
    </row>
    <row r="18" spans="1:13" ht="16.5" thickBot="1" x14ac:dyDescent="0.3">
      <c r="A18" s="1312"/>
      <c r="B18" s="1199"/>
      <c r="C18" s="1304"/>
      <c r="D18" s="164" t="s">
        <v>295</v>
      </c>
      <c r="E18" s="80">
        <v>5743</v>
      </c>
      <c r="F18" s="80">
        <v>7064</v>
      </c>
      <c r="G18" s="80">
        <v>7996</v>
      </c>
      <c r="H18" s="80">
        <v>8171</v>
      </c>
      <c r="I18" s="80">
        <v>8126</v>
      </c>
      <c r="J18" s="80">
        <v>8196</v>
      </c>
      <c r="K18" s="80">
        <v>8207</v>
      </c>
      <c r="L18" s="83">
        <v>8357</v>
      </c>
    </row>
    <row r="19" spans="1:13" ht="16.5" thickBot="1" x14ac:dyDescent="0.3">
      <c r="A19" s="1312"/>
      <c r="B19" s="1199"/>
      <c r="C19" s="1539"/>
      <c r="D19" s="456" t="s">
        <v>296</v>
      </c>
      <c r="E19" s="457">
        <v>3</v>
      </c>
      <c r="F19" s="457">
        <v>1</v>
      </c>
      <c r="G19" s="372">
        <v>0</v>
      </c>
      <c r="H19" s="372">
        <v>0</v>
      </c>
      <c r="I19" s="372">
        <v>0</v>
      </c>
      <c r="J19" s="372">
        <v>0</v>
      </c>
      <c r="K19" s="372" t="s">
        <v>543</v>
      </c>
      <c r="L19" s="373">
        <v>1</v>
      </c>
    </row>
    <row r="20" spans="1:13" ht="16.5" thickBot="1" x14ac:dyDescent="0.3">
      <c r="A20" s="1312"/>
      <c r="B20" s="1199"/>
      <c r="C20" s="1306" t="s">
        <v>269</v>
      </c>
      <c r="D20" s="168" t="s">
        <v>272</v>
      </c>
      <c r="E20" s="375">
        <f>E14-E8</f>
        <v>14876</v>
      </c>
      <c r="F20" s="375">
        <f t="shared" ref="F20:L20" si="2">F14-F8</f>
        <v>14854</v>
      </c>
      <c r="G20" s="375">
        <f t="shared" si="2"/>
        <v>14791</v>
      </c>
      <c r="H20" s="375">
        <f t="shared" si="2"/>
        <v>14703</v>
      </c>
      <c r="I20" s="375">
        <f t="shared" si="2"/>
        <v>14502</v>
      </c>
      <c r="J20" s="375">
        <f t="shared" si="2"/>
        <v>14211</v>
      </c>
      <c r="K20" s="375">
        <f t="shared" si="2"/>
        <v>14306</v>
      </c>
      <c r="L20" s="376">
        <f t="shared" si="2"/>
        <v>14391</v>
      </c>
    </row>
    <row r="21" spans="1:13" ht="16.5" thickBot="1" x14ac:dyDescent="0.3">
      <c r="A21" s="1312"/>
      <c r="B21" s="1199"/>
      <c r="C21" s="1307"/>
      <c r="D21" s="163" t="s">
        <v>275</v>
      </c>
      <c r="E21" s="157">
        <f t="shared" ref="E21:L24" si="3">E15-E9</f>
        <v>-730</v>
      </c>
      <c r="F21" s="157">
        <f t="shared" si="3"/>
        <v>-634</v>
      </c>
      <c r="G21" s="157">
        <f t="shared" si="3"/>
        <v>-135</v>
      </c>
      <c r="H21" s="157">
        <f t="shared" si="3"/>
        <v>-243</v>
      </c>
      <c r="I21" s="157">
        <f t="shared" si="3"/>
        <v>-243</v>
      </c>
      <c r="J21" s="157">
        <f t="shared" si="3"/>
        <v>-128</v>
      </c>
      <c r="K21" s="157">
        <f t="shared" si="3"/>
        <v>-57</v>
      </c>
      <c r="L21" s="160">
        <f>L15-L9</f>
        <v>-38</v>
      </c>
    </row>
    <row r="22" spans="1:13" ht="16.5" thickBot="1" x14ac:dyDescent="0.3">
      <c r="A22" s="1312"/>
      <c r="B22" s="1199"/>
      <c r="C22" s="1307"/>
      <c r="D22" s="163" t="s">
        <v>282</v>
      </c>
      <c r="E22" s="363">
        <f t="shared" si="3"/>
        <v>8294</v>
      </c>
      <c r="F22" s="363">
        <f t="shared" si="3"/>
        <v>7783</v>
      </c>
      <c r="G22" s="363">
        <f t="shared" si="3"/>
        <v>6714</v>
      </c>
      <c r="H22" s="363">
        <f t="shared" si="3"/>
        <v>6629</v>
      </c>
      <c r="I22" s="363">
        <f t="shared" si="3"/>
        <v>6455</v>
      </c>
      <c r="J22" s="363">
        <f t="shared" si="3"/>
        <v>6053</v>
      </c>
      <c r="K22" s="363">
        <f t="shared" si="3"/>
        <v>6047</v>
      </c>
      <c r="L22" s="365">
        <f t="shared" si="3"/>
        <v>6172</v>
      </c>
    </row>
    <row r="23" spans="1:13" ht="16.5" thickBot="1" x14ac:dyDescent="0.3">
      <c r="A23" s="1312"/>
      <c r="B23" s="1199"/>
      <c r="C23" s="1307"/>
      <c r="D23" s="163" t="s">
        <v>288</v>
      </c>
      <c r="E23" s="363">
        <f t="shared" si="3"/>
        <v>7312</v>
      </c>
      <c r="F23" s="363">
        <f t="shared" si="3"/>
        <v>7705</v>
      </c>
      <c r="G23" s="363">
        <f t="shared" si="3"/>
        <v>8212</v>
      </c>
      <c r="H23" s="363">
        <f t="shared" si="3"/>
        <v>8317</v>
      </c>
      <c r="I23" s="363">
        <f t="shared" si="3"/>
        <v>8290</v>
      </c>
      <c r="J23" s="363">
        <f t="shared" si="3"/>
        <v>8286</v>
      </c>
      <c r="K23" s="363">
        <f t="shared" si="3"/>
        <v>8316</v>
      </c>
      <c r="L23" s="365">
        <f t="shared" si="3"/>
        <v>8256</v>
      </c>
    </row>
    <row r="24" spans="1:13" ht="16.5" thickBot="1" x14ac:dyDescent="0.3">
      <c r="A24" s="1312"/>
      <c r="B24" s="1199"/>
      <c r="C24" s="1540"/>
      <c r="D24" s="458" t="s">
        <v>295</v>
      </c>
      <c r="E24" s="459">
        <f t="shared" si="3"/>
        <v>3032</v>
      </c>
      <c r="F24" s="459">
        <f t="shared" si="3"/>
        <v>3598</v>
      </c>
      <c r="G24" s="459">
        <f t="shared" si="3"/>
        <v>4149</v>
      </c>
      <c r="H24" s="459">
        <f t="shared" si="3"/>
        <v>4261</v>
      </c>
      <c r="I24" s="459">
        <f t="shared" si="3"/>
        <v>4251</v>
      </c>
      <c r="J24" s="459">
        <f t="shared" si="3"/>
        <v>4295</v>
      </c>
      <c r="K24" s="459">
        <f t="shared" si="3"/>
        <v>4264</v>
      </c>
      <c r="L24" s="460">
        <f t="shared" si="3"/>
        <v>4304</v>
      </c>
    </row>
    <row r="25" spans="1:13" ht="15" customHeight="1" thickBot="1" x14ac:dyDescent="0.3">
      <c r="A25" s="1312"/>
      <c r="B25" s="1199"/>
      <c r="C25" s="1265" t="s">
        <v>270</v>
      </c>
      <c r="D25" s="168" t="s">
        <v>272</v>
      </c>
      <c r="E25" s="384">
        <f>E14/E3*100</f>
        <v>55.267630770102407</v>
      </c>
      <c r="F25" s="384">
        <f t="shared" ref="F25:L25" si="4">F14/F3*100</f>
        <v>55.074543243280175</v>
      </c>
      <c r="G25" s="384">
        <f t="shared" si="4"/>
        <v>55.22890373669884</v>
      </c>
      <c r="H25" s="384">
        <f t="shared" si="4"/>
        <v>54.982345087461283</v>
      </c>
      <c r="I25" s="384">
        <f t="shared" si="4"/>
        <v>54.976664378860676</v>
      </c>
      <c r="J25" s="384">
        <f t="shared" si="4"/>
        <v>54.92169480020226</v>
      </c>
      <c r="K25" s="384">
        <f t="shared" si="4"/>
        <v>54.94005359264068</v>
      </c>
      <c r="L25" s="385">
        <f t="shared" si="4"/>
        <v>54.858180688807721</v>
      </c>
    </row>
    <row r="26" spans="1:13" ht="16.5" thickBot="1" x14ac:dyDescent="0.3">
      <c r="A26" s="1312"/>
      <c r="B26" s="1199"/>
      <c r="C26" s="1360"/>
      <c r="D26" s="163" t="s">
        <v>275</v>
      </c>
      <c r="E26" s="158">
        <f>(E15/(E15+E9))*100</f>
        <v>48.159354513363589</v>
      </c>
      <c r="F26" s="158">
        <f t="shared" ref="F26:L27" si="5">(F15/(F15+F9))*100</f>
        <v>48.400605449041372</v>
      </c>
      <c r="G26" s="158">
        <f t="shared" si="5"/>
        <v>49.646467291677574</v>
      </c>
      <c r="H26" s="158">
        <f t="shared" si="5"/>
        <v>49.400976186954594</v>
      </c>
      <c r="I26" s="158">
        <f t="shared" si="5"/>
        <v>49.389845829357704</v>
      </c>
      <c r="J26" s="158">
        <f t="shared" si="5"/>
        <v>49.669898906540126</v>
      </c>
      <c r="K26" s="158">
        <f t="shared" si="5"/>
        <v>49.851632047477743</v>
      </c>
      <c r="L26" s="330">
        <f t="shared" si="5"/>
        <v>49.896129455499668</v>
      </c>
    </row>
    <row r="27" spans="1:13" ht="16.5" thickBot="1" x14ac:dyDescent="0.3">
      <c r="A27" s="1312"/>
      <c r="B27" s="1199"/>
      <c r="C27" s="1360"/>
      <c r="D27" s="163" t="s">
        <v>282</v>
      </c>
      <c r="E27" s="364">
        <f>(E16/(E16+E10))*100</f>
        <v>54.470387857620253</v>
      </c>
      <c r="F27" s="364">
        <f t="shared" si="5"/>
        <v>54.065970807343092</v>
      </c>
      <c r="G27" s="364">
        <f t="shared" si="5"/>
        <v>53.743059117365036</v>
      </c>
      <c r="H27" s="364">
        <f t="shared" si="5"/>
        <v>53.570697549151625</v>
      </c>
      <c r="I27" s="364">
        <f t="shared" si="5"/>
        <v>53.521049932906408</v>
      </c>
      <c r="J27" s="364">
        <f t="shared" si="5"/>
        <v>53.336935069517189</v>
      </c>
      <c r="K27" s="364">
        <f t="shared" si="5"/>
        <v>53.323732782217725</v>
      </c>
      <c r="L27" s="386">
        <f t="shared" si="5"/>
        <v>53.260846594391268</v>
      </c>
    </row>
    <row r="28" spans="1:13" ht="16.5" thickBot="1" x14ac:dyDescent="0.3">
      <c r="A28" s="1312"/>
      <c r="B28" s="1199"/>
      <c r="C28" s="1360"/>
      <c r="D28" s="163" t="s">
        <v>288</v>
      </c>
      <c r="E28" s="364">
        <f t="shared" ref="E28:L29" si="6">(E17/(E17+E11))*100</f>
        <v>62.783216783216787</v>
      </c>
      <c r="F28" s="364">
        <f t="shared" si="6"/>
        <v>62.497161579135174</v>
      </c>
      <c r="G28" s="364">
        <f t="shared" si="6"/>
        <v>62.573493385595292</v>
      </c>
      <c r="H28" s="364">
        <f t="shared" si="6"/>
        <v>62.073570827163714</v>
      </c>
      <c r="I28" s="364">
        <f t="shared" si="6"/>
        <v>62.146876098933305</v>
      </c>
      <c r="J28" s="364">
        <f t="shared" si="6"/>
        <v>62.083649302922474</v>
      </c>
      <c r="K28" s="364">
        <f t="shared" si="6"/>
        <v>62.010398613518205</v>
      </c>
      <c r="L28" s="386">
        <f t="shared" si="6"/>
        <v>61.733939738487777</v>
      </c>
    </row>
    <row r="29" spans="1:13" ht="16.5" thickBot="1" x14ac:dyDescent="0.3">
      <c r="A29" s="1312"/>
      <c r="B29" s="1200"/>
      <c r="C29" s="1419"/>
      <c r="D29" s="458" t="s">
        <v>295</v>
      </c>
      <c r="E29" s="378">
        <f t="shared" si="6"/>
        <v>67.932339720842208</v>
      </c>
      <c r="F29" s="378">
        <f t="shared" si="6"/>
        <v>67.084520417853753</v>
      </c>
      <c r="G29" s="378">
        <f t="shared" si="6"/>
        <v>67.516676517774215</v>
      </c>
      <c r="H29" s="378">
        <f t="shared" si="6"/>
        <v>67.635129542256436</v>
      </c>
      <c r="I29" s="378">
        <f t="shared" si="6"/>
        <v>67.711024081326556</v>
      </c>
      <c r="J29" s="378">
        <f t="shared" si="6"/>
        <v>67.752335289741268</v>
      </c>
      <c r="K29" s="378">
        <f t="shared" si="6"/>
        <v>67.547325102880663</v>
      </c>
      <c r="L29" s="379">
        <f t="shared" si="6"/>
        <v>67.340854149879121</v>
      </c>
    </row>
    <row r="30" spans="1:13" ht="17.25" thickTop="1" thickBot="1" x14ac:dyDescent="0.3">
      <c r="A30" s="1312"/>
      <c r="B30" s="151" t="s">
        <v>249</v>
      </c>
      <c r="C30" s="1422"/>
      <c r="D30" s="1422"/>
      <c r="E30" s="616">
        <v>2005</v>
      </c>
      <c r="F30" s="616">
        <v>2010</v>
      </c>
      <c r="G30" s="616">
        <v>2015</v>
      </c>
      <c r="H30" s="616">
        <v>2020</v>
      </c>
      <c r="I30" s="616">
        <v>2021</v>
      </c>
      <c r="J30" s="616">
        <v>2022</v>
      </c>
      <c r="K30" s="616">
        <v>2023</v>
      </c>
      <c r="L30" s="616">
        <v>2024</v>
      </c>
      <c r="M30" s="482"/>
    </row>
    <row r="31" spans="1:13" ht="16.5" thickBot="1" x14ac:dyDescent="0.3">
      <c r="A31" s="1312"/>
      <c r="B31" s="1318" t="s">
        <v>320</v>
      </c>
      <c r="C31" s="1537" t="s">
        <v>272</v>
      </c>
      <c r="D31" s="1541"/>
      <c r="E31" s="81">
        <v>15519</v>
      </c>
      <c r="F31" s="81">
        <v>17623</v>
      </c>
      <c r="G31" s="81">
        <v>12380</v>
      </c>
      <c r="H31" s="81">
        <v>14873</v>
      </c>
      <c r="I31" s="81">
        <v>15059</v>
      </c>
      <c r="J31" s="81">
        <v>14850</v>
      </c>
      <c r="K31" s="81">
        <v>15926</v>
      </c>
      <c r="L31" s="82">
        <f>L32+L33</f>
        <v>18252</v>
      </c>
    </row>
    <row r="32" spans="1:13" ht="16.5" thickBot="1" x14ac:dyDescent="0.3">
      <c r="A32" s="1312"/>
      <c r="B32" s="1199"/>
      <c r="C32" s="1123" t="s">
        <v>257</v>
      </c>
      <c r="D32" s="1124"/>
      <c r="E32" s="80">
        <v>6277</v>
      </c>
      <c r="F32" s="80">
        <v>7240</v>
      </c>
      <c r="G32" s="80">
        <v>4962</v>
      </c>
      <c r="H32" s="80">
        <v>5936</v>
      </c>
      <c r="I32" s="80">
        <v>6109</v>
      </c>
      <c r="J32" s="80">
        <v>6079</v>
      </c>
      <c r="K32" s="80">
        <v>6584</v>
      </c>
      <c r="L32" s="83">
        <v>7743</v>
      </c>
    </row>
    <row r="33" spans="1:12" ht="16.5" thickBot="1" x14ac:dyDescent="0.3">
      <c r="A33" s="1312"/>
      <c r="B33" s="1199"/>
      <c r="C33" s="1123" t="s">
        <v>263</v>
      </c>
      <c r="D33" s="1124"/>
      <c r="E33" s="80">
        <v>9242</v>
      </c>
      <c r="F33" s="80">
        <v>10383</v>
      </c>
      <c r="G33" s="80">
        <v>7418</v>
      </c>
      <c r="H33" s="80">
        <v>8937</v>
      </c>
      <c r="I33" s="80">
        <v>8950</v>
      </c>
      <c r="J33" s="80">
        <v>8771</v>
      </c>
      <c r="K33" s="80">
        <v>9342</v>
      </c>
      <c r="L33" s="83">
        <v>10509</v>
      </c>
    </row>
    <row r="34" spans="1:12" ht="16.5" thickBot="1" x14ac:dyDescent="0.3">
      <c r="A34" s="1312"/>
      <c r="B34" s="1199"/>
      <c r="C34" s="1111" t="s">
        <v>269</v>
      </c>
      <c r="D34" s="1112"/>
      <c r="E34" s="363">
        <f>+E33-E32</f>
        <v>2965</v>
      </c>
      <c r="F34" s="363">
        <f t="shared" ref="F34:L34" si="7">+F33-F32</f>
        <v>3143</v>
      </c>
      <c r="G34" s="363">
        <f t="shared" si="7"/>
        <v>2456</v>
      </c>
      <c r="H34" s="363">
        <f t="shared" si="7"/>
        <v>3001</v>
      </c>
      <c r="I34" s="363">
        <f t="shared" si="7"/>
        <v>2841</v>
      </c>
      <c r="J34" s="363">
        <f t="shared" si="7"/>
        <v>2692</v>
      </c>
      <c r="K34" s="363">
        <f t="shared" si="7"/>
        <v>2758</v>
      </c>
      <c r="L34" s="365">
        <f t="shared" si="7"/>
        <v>2766</v>
      </c>
    </row>
    <row r="35" spans="1:12" ht="16.5" thickBot="1" x14ac:dyDescent="0.3">
      <c r="A35" s="1312"/>
      <c r="B35" s="1201"/>
      <c r="C35" s="1353" t="s">
        <v>270</v>
      </c>
      <c r="D35" s="1178"/>
      <c r="E35" s="378">
        <f>E33/E31*100</f>
        <v>59.552806237515298</v>
      </c>
      <c r="F35" s="378">
        <f t="shared" ref="F35:L35" si="8">F33/F31*100</f>
        <v>58.91732395165409</v>
      </c>
      <c r="G35" s="378">
        <f t="shared" si="8"/>
        <v>59.919224555735049</v>
      </c>
      <c r="H35" s="378">
        <f t="shared" si="8"/>
        <v>60.08875142876353</v>
      </c>
      <c r="I35" s="378">
        <f t="shared" si="8"/>
        <v>59.432897270735111</v>
      </c>
      <c r="J35" s="378">
        <f t="shared" si="8"/>
        <v>59.063973063973066</v>
      </c>
      <c r="K35" s="378">
        <f t="shared" si="8"/>
        <v>58.658796935828207</v>
      </c>
      <c r="L35" s="379">
        <f t="shared" si="8"/>
        <v>57.577251808021032</v>
      </c>
    </row>
    <row r="36" spans="1:12" ht="15" customHeight="1" thickBot="1" x14ac:dyDescent="0.3">
      <c r="A36" s="1312"/>
      <c r="B36" s="1198" t="s">
        <v>342</v>
      </c>
      <c r="C36" s="1306" t="s">
        <v>343</v>
      </c>
      <c r="D36" s="1147"/>
      <c r="E36" s="195">
        <f>E37+E38</f>
        <v>6297</v>
      </c>
      <c r="F36" s="195">
        <f t="shared" ref="F36:K36" si="9">F37+F38</f>
        <v>6843</v>
      </c>
      <c r="G36" s="195">
        <f t="shared" si="9"/>
        <v>7758</v>
      </c>
      <c r="H36" s="195">
        <f t="shared" si="9"/>
        <v>8330</v>
      </c>
      <c r="I36" s="195">
        <f t="shared" si="9"/>
        <v>8474</v>
      </c>
      <c r="J36" s="195">
        <f t="shared" si="9"/>
        <v>8636</v>
      </c>
      <c r="K36" s="195">
        <f t="shared" si="9"/>
        <v>8814</v>
      </c>
      <c r="L36" s="196">
        <f>L37+L38</f>
        <v>9255</v>
      </c>
    </row>
    <row r="37" spans="1:12" ht="16.5" thickBot="1" x14ac:dyDescent="0.3">
      <c r="A37" s="1312"/>
      <c r="B37" s="1199"/>
      <c r="C37" s="1123" t="s">
        <v>344</v>
      </c>
      <c r="D37" s="1124"/>
      <c r="E37" s="80">
        <v>1100</v>
      </c>
      <c r="F37" s="80">
        <v>1323</v>
      </c>
      <c r="G37" s="80">
        <v>1626</v>
      </c>
      <c r="H37" s="80">
        <v>1847</v>
      </c>
      <c r="I37" s="80">
        <v>1891</v>
      </c>
      <c r="J37" s="80">
        <v>1977</v>
      </c>
      <c r="K37" s="80">
        <v>2037</v>
      </c>
      <c r="L37" s="83">
        <v>2256</v>
      </c>
    </row>
    <row r="38" spans="1:12" ht="16.5" thickBot="1" x14ac:dyDescent="0.3">
      <c r="A38" s="1312"/>
      <c r="B38" s="1199"/>
      <c r="C38" s="1123" t="s">
        <v>345</v>
      </c>
      <c r="D38" s="1124"/>
      <c r="E38" s="80">
        <v>5197</v>
      </c>
      <c r="F38" s="80">
        <v>5520</v>
      </c>
      <c r="G38" s="80">
        <v>6132</v>
      </c>
      <c r="H38" s="80">
        <v>6483</v>
      </c>
      <c r="I38" s="80">
        <v>6583</v>
      </c>
      <c r="J38" s="80">
        <v>6659</v>
      </c>
      <c r="K38" s="80">
        <v>6777</v>
      </c>
      <c r="L38" s="83">
        <v>6999</v>
      </c>
    </row>
    <row r="39" spans="1:12" ht="16.5" thickBot="1" x14ac:dyDescent="0.3">
      <c r="A39" s="1312"/>
      <c r="B39" s="1199"/>
      <c r="C39" s="1111" t="s">
        <v>269</v>
      </c>
      <c r="D39" s="1112"/>
      <c r="E39" s="157">
        <f>E38-E37</f>
        <v>4097</v>
      </c>
      <c r="F39" s="157">
        <f t="shared" ref="F39:L39" si="10">F38-F37</f>
        <v>4197</v>
      </c>
      <c r="G39" s="157">
        <f t="shared" si="10"/>
        <v>4506</v>
      </c>
      <c r="H39" s="157">
        <f t="shared" si="10"/>
        <v>4636</v>
      </c>
      <c r="I39" s="157">
        <f t="shared" si="10"/>
        <v>4692</v>
      </c>
      <c r="J39" s="157">
        <f t="shared" si="10"/>
        <v>4682</v>
      </c>
      <c r="K39" s="157">
        <f t="shared" si="10"/>
        <v>4740</v>
      </c>
      <c r="L39" s="160">
        <f t="shared" si="10"/>
        <v>4743</v>
      </c>
    </row>
    <row r="40" spans="1:12" ht="16.5" thickBot="1" x14ac:dyDescent="0.3">
      <c r="A40" s="1312"/>
      <c r="B40" s="1201"/>
      <c r="C40" s="1353" t="s">
        <v>346</v>
      </c>
      <c r="D40" s="1178"/>
      <c r="E40" s="165">
        <f t="shared" ref="E40:L40" si="11">E38/E36*100</f>
        <v>82.531364141654763</v>
      </c>
      <c r="F40" s="165">
        <f t="shared" si="11"/>
        <v>80.666374397194218</v>
      </c>
      <c r="G40" s="165">
        <f t="shared" si="11"/>
        <v>79.040989945862336</v>
      </c>
      <c r="H40" s="165">
        <f t="shared" si="11"/>
        <v>77.827130852340929</v>
      </c>
      <c r="I40" s="165">
        <f t="shared" si="11"/>
        <v>77.684682558413982</v>
      </c>
      <c r="J40" s="165">
        <f t="shared" si="11"/>
        <v>77.107457156090788</v>
      </c>
      <c r="K40" s="165">
        <f t="shared" si="11"/>
        <v>76.88904016337645</v>
      </c>
      <c r="L40" s="166">
        <f t="shared" si="11"/>
        <v>75.62398703403565</v>
      </c>
    </row>
    <row r="41" spans="1:12" ht="15" customHeight="1" x14ac:dyDescent="0.25">
      <c r="A41" s="1312"/>
      <c r="B41" s="1202" t="s">
        <v>347</v>
      </c>
      <c r="C41" s="1251" t="s">
        <v>348</v>
      </c>
      <c r="D41" s="1206"/>
      <c r="E41" s="195">
        <f t="shared" ref="E41:J41" si="12">E42+E43</f>
        <v>1226</v>
      </c>
      <c r="F41" s="195">
        <f t="shared" si="12"/>
        <v>1138</v>
      </c>
      <c r="G41" s="195">
        <f t="shared" si="12"/>
        <v>1144</v>
      </c>
      <c r="H41" s="195">
        <f t="shared" si="12"/>
        <v>1115</v>
      </c>
      <c r="I41" s="195">
        <f t="shared" si="12"/>
        <v>1099</v>
      </c>
      <c r="J41" s="195">
        <f t="shared" si="12"/>
        <v>1113</v>
      </c>
      <c r="K41" s="195">
        <f>K42+K43</f>
        <v>1132</v>
      </c>
      <c r="L41" s="196">
        <f>L42+L43</f>
        <v>1202</v>
      </c>
    </row>
    <row r="42" spans="1:12" x14ac:dyDescent="0.25">
      <c r="A42" s="1312"/>
      <c r="B42" s="1203"/>
      <c r="C42" s="1123" t="s">
        <v>349</v>
      </c>
      <c r="D42" s="1124"/>
      <c r="E42" s="80">
        <v>293</v>
      </c>
      <c r="F42" s="80">
        <v>243</v>
      </c>
      <c r="G42" s="80">
        <v>235</v>
      </c>
      <c r="H42" s="80">
        <v>243</v>
      </c>
      <c r="I42" s="80">
        <v>218</v>
      </c>
      <c r="J42" s="80">
        <v>219</v>
      </c>
      <c r="K42" s="80">
        <v>246</v>
      </c>
      <c r="L42" s="83">
        <v>270</v>
      </c>
    </row>
    <row r="43" spans="1:12" x14ac:dyDescent="0.25">
      <c r="A43" s="1312"/>
      <c r="B43" s="1203"/>
      <c r="C43" s="1123" t="s">
        <v>350</v>
      </c>
      <c r="D43" s="1124"/>
      <c r="E43" s="80">
        <v>933</v>
      </c>
      <c r="F43" s="80">
        <v>895</v>
      </c>
      <c r="G43" s="80">
        <v>909</v>
      </c>
      <c r="H43" s="80">
        <v>872</v>
      </c>
      <c r="I43" s="80">
        <v>881</v>
      </c>
      <c r="J43" s="80">
        <v>894</v>
      </c>
      <c r="K43" s="80">
        <v>886</v>
      </c>
      <c r="L43" s="83">
        <v>932</v>
      </c>
    </row>
    <row r="44" spans="1:12" x14ac:dyDescent="0.25">
      <c r="A44" s="1312"/>
      <c r="B44" s="1203"/>
      <c r="C44" s="1111" t="s">
        <v>269</v>
      </c>
      <c r="D44" s="1112"/>
      <c r="E44" s="157">
        <f t="shared" ref="E44:L44" si="13">E43-E42</f>
        <v>640</v>
      </c>
      <c r="F44" s="157">
        <f t="shared" si="13"/>
        <v>652</v>
      </c>
      <c r="G44" s="157">
        <f t="shared" si="13"/>
        <v>674</v>
      </c>
      <c r="H44" s="157">
        <f t="shared" si="13"/>
        <v>629</v>
      </c>
      <c r="I44" s="157">
        <f t="shared" si="13"/>
        <v>663</v>
      </c>
      <c r="J44" s="157">
        <f t="shared" si="13"/>
        <v>675</v>
      </c>
      <c r="K44" s="157">
        <f t="shared" si="13"/>
        <v>640</v>
      </c>
      <c r="L44" s="160">
        <f t="shared" si="13"/>
        <v>662</v>
      </c>
    </row>
    <row r="45" spans="1:12" ht="16.5" thickBot="1" x14ac:dyDescent="0.3">
      <c r="A45" s="1312"/>
      <c r="B45" s="1203"/>
      <c r="C45" s="1353" t="s">
        <v>351</v>
      </c>
      <c r="D45" s="1178"/>
      <c r="E45" s="165">
        <f t="shared" ref="E45:J45" si="14">E43/E41*100</f>
        <v>76.101141924959208</v>
      </c>
      <c r="F45" s="165">
        <f t="shared" si="14"/>
        <v>78.646748681898075</v>
      </c>
      <c r="G45" s="165">
        <f t="shared" si="14"/>
        <v>79.45804195804196</v>
      </c>
      <c r="H45" s="165">
        <f t="shared" si="14"/>
        <v>78.206278026905835</v>
      </c>
      <c r="I45" s="165">
        <f t="shared" si="14"/>
        <v>80.163785259326659</v>
      </c>
      <c r="J45" s="165">
        <f t="shared" si="14"/>
        <v>80.323450134770894</v>
      </c>
      <c r="K45" s="165">
        <f>K43/K41*100</f>
        <v>78.268551236749119</v>
      </c>
      <c r="L45" s="166">
        <f>L43/L41*100</f>
        <v>77.53743760399334</v>
      </c>
    </row>
    <row r="46" spans="1:12" ht="16.5" thickBot="1" x14ac:dyDescent="0.3">
      <c r="A46" s="151" t="s">
        <v>248</v>
      </c>
      <c r="B46" s="694" t="s">
        <v>249</v>
      </c>
      <c r="C46" s="1176"/>
      <c r="D46" s="1176"/>
      <c r="E46" s="695">
        <v>2005</v>
      </c>
      <c r="F46" s="695">
        <v>2010</v>
      </c>
      <c r="G46" s="695">
        <v>2015</v>
      </c>
      <c r="H46" s="695">
        <v>2020</v>
      </c>
      <c r="I46" s="695">
        <v>2021</v>
      </c>
      <c r="J46" s="695">
        <v>2022</v>
      </c>
      <c r="K46" s="695">
        <v>2023</v>
      </c>
      <c r="L46" s="696">
        <v>2024</v>
      </c>
    </row>
    <row r="47" spans="1:12" s="64" customFormat="1" x14ac:dyDescent="0.25">
      <c r="A47" s="1545" t="s">
        <v>38</v>
      </c>
      <c r="B47" s="1548" t="s">
        <v>352</v>
      </c>
      <c r="C47" s="1471" t="s">
        <v>251</v>
      </c>
      <c r="D47" s="1189"/>
      <c r="E47" s="192">
        <v>3950</v>
      </c>
      <c r="F47" s="192">
        <v>6628</v>
      </c>
      <c r="G47" s="192">
        <v>5745</v>
      </c>
      <c r="H47" s="192">
        <v>5742</v>
      </c>
      <c r="I47" s="192">
        <v>5447</v>
      </c>
      <c r="J47" s="192">
        <v>3847</v>
      </c>
      <c r="K47" s="192">
        <v>3726</v>
      </c>
      <c r="L47" s="737">
        <v>3601</v>
      </c>
    </row>
    <row r="48" spans="1:12" x14ac:dyDescent="0.25">
      <c r="A48" s="1546"/>
      <c r="B48" s="1549"/>
      <c r="C48" s="1123" t="s">
        <v>257</v>
      </c>
      <c r="D48" s="1124"/>
      <c r="E48" s="96">
        <v>1670</v>
      </c>
      <c r="F48" s="96">
        <v>3064</v>
      </c>
      <c r="G48" s="96">
        <v>2537</v>
      </c>
      <c r="H48" s="96">
        <v>2478</v>
      </c>
      <c r="I48" s="96">
        <v>2334</v>
      </c>
      <c r="J48" s="96">
        <v>1577</v>
      </c>
      <c r="K48" s="96">
        <v>1552</v>
      </c>
      <c r="L48" s="83">
        <v>1530</v>
      </c>
    </row>
    <row r="49" spans="1:12" x14ac:dyDescent="0.25">
      <c r="A49" s="1546"/>
      <c r="B49" s="1549"/>
      <c r="C49" s="1123" t="s">
        <v>263</v>
      </c>
      <c r="D49" s="1124"/>
      <c r="E49" s="96">
        <v>2280</v>
      </c>
      <c r="F49" s="96">
        <v>3564</v>
      </c>
      <c r="G49" s="96">
        <v>3208</v>
      </c>
      <c r="H49" s="96">
        <v>3264</v>
      </c>
      <c r="I49" s="96">
        <v>3113</v>
      </c>
      <c r="J49" s="96">
        <v>2270</v>
      </c>
      <c r="K49" s="96">
        <v>2174</v>
      </c>
      <c r="L49" s="83">
        <v>2071</v>
      </c>
    </row>
    <row r="50" spans="1:12" x14ac:dyDescent="0.25">
      <c r="A50" s="1546"/>
      <c r="B50" s="1549"/>
      <c r="C50" s="1111" t="s">
        <v>353</v>
      </c>
      <c r="D50" s="1112"/>
      <c r="E50" s="157">
        <f t="shared" ref="E50:L50" si="15">+E49-E48</f>
        <v>610</v>
      </c>
      <c r="F50" s="157">
        <f t="shared" si="15"/>
        <v>500</v>
      </c>
      <c r="G50" s="157">
        <f t="shared" si="15"/>
        <v>671</v>
      </c>
      <c r="H50" s="157">
        <f t="shared" si="15"/>
        <v>786</v>
      </c>
      <c r="I50" s="157">
        <f t="shared" si="15"/>
        <v>779</v>
      </c>
      <c r="J50" s="157">
        <f t="shared" si="15"/>
        <v>693</v>
      </c>
      <c r="K50" s="157">
        <f t="shared" si="15"/>
        <v>622</v>
      </c>
      <c r="L50" s="160">
        <f t="shared" si="15"/>
        <v>541</v>
      </c>
    </row>
    <row r="51" spans="1:12" ht="16.5" thickBot="1" x14ac:dyDescent="0.3">
      <c r="A51" s="1546"/>
      <c r="B51" s="1550"/>
      <c r="C51" s="1353" t="s">
        <v>270</v>
      </c>
      <c r="D51" s="1178"/>
      <c r="E51" s="165">
        <f>E49/E47*100</f>
        <v>57.721518987341767</v>
      </c>
      <c r="F51" s="165">
        <f t="shared" ref="F51:L51" si="16">F49/F47*100</f>
        <v>53.77187688593844</v>
      </c>
      <c r="G51" s="165">
        <f t="shared" si="16"/>
        <v>55.83986074847693</v>
      </c>
      <c r="H51" s="165">
        <f t="shared" si="16"/>
        <v>56.844305120167192</v>
      </c>
      <c r="I51" s="165">
        <f t="shared" si="16"/>
        <v>57.150725169818251</v>
      </c>
      <c r="J51" s="165">
        <f t="shared" si="16"/>
        <v>59.007018455939701</v>
      </c>
      <c r="K51" s="165">
        <f t="shared" si="16"/>
        <v>58.346752549651107</v>
      </c>
      <c r="L51" s="461">
        <f t="shared" si="16"/>
        <v>57.511802277145243</v>
      </c>
    </row>
    <row r="52" spans="1:12" s="64" customFormat="1" x14ac:dyDescent="0.25">
      <c r="A52" s="1546"/>
      <c r="B52" s="1551" t="s">
        <v>146</v>
      </c>
      <c r="C52" s="1306" t="s">
        <v>251</v>
      </c>
      <c r="D52" s="1147"/>
      <c r="E52" s="40"/>
      <c r="F52" s="40"/>
      <c r="G52" s="40"/>
      <c r="H52" s="37">
        <v>6.3</v>
      </c>
      <c r="I52" s="37">
        <v>5.3</v>
      </c>
      <c r="J52" s="37">
        <v>4.01</v>
      </c>
      <c r="K52" s="37">
        <v>3.94</v>
      </c>
      <c r="L52" s="38">
        <v>4</v>
      </c>
    </row>
    <row r="53" spans="1:12" x14ac:dyDescent="0.25">
      <c r="A53" s="1546"/>
      <c r="B53" s="1549"/>
      <c r="C53" s="1123" t="s">
        <v>257</v>
      </c>
      <c r="D53" s="1124"/>
      <c r="E53" s="28"/>
      <c r="F53" s="28"/>
      <c r="G53" s="28"/>
      <c r="H53" s="29">
        <v>5.89</v>
      </c>
      <c r="I53" s="29">
        <v>4.79</v>
      </c>
      <c r="J53" s="29">
        <v>3.64</v>
      </c>
      <c r="K53" s="29">
        <v>3.52</v>
      </c>
      <c r="L53" s="39">
        <v>3.5</v>
      </c>
    </row>
    <row r="54" spans="1:12" x14ac:dyDescent="0.25">
      <c r="A54" s="1546"/>
      <c r="B54" s="1549"/>
      <c r="C54" s="1553" t="s">
        <v>263</v>
      </c>
      <c r="D54" s="1223"/>
      <c r="E54" s="28"/>
      <c r="F54" s="28"/>
      <c r="G54" s="28"/>
      <c r="H54" s="29">
        <v>6.65</v>
      </c>
      <c r="I54" s="29">
        <v>5.75</v>
      </c>
      <c r="J54" s="29">
        <v>4.34</v>
      </c>
      <c r="K54" s="29">
        <v>4.3099999999999996</v>
      </c>
      <c r="L54" s="39">
        <v>4.45</v>
      </c>
    </row>
    <row r="55" spans="1:12" ht="16.5" thickBot="1" x14ac:dyDescent="0.3">
      <c r="A55" s="1546"/>
      <c r="B55" s="1552"/>
      <c r="C55" s="1277" t="s">
        <v>354</v>
      </c>
      <c r="D55" s="1142"/>
      <c r="E55" s="110"/>
      <c r="F55" s="110"/>
      <c r="G55" s="110"/>
      <c r="H55" s="423">
        <f>+H54-H53</f>
        <v>0.76000000000000068</v>
      </c>
      <c r="I55" s="423">
        <f>+I54-I53</f>
        <v>0.96</v>
      </c>
      <c r="J55" s="423">
        <f>+J54-J53</f>
        <v>0.69999999999999973</v>
      </c>
      <c r="K55" s="423">
        <f>+K54-K53</f>
        <v>0.78999999999999959</v>
      </c>
      <c r="L55" s="212">
        <f>+L54-L53</f>
        <v>0.95000000000000018</v>
      </c>
    </row>
    <row r="56" spans="1:12" s="64" customFormat="1" x14ac:dyDescent="0.25">
      <c r="A56" s="1546"/>
      <c r="B56" s="1554" t="s">
        <v>151</v>
      </c>
      <c r="C56" s="1265" t="s">
        <v>251</v>
      </c>
      <c r="D56" s="1317"/>
      <c r="E56" s="40"/>
      <c r="F56" s="40"/>
      <c r="G56" s="40"/>
      <c r="H56" s="195">
        <v>301</v>
      </c>
      <c r="I56" s="195">
        <v>284</v>
      </c>
      <c r="J56" s="195">
        <v>269</v>
      </c>
      <c r="K56" s="195">
        <v>268</v>
      </c>
      <c r="L56" s="325"/>
    </row>
    <row r="57" spans="1:12" x14ac:dyDescent="0.25">
      <c r="A57" s="1546"/>
      <c r="B57" s="1555"/>
      <c r="C57" s="1301" t="s">
        <v>257</v>
      </c>
      <c r="D57" s="1230"/>
      <c r="E57" s="28"/>
      <c r="F57" s="28"/>
      <c r="G57" s="28"/>
      <c r="H57" s="96">
        <v>104</v>
      </c>
      <c r="I57" s="96">
        <v>109</v>
      </c>
      <c r="J57" s="96">
        <v>90</v>
      </c>
      <c r="K57" s="96">
        <v>106</v>
      </c>
      <c r="L57" s="21"/>
    </row>
    <row r="58" spans="1:12" x14ac:dyDescent="0.25">
      <c r="A58" s="1546"/>
      <c r="B58" s="1555"/>
      <c r="C58" s="1123" t="s">
        <v>263</v>
      </c>
      <c r="D58" s="1124"/>
      <c r="E58" s="28"/>
      <c r="F58" s="28"/>
      <c r="G58" s="28"/>
      <c r="H58" s="96">
        <v>197</v>
      </c>
      <c r="I58" s="96">
        <v>175</v>
      </c>
      <c r="J58" s="96">
        <v>179</v>
      </c>
      <c r="K58" s="96">
        <v>162</v>
      </c>
      <c r="L58" s="21"/>
    </row>
    <row r="59" spans="1:12" x14ac:dyDescent="0.25">
      <c r="A59" s="1546"/>
      <c r="B59" s="1555"/>
      <c r="C59" s="1111" t="s">
        <v>353</v>
      </c>
      <c r="D59" s="1112"/>
      <c r="E59" s="28"/>
      <c r="F59" s="28"/>
      <c r="G59" s="28"/>
      <c r="H59" s="44">
        <f>+H58-H57</f>
        <v>93</v>
      </c>
      <c r="I59" s="44">
        <f>+I58-I57</f>
        <v>66</v>
      </c>
      <c r="J59" s="44">
        <f>+J58-J57</f>
        <v>89</v>
      </c>
      <c r="K59" s="44">
        <f>+K58-K57</f>
        <v>56</v>
      </c>
      <c r="L59" s="21"/>
    </row>
    <row r="60" spans="1:12" ht="16.5" thickBot="1" x14ac:dyDescent="0.3">
      <c r="A60" s="1546"/>
      <c r="B60" s="1556"/>
      <c r="C60" s="1353" t="s">
        <v>270</v>
      </c>
      <c r="D60" s="1178"/>
      <c r="E60" s="110"/>
      <c r="F60" s="110"/>
      <c r="G60" s="110"/>
      <c r="H60" s="165">
        <f>H58/H56*100</f>
        <v>65.448504983388702</v>
      </c>
      <c r="I60" s="165">
        <f>I58/I56*100</f>
        <v>61.619718309859152</v>
      </c>
      <c r="J60" s="165">
        <f>J58/J56*100</f>
        <v>66.542750929368026</v>
      </c>
      <c r="K60" s="165">
        <f>K58/K56*100</f>
        <v>60.447761194029844</v>
      </c>
      <c r="L60" s="53"/>
    </row>
    <row r="61" spans="1:12" ht="16.5" thickBot="1" x14ac:dyDescent="0.3">
      <c r="A61" s="1546"/>
      <c r="B61" s="738" t="s">
        <v>249</v>
      </c>
      <c r="C61" s="1534"/>
      <c r="D61" s="1534"/>
      <c r="E61" s="465"/>
      <c r="F61" s="338">
        <v>2011</v>
      </c>
      <c r="G61" s="466"/>
      <c r="H61" s="465"/>
      <c r="I61" s="338">
        <v>2021</v>
      </c>
      <c r="J61" s="466"/>
      <c r="K61" s="465"/>
      <c r="L61" s="284">
        <v>2024</v>
      </c>
    </row>
    <row r="62" spans="1:12" x14ac:dyDescent="0.25">
      <c r="A62" s="1546"/>
      <c r="B62" s="1551" t="s">
        <v>156</v>
      </c>
      <c r="C62" s="1533" t="s">
        <v>355</v>
      </c>
      <c r="D62" s="207" t="s">
        <v>251</v>
      </c>
      <c r="E62" s="612"/>
      <c r="F62" s="81">
        <v>63730</v>
      </c>
      <c r="G62" s="103"/>
      <c r="H62" s="103"/>
      <c r="I62" s="81">
        <v>63915</v>
      </c>
      <c r="J62" s="36"/>
      <c r="K62" s="36"/>
      <c r="L62" s="20"/>
    </row>
    <row r="63" spans="1:12" ht="15" customHeight="1" x14ac:dyDescent="0.25">
      <c r="A63" s="1546"/>
      <c r="B63" s="1549"/>
      <c r="C63" s="1344"/>
      <c r="D63" s="28" t="s">
        <v>257</v>
      </c>
      <c r="E63" s="94"/>
      <c r="F63" s="80">
        <v>30830</v>
      </c>
      <c r="G63" s="95"/>
      <c r="H63" s="95"/>
      <c r="I63" s="80">
        <v>30669</v>
      </c>
      <c r="J63" s="28"/>
      <c r="K63" s="28"/>
      <c r="L63" s="21"/>
    </row>
    <row r="64" spans="1:12" ht="16.5" thickBot="1" x14ac:dyDescent="0.3">
      <c r="A64" s="1546"/>
      <c r="B64" s="1549"/>
      <c r="C64" s="1345"/>
      <c r="D64" s="33" t="s">
        <v>263</v>
      </c>
      <c r="E64" s="104"/>
      <c r="F64" s="267">
        <v>32900</v>
      </c>
      <c r="G64" s="468"/>
      <c r="H64" s="468"/>
      <c r="I64" s="267">
        <v>33246</v>
      </c>
      <c r="J64" s="33"/>
      <c r="K64" s="33"/>
      <c r="L64" s="22"/>
    </row>
    <row r="65" spans="1:12" ht="12.95" hidden="1" customHeight="1" x14ac:dyDescent="0.25">
      <c r="A65" s="1546"/>
      <c r="B65" s="1549"/>
      <c r="C65" s="1535" t="s">
        <v>356</v>
      </c>
      <c r="D65" s="241" t="s">
        <v>251</v>
      </c>
      <c r="E65" s="242"/>
      <c r="F65" s="243">
        <v>340</v>
      </c>
      <c r="G65" s="467"/>
      <c r="H65" s="467"/>
      <c r="I65" s="220"/>
      <c r="J65" s="122"/>
      <c r="K65" s="122"/>
      <c r="L65" s="122"/>
    </row>
    <row r="66" spans="1:12" ht="16.5" hidden="1" thickBot="1" x14ac:dyDescent="0.3">
      <c r="A66" s="1546"/>
      <c r="B66" s="1549"/>
      <c r="C66" s="1117"/>
      <c r="D66" s="28" t="s">
        <v>257</v>
      </c>
      <c r="E66" s="94"/>
      <c r="F66" s="80">
        <v>325</v>
      </c>
      <c r="G66" s="95"/>
      <c r="H66" s="95"/>
      <c r="I66" s="96"/>
      <c r="J66" s="28"/>
      <c r="K66" s="28"/>
      <c r="L66" s="28"/>
    </row>
    <row r="67" spans="1:12" ht="16.5" hidden="1" thickBot="1" x14ac:dyDescent="0.3">
      <c r="A67" s="1546"/>
      <c r="B67" s="1549"/>
      <c r="C67" s="1117"/>
      <c r="D67" s="28" t="s">
        <v>263</v>
      </c>
      <c r="E67" s="94"/>
      <c r="F67" s="80">
        <v>15</v>
      </c>
      <c r="G67" s="95"/>
      <c r="H67" s="95"/>
      <c r="I67" s="96"/>
      <c r="J67" s="28"/>
      <c r="K67" s="28"/>
      <c r="L67" s="28"/>
    </row>
    <row r="68" spans="1:12" ht="16.5" hidden="1" thickBot="1" x14ac:dyDescent="0.3">
      <c r="A68" s="1546"/>
      <c r="B68" s="1549"/>
      <c r="C68" s="1117"/>
      <c r="D68" s="28" t="s">
        <v>357</v>
      </c>
      <c r="E68" s="94"/>
      <c r="F68" s="97">
        <f>F67/F65*100</f>
        <v>4.4117647058823533</v>
      </c>
      <c r="G68" s="94"/>
      <c r="H68" s="94"/>
      <c r="I68" s="28"/>
      <c r="J68" s="28"/>
      <c r="K68" s="28"/>
      <c r="L68" s="28"/>
    </row>
    <row r="69" spans="1:12" ht="14.85" hidden="1" customHeight="1" x14ac:dyDescent="0.25">
      <c r="A69" s="1546"/>
      <c r="B69" s="1549"/>
      <c r="C69" s="1117" t="s">
        <v>358</v>
      </c>
      <c r="D69" s="144" t="s">
        <v>251</v>
      </c>
      <c r="E69" s="94"/>
      <c r="F69" s="80">
        <v>2250</v>
      </c>
      <c r="G69" s="80"/>
      <c r="H69" s="80"/>
      <c r="I69" s="80">
        <v>786</v>
      </c>
      <c r="J69" s="28"/>
      <c r="K69" s="28"/>
      <c r="L69" s="28"/>
    </row>
    <row r="70" spans="1:12" ht="16.5" hidden="1" thickBot="1" x14ac:dyDescent="0.3">
      <c r="A70" s="1546"/>
      <c r="B70" s="1549"/>
      <c r="C70" s="1117"/>
      <c r="D70" s="28" t="s">
        <v>257</v>
      </c>
      <c r="E70" s="94"/>
      <c r="F70" s="80">
        <v>1685</v>
      </c>
      <c r="G70" s="80"/>
      <c r="H70" s="80"/>
      <c r="I70" s="80">
        <v>573</v>
      </c>
      <c r="J70" s="28"/>
      <c r="K70" s="28"/>
      <c r="L70" s="28"/>
    </row>
    <row r="71" spans="1:12" ht="16.5" hidden="1" thickBot="1" x14ac:dyDescent="0.3">
      <c r="A71" s="1546"/>
      <c r="B71" s="1549"/>
      <c r="C71" s="1117"/>
      <c r="D71" s="28" t="s">
        <v>263</v>
      </c>
      <c r="E71" s="94"/>
      <c r="F71" s="80">
        <v>565</v>
      </c>
      <c r="G71" s="80"/>
      <c r="H71" s="80"/>
      <c r="I71" s="80">
        <v>213</v>
      </c>
      <c r="J71" s="28"/>
      <c r="K71" s="28"/>
      <c r="L71" s="28"/>
    </row>
    <row r="72" spans="1:12" ht="16.5" hidden="1" thickBot="1" x14ac:dyDescent="0.3">
      <c r="A72" s="1546"/>
      <c r="B72" s="1549"/>
      <c r="C72" s="1117"/>
      <c r="D72" s="28" t="s">
        <v>357</v>
      </c>
      <c r="E72" s="94"/>
      <c r="F72" s="97">
        <f>F71/F69*100</f>
        <v>25.111111111111111</v>
      </c>
      <c r="G72" s="94"/>
      <c r="H72" s="94"/>
      <c r="I72" s="97">
        <f>I71/I69*100</f>
        <v>27.099236641221374</v>
      </c>
      <c r="J72" s="28"/>
      <c r="K72" s="28"/>
      <c r="L72" s="28"/>
    </row>
    <row r="73" spans="1:12" ht="14.85" hidden="1" customHeight="1" x14ac:dyDescent="0.25">
      <c r="A73" s="1546"/>
      <c r="B73" s="1549"/>
      <c r="C73" s="1117" t="s">
        <v>359</v>
      </c>
      <c r="D73" s="144" t="s">
        <v>251</v>
      </c>
      <c r="E73" s="94"/>
      <c r="F73" s="80">
        <v>2815</v>
      </c>
      <c r="G73" s="80"/>
      <c r="H73" s="80"/>
      <c r="I73" s="80">
        <v>3297</v>
      </c>
      <c r="J73" s="28"/>
      <c r="K73" s="28"/>
      <c r="L73" s="28"/>
    </row>
    <row r="74" spans="1:12" ht="16.5" hidden="1" thickBot="1" x14ac:dyDescent="0.3">
      <c r="A74" s="1546"/>
      <c r="B74" s="1549"/>
      <c r="C74" s="1117"/>
      <c r="D74" s="28" t="s">
        <v>257</v>
      </c>
      <c r="E74" s="94"/>
      <c r="F74" s="80">
        <v>1665</v>
      </c>
      <c r="G74" s="80"/>
      <c r="H74" s="80"/>
      <c r="I74" s="80">
        <v>1920</v>
      </c>
      <c r="J74" s="28"/>
      <c r="K74" s="28"/>
      <c r="L74" s="28"/>
    </row>
    <row r="75" spans="1:12" ht="16.5" hidden="1" thickBot="1" x14ac:dyDescent="0.3">
      <c r="A75" s="1546"/>
      <c r="B75" s="1549"/>
      <c r="C75" s="1117"/>
      <c r="D75" s="28" t="s">
        <v>263</v>
      </c>
      <c r="E75" s="94"/>
      <c r="F75" s="80">
        <v>1155</v>
      </c>
      <c r="G75" s="80"/>
      <c r="H75" s="80"/>
      <c r="I75" s="80">
        <v>1380</v>
      </c>
      <c r="J75" s="28"/>
      <c r="K75" s="28"/>
      <c r="L75" s="28"/>
    </row>
    <row r="76" spans="1:12" ht="16.5" hidden="1" thickBot="1" x14ac:dyDescent="0.3">
      <c r="A76" s="1546"/>
      <c r="B76" s="1549"/>
      <c r="C76" s="1117"/>
      <c r="D76" s="28" t="s">
        <v>357</v>
      </c>
      <c r="E76" s="94"/>
      <c r="F76" s="98">
        <f>F75/F73*100</f>
        <v>41.03019538188277</v>
      </c>
      <c r="G76" s="94"/>
      <c r="H76" s="94"/>
      <c r="I76" s="98">
        <f>I75/I73*100</f>
        <v>41.856232939035486</v>
      </c>
      <c r="J76" s="28"/>
      <c r="K76" s="28"/>
      <c r="L76" s="28"/>
    </row>
    <row r="77" spans="1:12" ht="14.85" hidden="1" customHeight="1" x14ac:dyDescent="0.25">
      <c r="A77" s="1546"/>
      <c r="B77" s="1549"/>
      <c r="C77" s="1117" t="s">
        <v>360</v>
      </c>
      <c r="D77" s="144" t="s">
        <v>251</v>
      </c>
      <c r="E77" s="94"/>
      <c r="F77" s="80">
        <v>3010</v>
      </c>
      <c r="G77" s="80"/>
      <c r="H77" s="80"/>
      <c r="I77" s="80">
        <v>960</v>
      </c>
      <c r="J77" s="28"/>
      <c r="K77" s="28"/>
      <c r="L77" s="28"/>
    </row>
    <row r="78" spans="1:12" ht="16.5" hidden="1" thickBot="1" x14ac:dyDescent="0.3">
      <c r="A78" s="1546"/>
      <c r="B78" s="1549"/>
      <c r="C78" s="1117"/>
      <c r="D78" s="28" t="s">
        <v>257</v>
      </c>
      <c r="E78" s="94"/>
      <c r="F78" s="80">
        <v>2180</v>
      </c>
      <c r="G78" s="80"/>
      <c r="H78" s="80"/>
      <c r="I78" s="80">
        <v>606</v>
      </c>
      <c r="J78" s="28"/>
      <c r="K78" s="28"/>
      <c r="L78" s="28"/>
    </row>
    <row r="79" spans="1:12" ht="16.5" hidden="1" thickBot="1" x14ac:dyDescent="0.3">
      <c r="A79" s="1546"/>
      <c r="B79" s="1549"/>
      <c r="C79" s="1117"/>
      <c r="D79" s="28" t="s">
        <v>263</v>
      </c>
      <c r="E79" s="94"/>
      <c r="F79" s="80">
        <v>830</v>
      </c>
      <c r="G79" s="80"/>
      <c r="H79" s="80"/>
      <c r="I79" s="80">
        <v>351</v>
      </c>
      <c r="J79" s="28"/>
      <c r="K79" s="28"/>
      <c r="L79" s="28"/>
    </row>
    <row r="80" spans="1:12" ht="16.5" hidden="1" thickBot="1" x14ac:dyDescent="0.3">
      <c r="A80" s="1546"/>
      <c r="B80" s="1549"/>
      <c r="C80" s="1117"/>
      <c r="D80" s="28" t="s">
        <v>357</v>
      </c>
      <c r="E80" s="94"/>
      <c r="F80" s="97">
        <f>F79/F77*100</f>
        <v>27.574750830564781</v>
      </c>
      <c r="G80" s="94"/>
      <c r="H80" s="94"/>
      <c r="I80" s="97">
        <f>I79/I77*100</f>
        <v>36.5625</v>
      </c>
      <c r="J80" s="28"/>
      <c r="K80" s="28"/>
      <c r="L80" s="28"/>
    </row>
    <row r="81" spans="1:12" ht="14.85" hidden="1" customHeight="1" x14ac:dyDescent="0.25">
      <c r="A81" s="1546"/>
      <c r="B81" s="1549"/>
      <c r="C81" s="1117" t="s">
        <v>361</v>
      </c>
      <c r="D81" s="144" t="s">
        <v>251</v>
      </c>
      <c r="E81" s="94"/>
      <c r="F81" s="80">
        <v>515</v>
      </c>
      <c r="G81" s="80"/>
      <c r="H81" s="80"/>
      <c r="I81" s="80">
        <v>525</v>
      </c>
      <c r="J81" s="28"/>
      <c r="K81" s="28"/>
      <c r="L81" s="28"/>
    </row>
    <row r="82" spans="1:12" ht="16.5" hidden="1" thickBot="1" x14ac:dyDescent="0.3">
      <c r="A82" s="1546"/>
      <c r="B82" s="1549"/>
      <c r="C82" s="1117"/>
      <c r="D82" s="28" t="s">
        <v>257</v>
      </c>
      <c r="E82" s="94"/>
      <c r="F82" s="80">
        <v>340</v>
      </c>
      <c r="G82" s="80"/>
      <c r="H82" s="80"/>
      <c r="I82" s="80">
        <v>327</v>
      </c>
      <c r="J82" s="28"/>
      <c r="K82" s="28"/>
      <c r="L82" s="28"/>
    </row>
    <row r="83" spans="1:12" ht="16.5" hidden="1" thickBot="1" x14ac:dyDescent="0.3">
      <c r="A83" s="1546"/>
      <c r="B83" s="1549"/>
      <c r="C83" s="1117"/>
      <c r="D83" s="28" t="s">
        <v>263</v>
      </c>
      <c r="E83" s="94"/>
      <c r="F83" s="80">
        <v>175</v>
      </c>
      <c r="G83" s="80"/>
      <c r="H83" s="80"/>
      <c r="I83" s="80">
        <v>195</v>
      </c>
      <c r="J83" s="28"/>
      <c r="K83" s="28"/>
      <c r="L83" s="28"/>
    </row>
    <row r="84" spans="1:12" ht="16.5" hidden="1" thickBot="1" x14ac:dyDescent="0.3">
      <c r="A84" s="1546"/>
      <c r="B84" s="1549"/>
      <c r="C84" s="1117"/>
      <c r="D84" s="28" t="s">
        <v>357</v>
      </c>
      <c r="E84" s="94"/>
      <c r="F84" s="97">
        <f>(F83/F81)*100</f>
        <v>33.980582524271846</v>
      </c>
      <c r="G84" s="94"/>
      <c r="H84" s="94"/>
      <c r="I84" s="97">
        <f>I83/I81*100</f>
        <v>37.142857142857146</v>
      </c>
      <c r="J84" s="28"/>
      <c r="K84" s="28"/>
      <c r="L84" s="28"/>
    </row>
    <row r="85" spans="1:12" ht="14.85" hidden="1" customHeight="1" x14ac:dyDescent="0.25">
      <c r="A85" s="1546"/>
      <c r="B85" s="1549"/>
      <c r="C85" s="1117" t="s">
        <v>362</v>
      </c>
      <c r="D85" s="144" t="s">
        <v>251</v>
      </c>
      <c r="E85" s="94"/>
      <c r="F85" s="80">
        <v>360</v>
      </c>
      <c r="G85" s="80"/>
      <c r="H85" s="80"/>
      <c r="I85" s="80">
        <v>687</v>
      </c>
      <c r="J85" s="28"/>
      <c r="K85" s="28"/>
      <c r="L85" s="28"/>
    </row>
    <row r="86" spans="1:12" ht="15" hidden="1" customHeight="1" x14ac:dyDescent="0.25">
      <c r="A86" s="1546"/>
      <c r="B86" s="1549"/>
      <c r="C86" s="1117"/>
      <c r="D86" s="28" t="s">
        <v>257</v>
      </c>
      <c r="E86" s="94"/>
      <c r="F86" s="80">
        <v>195</v>
      </c>
      <c r="G86" s="80"/>
      <c r="H86" s="80"/>
      <c r="I86" s="80">
        <v>408</v>
      </c>
      <c r="J86" s="28"/>
      <c r="K86" s="28"/>
      <c r="L86" s="28"/>
    </row>
    <row r="87" spans="1:12" ht="16.5" hidden="1" thickBot="1" x14ac:dyDescent="0.3">
      <c r="A87" s="1546"/>
      <c r="B87" s="1549"/>
      <c r="C87" s="1117"/>
      <c r="D87" s="28" t="s">
        <v>263</v>
      </c>
      <c r="E87" s="94"/>
      <c r="F87" s="80">
        <v>165</v>
      </c>
      <c r="G87" s="80"/>
      <c r="H87" s="80"/>
      <c r="I87" s="80">
        <v>279</v>
      </c>
      <c r="J87" s="28"/>
      <c r="K87" s="28"/>
      <c r="L87" s="28"/>
    </row>
    <row r="88" spans="1:12" ht="16.5" hidden="1" thickBot="1" x14ac:dyDescent="0.3">
      <c r="A88" s="1546"/>
      <c r="B88" s="1549"/>
      <c r="C88" s="1117"/>
      <c r="D88" s="28" t="s">
        <v>357</v>
      </c>
      <c r="E88" s="94"/>
      <c r="F88" s="98">
        <f>(F87/F85)*100</f>
        <v>45.833333333333329</v>
      </c>
      <c r="G88" s="94"/>
      <c r="H88" s="94"/>
      <c r="I88" s="98">
        <f>I87/I85*100</f>
        <v>40.611353711790393</v>
      </c>
      <c r="J88" s="28"/>
      <c r="K88" s="28"/>
      <c r="L88" s="28"/>
    </row>
    <row r="89" spans="1:12" ht="16.5" hidden="1" thickBot="1" x14ac:dyDescent="0.3">
      <c r="A89" s="1546"/>
      <c r="B89" s="1549"/>
      <c r="C89" s="1117" t="s">
        <v>363</v>
      </c>
      <c r="D89" s="144" t="s">
        <v>251</v>
      </c>
      <c r="E89" s="94"/>
      <c r="F89" s="80">
        <v>3785</v>
      </c>
      <c r="G89" s="80"/>
      <c r="H89" s="80"/>
      <c r="I89" s="80">
        <v>3741</v>
      </c>
      <c r="J89" s="28"/>
      <c r="K89" s="28"/>
      <c r="L89" s="28"/>
    </row>
    <row r="90" spans="1:12" ht="16.5" hidden="1" thickBot="1" x14ac:dyDescent="0.3">
      <c r="A90" s="1546"/>
      <c r="B90" s="1549"/>
      <c r="C90" s="1117"/>
      <c r="D90" s="28" t="s">
        <v>257</v>
      </c>
      <c r="E90" s="94"/>
      <c r="F90" s="80">
        <v>1160</v>
      </c>
      <c r="G90" s="80"/>
      <c r="H90" s="80"/>
      <c r="I90" s="80">
        <v>1041</v>
      </c>
      <c r="J90" s="28"/>
      <c r="K90" s="28"/>
      <c r="L90" s="28"/>
    </row>
    <row r="91" spans="1:12" ht="16.5" hidden="1" thickBot="1" x14ac:dyDescent="0.3">
      <c r="A91" s="1546"/>
      <c r="B91" s="1549"/>
      <c r="C91" s="1117"/>
      <c r="D91" s="28" t="s">
        <v>263</v>
      </c>
      <c r="E91" s="94"/>
      <c r="F91" s="80">
        <v>2625</v>
      </c>
      <c r="G91" s="80"/>
      <c r="H91" s="80"/>
      <c r="I91" s="80">
        <v>2697</v>
      </c>
      <c r="J91" s="28"/>
      <c r="K91" s="28"/>
      <c r="L91" s="28"/>
    </row>
    <row r="92" spans="1:12" ht="16.5" hidden="1" thickBot="1" x14ac:dyDescent="0.3">
      <c r="A92" s="1546"/>
      <c r="B92" s="1549"/>
      <c r="C92" s="1117"/>
      <c r="D92" s="28" t="s">
        <v>357</v>
      </c>
      <c r="E92" s="94"/>
      <c r="F92" s="99">
        <f>(F91/F89)*100</f>
        <v>69.352708058124179</v>
      </c>
      <c r="G92" s="94"/>
      <c r="H92" s="94"/>
      <c r="I92" s="99">
        <f>I91/I89*100</f>
        <v>72.093023255813947</v>
      </c>
      <c r="J92" s="28"/>
      <c r="K92" s="28"/>
      <c r="L92" s="28"/>
    </row>
    <row r="93" spans="1:12" ht="14.85" hidden="1" customHeight="1" x14ac:dyDescent="0.25">
      <c r="A93" s="1546"/>
      <c r="B93" s="1549"/>
      <c r="C93" s="1117" t="s">
        <v>364</v>
      </c>
      <c r="D93" s="144" t="s">
        <v>251</v>
      </c>
      <c r="E93" s="94"/>
      <c r="F93" s="80">
        <v>2905</v>
      </c>
      <c r="G93" s="80"/>
      <c r="H93" s="80"/>
      <c r="I93" s="80">
        <v>3363</v>
      </c>
      <c r="J93" s="28"/>
      <c r="K93" s="28"/>
      <c r="L93" s="28"/>
    </row>
    <row r="94" spans="1:12" ht="14.85" hidden="1" customHeight="1" x14ac:dyDescent="0.25">
      <c r="A94" s="1546"/>
      <c r="B94" s="1549"/>
      <c r="C94" s="1117"/>
      <c r="D94" s="28" t="s">
        <v>257</v>
      </c>
      <c r="E94" s="94"/>
      <c r="F94" s="80">
        <v>825</v>
      </c>
      <c r="G94" s="80"/>
      <c r="H94" s="80"/>
      <c r="I94" s="80">
        <v>1284</v>
      </c>
      <c r="J94" s="28"/>
      <c r="K94" s="28"/>
      <c r="L94" s="28"/>
    </row>
    <row r="95" spans="1:12" ht="16.5" hidden="1" thickBot="1" x14ac:dyDescent="0.3">
      <c r="A95" s="1546"/>
      <c r="B95" s="1549"/>
      <c r="C95" s="1117"/>
      <c r="D95" s="28" t="s">
        <v>263</v>
      </c>
      <c r="E95" s="94"/>
      <c r="F95" s="80">
        <v>2080</v>
      </c>
      <c r="G95" s="80"/>
      <c r="H95" s="80"/>
      <c r="I95" s="80">
        <v>2076</v>
      </c>
      <c r="J95" s="28"/>
      <c r="K95" s="28"/>
      <c r="L95" s="28"/>
    </row>
    <row r="96" spans="1:12" ht="16.5" hidden="1" thickBot="1" x14ac:dyDescent="0.3">
      <c r="A96" s="1546"/>
      <c r="B96" s="1549"/>
      <c r="C96" s="1117"/>
      <c r="D96" s="28" t="s">
        <v>357</v>
      </c>
      <c r="E96" s="94"/>
      <c r="F96" s="99">
        <f>(F95/F93)*100</f>
        <v>71.600688468158353</v>
      </c>
      <c r="G96" s="94"/>
      <c r="H96" s="94"/>
      <c r="I96" s="99">
        <f>I95/I93*100</f>
        <v>61.730597680642283</v>
      </c>
      <c r="J96" s="28"/>
      <c r="K96" s="28"/>
      <c r="L96" s="28"/>
    </row>
    <row r="97" spans="1:12" ht="14.85" hidden="1" customHeight="1" x14ac:dyDescent="0.25">
      <c r="A97" s="1546"/>
      <c r="B97" s="1549"/>
      <c r="C97" s="1117" t="s">
        <v>365</v>
      </c>
      <c r="D97" s="144" t="s">
        <v>251</v>
      </c>
      <c r="E97" s="94"/>
      <c r="F97" s="80">
        <v>495</v>
      </c>
      <c r="G97" s="80"/>
      <c r="H97" s="80"/>
      <c r="I97" s="80">
        <v>1026</v>
      </c>
      <c r="J97" s="28"/>
      <c r="K97" s="28"/>
      <c r="L97" s="28"/>
    </row>
    <row r="98" spans="1:12" ht="16.5" hidden="1" thickBot="1" x14ac:dyDescent="0.3">
      <c r="A98" s="1546"/>
      <c r="B98" s="1549"/>
      <c r="C98" s="1117"/>
      <c r="D98" s="28" t="s">
        <v>257</v>
      </c>
      <c r="E98" s="94"/>
      <c r="F98" s="80">
        <v>115</v>
      </c>
      <c r="G98" s="80"/>
      <c r="H98" s="80"/>
      <c r="I98" s="80">
        <v>387</v>
      </c>
      <c r="J98" s="28"/>
      <c r="K98" s="28"/>
      <c r="L98" s="28"/>
    </row>
    <row r="99" spans="1:12" ht="16.5" hidden="1" thickBot="1" x14ac:dyDescent="0.3">
      <c r="A99" s="1546"/>
      <c r="B99" s="1549"/>
      <c r="C99" s="1117"/>
      <c r="D99" s="28" t="s">
        <v>263</v>
      </c>
      <c r="E99" s="94"/>
      <c r="F99" s="80">
        <v>380</v>
      </c>
      <c r="G99" s="80"/>
      <c r="H99" s="80"/>
      <c r="I99" s="80">
        <v>639</v>
      </c>
      <c r="J99" s="28"/>
      <c r="K99" s="28"/>
      <c r="L99" s="28"/>
    </row>
    <row r="100" spans="1:12" ht="16.5" hidden="1" thickBot="1" x14ac:dyDescent="0.3">
      <c r="A100" s="1546"/>
      <c r="B100" s="1549"/>
      <c r="C100" s="1117"/>
      <c r="D100" s="28" t="s">
        <v>357</v>
      </c>
      <c r="E100" s="94"/>
      <c r="F100" s="99">
        <f>(F99/F97)*100</f>
        <v>76.767676767676761</v>
      </c>
      <c r="G100" s="94"/>
      <c r="H100" s="94"/>
      <c r="I100" s="99">
        <f>I99/I97*100</f>
        <v>62.280701754385973</v>
      </c>
      <c r="J100" s="28"/>
      <c r="K100" s="28"/>
      <c r="L100" s="28"/>
    </row>
    <row r="101" spans="1:12" ht="14.85" hidden="1" customHeight="1" x14ac:dyDescent="0.25">
      <c r="A101" s="1546"/>
      <c r="B101" s="1549"/>
      <c r="C101" s="1117" t="s">
        <v>366</v>
      </c>
      <c r="D101" s="144" t="s">
        <v>251</v>
      </c>
      <c r="E101" s="94"/>
      <c r="F101" s="80">
        <v>5220</v>
      </c>
      <c r="G101" s="80"/>
      <c r="H101" s="80"/>
      <c r="I101" s="80">
        <v>4332</v>
      </c>
      <c r="J101" s="28"/>
      <c r="K101" s="28"/>
      <c r="L101" s="28"/>
    </row>
    <row r="102" spans="1:12" ht="16.5" hidden="1" thickBot="1" x14ac:dyDescent="0.3">
      <c r="A102" s="1546"/>
      <c r="B102" s="1549"/>
      <c r="C102" s="1117"/>
      <c r="D102" s="28" t="s">
        <v>257</v>
      </c>
      <c r="E102" s="94"/>
      <c r="F102" s="80">
        <v>3185</v>
      </c>
      <c r="G102" s="80"/>
      <c r="H102" s="80"/>
      <c r="I102" s="80">
        <v>2733</v>
      </c>
      <c r="J102" s="28"/>
      <c r="K102" s="28"/>
      <c r="L102" s="28"/>
    </row>
    <row r="103" spans="1:12" ht="16.5" hidden="1" thickBot="1" x14ac:dyDescent="0.3">
      <c r="A103" s="1546"/>
      <c r="B103" s="1549"/>
      <c r="C103" s="1117"/>
      <c r="D103" s="28" t="s">
        <v>263</v>
      </c>
      <c r="E103" s="94"/>
      <c r="F103" s="80">
        <v>2035</v>
      </c>
      <c r="G103" s="80"/>
      <c r="H103" s="80"/>
      <c r="I103" s="80">
        <v>1599</v>
      </c>
      <c r="J103" s="28"/>
      <c r="K103" s="28"/>
      <c r="L103" s="28"/>
    </row>
    <row r="104" spans="1:12" ht="16.5" hidden="1" thickBot="1" x14ac:dyDescent="0.3">
      <c r="A104" s="1546"/>
      <c r="B104" s="1549"/>
      <c r="C104" s="1117"/>
      <c r="D104" s="28" t="s">
        <v>357</v>
      </c>
      <c r="E104" s="94"/>
      <c r="F104" s="97">
        <f>(F103/F101)*100</f>
        <v>38.984674329501914</v>
      </c>
      <c r="G104" s="94"/>
      <c r="H104" s="94"/>
      <c r="I104" s="97">
        <f>I103/I101*100</f>
        <v>36.911357340720215</v>
      </c>
      <c r="J104" s="28"/>
      <c r="K104" s="28"/>
      <c r="L104" s="28"/>
    </row>
    <row r="105" spans="1:12" ht="16.5" hidden="1" thickBot="1" x14ac:dyDescent="0.3">
      <c r="A105" s="1546"/>
      <c r="B105" s="1549"/>
      <c r="C105" s="1117" t="s">
        <v>367</v>
      </c>
      <c r="D105" s="144" t="s">
        <v>251</v>
      </c>
      <c r="E105" s="94"/>
      <c r="F105" s="80">
        <v>3055</v>
      </c>
      <c r="G105" s="80"/>
      <c r="H105" s="80"/>
      <c r="I105" s="80">
        <v>3300</v>
      </c>
      <c r="J105" s="96"/>
      <c r="K105" s="28"/>
      <c r="L105" s="28"/>
    </row>
    <row r="106" spans="1:12" ht="16.5" hidden="1" thickBot="1" x14ac:dyDescent="0.3">
      <c r="A106" s="1546"/>
      <c r="B106" s="1549"/>
      <c r="C106" s="1117"/>
      <c r="D106" s="28" t="s">
        <v>257</v>
      </c>
      <c r="E106" s="94"/>
      <c r="F106" s="80">
        <v>1655</v>
      </c>
      <c r="G106" s="80"/>
      <c r="H106" s="80"/>
      <c r="I106" s="80">
        <v>1638</v>
      </c>
      <c r="J106" s="96"/>
      <c r="K106" s="28"/>
      <c r="L106" s="28"/>
    </row>
    <row r="107" spans="1:12" ht="16.5" hidden="1" thickBot="1" x14ac:dyDescent="0.3">
      <c r="A107" s="1546"/>
      <c r="B107" s="1549"/>
      <c r="C107" s="1117"/>
      <c r="D107" s="28" t="s">
        <v>263</v>
      </c>
      <c r="E107" s="94"/>
      <c r="F107" s="80">
        <v>1405</v>
      </c>
      <c r="G107" s="80"/>
      <c r="H107" s="80"/>
      <c r="I107" s="80">
        <v>1665</v>
      </c>
      <c r="J107" s="96"/>
      <c r="K107" s="28"/>
      <c r="L107" s="28"/>
    </row>
    <row r="108" spans="1:12" ht="16.5" hidden="1" thickBot="1" x14ac:dyDescent="0.3">
      <c r="A108" s="1546"/>
      <c r="B108" s="1549"/>
      <c r="C108" s="1117"/>
      <c r="D108" s="28" t="s">
        <v>357</v>
      </c>
      <c r="E108" s="94"/>
      <c r="F108" s="98">
        <f>(F107/F105)*100</f>
        <v>45.990180032733221</v>
      </c>
      <c r="G108" s="94"/>
      <c r="H108" s="94"/>
      <c r="I108" s="98">
        <f>I107/I105*100</f>
        <v>50.454545454545453</v>
      </c>
      <c r="J108" s="96"/>
      <c r="K108" s="28"/>
      <c r="L108" s="28"/>
    </row>
    <row r="109" spans="1:12" ht="14.85" hidden="1" customHeight="1" x14ac:dyDescent="0.25">
      <c r="A109" s="1546"/>
      <c r="B109" s="1549"/>
      <c r="C109" s="1117" t="s">
        <v>368</v>
      </c>
      <c r="D109" s="144" t="s">
        <v>251</v>
      </c>
      <c r="E109" s="94"/>
      <c r="F109" s="80">
        <v>4720</v>
      </c>
      <c r="G109" s="80"/>
      <c r="H109" s="80"/>
      <c r="I109" s="80">
        <v>6444</v>
      </c>
      <c r="J109" s="96"/>
      <c r="K109" s="28"/>
      <c r="L109" s="28"/>
    </row>
    <row r="110" spans="1:12" ht="16.5" hidden="1" thickBot="1" x14ac:dyDescent="0.3">
      <c r="A110" s="1546"/>
      <c r="B110" s="1549"/>
      <c r="C110" s="1117"/>
      <c r="D110" s="28" t="s">
        <v>257</v>
      </c>
      <c r="E110" s="94"/>
      <c r="F110" s="80">
        <v>1920</v>
      </c>
      <c r="G110" s="80"/>
      <c r="H110" s="80"/>
      <c r="I110" s="80">
        <v>3042</v>
      </c>
      <c r="J110" s="96"/>
      <c r="K110" s="28"/>
      <c r="L110" s="28"/>
    </row>
    <row r="111" spans="1:12" ht="16.5" hidden="1" thickBot="1" x14ac:dyDescent="0.3">
      <c r="A111" s="1546"/>
      <c r="B111" s="1549"/>
      <c r="C111" s="1117"/>
      <c r="D111" s="28" t="s">
        <v>263</v>
      </c>
      <c r="E111" s="94"/>
      <c r="F111" s="80">
        <v>2800</v>
      </c>
      <c r="G111" s="80"/>
      <c r="H111" s="80"/>
      <c r="I111" s="80">
        <v>3399</v>
      </c>
      <c r="J111" s="96"/>
      <c r="K111" s="28"/>
      <c r="L111" s="28"/>
    </row>
    <row r="112" spans="1:12" ht="16.5" hidden="1" thickBot="1" x14ac:dyDescent="0.3">
      <c r="A112" s="1546"/>
      <c r="B112" s="1549"/>
      <c r="C112" s="1117"/>
      <c r="D112" s="28" t="s">
        <v>357</v>
      </c>
      <c r="E112" s="94"/>
      <c r="F112" s="98">
        <f>(F111/F109)*100</f>
        <v>59.322033898305079</v>
      </c>
      <c r="G112" s="94"/>
      <c r="H112" s="94"/>
      <c r="I112" s="98">
        <f>I111/I109*100</f>
        <v>52.746741154562379</v>
      </c>
      <c r="J112" s="96"/>
      <c r="K112" s="28"/>
      <c r="L112" s="28"/>
    </row>
    <row r="113" spans="1:12" ht="14.85" hidden="1" customHeight="1" x14ac:dyDescent="0.25">
      <c r="A113" s="1546"/>
      <c r="B113" s="1549"/>
      <c r="C113" s="1117" t="s">
        <v>369</v>
      </c>
      <c r="D113" s="144" t="s">
        <v>251</v>
      </c>
      <c r="E113" s="94"/>
      <c r="F113" s="80">
        <v>1100</v>
      </c>
      <c r="G113" s="80"/>
      <c r="H113" s="80"/>
      <c r="I113" s="80">
        <v>2040</v>
      </c>
      <c r="J113" s="96"/>
      <c r="K113" s="28"/>
      <c r="L113" s="28"/>
    </row>
    <row r="114" spans="1:12" ht="16.5" hidden="1" thickBot="1" x14ac:dyDescent="0.3">
      <c r="A114" s="1546"/>
      <c r="B114" s="1549"/>
      <c r="C114" s="1117"/>
      <c r="D114" s="28" t="s">
        <v>257</v>
      </c>
      <c r="E114" s="94"/>
      <c r="F114" s="80">
        <v>725</v>
      </c>
      <c r="G114" s="80"/>
      <c r="H114" s="80"/>
      <c r="I114" s="80">
        <v>1359</v>
      </c>
      <c r="J114" s="96"/>
      <c r="K114" s="28"/>
      <c r="L114" s="28"/>
    </row>
    <row r="115" spans="1:12" ht="16.5" hidden="1" thickBot="1" x14ac:dyDescent="0.3">
      <c r="A115" s="1546"/>
      <c r="B115" s="1549"/>
      <c r="C115" s="1117"/>
      <c r="D115" s="28" t="s">
        <v>263</v>
      </c>
      <c r="E115" s="94"/>
      <c r="F115" s="80">
        <v>375</v>
      </c>
      <c r="G115" s="80"/>
      <c r="H115" s="80"/>
      <c r="I115" s="80">
        <v>678</v>
      </c>
      <c r="J115" s="96"/>
      <c r="K115" s="28"/>
      <c r="L115" s="28"/>
    </row>
    <row r="116" spans="1:12" ht="16.5" hidden="1" thickBot="1" x14ac:dyDescent="0.3">
      <c r="A116" s="1546"/>
      <c r="B116" s="1549"/>
      <c r="C116" s="1117"/>
      <c r="D116" s="28" t="s">
        <v>357</v>
      </c>
      <c r="E116" s="94"/>
      <c r="F116" s="97">
        <f>(F115/F113)*100</f>
        <v>34.090909090909086</v>
      </c>
      <c r="G116" s="94"/>
      <c r="H116" s="94"/>
      <c r="I116" s="97">
        <f>I115/I113*100</f>
        <v>33.235294117647058</v>
      </c>
      <c r="J116" s="96"/>
      <c r="K116" s="28"/>
      <c r="L116" s="28"/>
    </row>
    <row r="117" spans="1:12" ht="14.85" hidden="1" customHeight="1" x14ac:dyDescent="0.25">
      <c r="A117" s="1546"/>
      <c r="B117" s="1549"/>
      <c r="C117" s="1117" t="s">
        <v>370</v>
      </c>
      <c r="D117" s="144" t="s">
        <v>251</v>
      </c>
      <c r="E117" s="94"/>
      <c r="F117" s="80">
        <v>2520</v>
      </c>
      <c r="G117" s="80"/>
      <c r="H117" s="80"/>
      <c r="I117" s="80">
        <v>1290</v>
      </c>
      <c r="J117" s="96"/>
      <c r="K117" s="28"/>
      <c r="L117" s="28"/>
    </row>
    <row r="118" spans="1:12" ht="16.5" hidden="1" thickBot="1" x14ac:dyDescent="0.3">
      <c r="A118" s="1546"/>
      <c r="B118" s="1549"/>
      <c r="C118" s="1117"/>
      <c r="D118" s="28" t="s">
        <v>257</v>
      </c>
      <c r="E118" s="94"/>
      <c r="F118" s="80">
        <v>1265</v>
      </c>
      <c r="G118" s="80"/>
      <c r="H118" s="80"/>
      <c r="I118" s="80">
        <v>492</v>
      </c>
      <c r="J118" s="96"/>
      <c r="K118" s="28"/>
      <c r="L118" s="28"/>
    </row>
    <row r="119" spans="1:12" ht="16.5" hidden="1" thickBot="1" x14ac:dyDescent="0.3">
      <c r="A119" s="1546"/>
      <c r="B119" s="1549"/>
      <c r="C119" s="1117"/>
      <c r="D119" s="28" t="s">
        <v>263</v>
      </c>
      <c r="E119" s="94"/>
      <c r="F119" s="80">
        <v>1250</v>
      </c>
      <c r="G119" s="80"/>
      <c r="H119" s="80"/>
      <c r="I119" s="80">
        <v>801</v>
      </c>
      <c r="J119" s="96"/>
      <c r="K119" s="28"/>
      <c r="L119" s="28"/>
    </row>
    <row r="120" spans="1:12" ht="16.5" hidden="1" thickBot="1" x14ac:dyDescent="0.3">
      <c r="A120" s="1546"/>
      <c r="B120" s="1549"/>
      <c r="C120" s="1117"/>
      <c r="D120" s="28" t="s">
        <v>357</v>
      </c>
      <c r="E120" s="94"/>
      <c r="F120" s="98">
        <f>(F119/F117)*100</f>
        <v>49.603174603174608</v>
      </c>
      <c r="G120" s="94"/>
      <c r="H120" s="94"/>
      <c r="I120" s="99">
        <f>I119/I117*100</f>
        <v>62.093023255813954</v>
      </c>
      <c r="J120" s="96"/>
      <c r="K120" s="28"/>
      <c r="L120" s="28"/>
    </row>
    <row r="121" spans="1:12" ht="14.85" hidden="1" customHeight="1" x14ac:dyDescent="0.25">
      <c r="A121" s="1546"/>
      <c r="B121" s="1549"/>
      <c r="C121" s="1117" t="s">
        <v>371</v>
      </c>
      <c r="D121" s="144" t="s">
        <v>251</v>
      </c>
      <c r="E121" s="94"/>
      <c r="F121" s="80">
        <v>10</v>
      </c>
      <c r="G121" s="80"/>
      <c r="H121" s="80"/>
      <c r="I121" s="80">
        <v>1506</v>
      </c>
      <c r="J121" s="96"/>
      <c r="K121" s="28"/>
      <c r="L121" s="28"/>
    </row>
    <row r="122" spans="1:12" ht="16.5" hidden="1" thickBot="1" x14ac:dyDescent="0.3">
      <c r="A122" s="1546"/>
      <c r="B122" s="1549"/>
      <c r="C122" s="1117"/>
      <c r="D122" s="28" t="s">
        <v>257</v>
      </c>
      <c r="E122" s="94"/>
      <c r="F122" s="80">
        <v>0</v>
      </c>
      <c r="G122" s="80"/>
      <c r="H122" s="80"/>
      <c r="I122" s="80">
        <v>648</v>
      </c>
      <c r="J122" s="96"/>
      <c r="K122" s="28"/>
      <c r="L122" s="28"/>
    </row>
    <row r="123" spans="1:12" ht="16.5" hidden="1" thickBot="1" x14ac:dyDescent="0.3">
      <c r="A123" s="1546"/>
      <c r="B123" s="1549"/>
      <c r="C123" s="1117"/>
      <c r="D123" s="28" t="s">
        <v>263</v>
      </c>
      <c r="E123" s="94"/>
      <c r="F123" s="80">
        <v>10</v>
      </c>
      <c r="G123" s="80"/>
      <c r="H123" s="80"/>
      <c r="I123" s="80">
        <v>861</v>
      </c>
      <c r="J123" s="96"/>
      <c r="K123" s="28"/>
      <c r="L123" s="28"/>
    </row>
    <row r="124" spans="1:12" ht="16.5" hidden="1" thickBot="1" x14ac:dyDescent="0.3">
      <c r="A124" s="1546"/>
      <c r="B124" s="1549"/>
      <c r="C124" s="1117"/>
      <c r="D124" s="28" t="s">
        <v>357</v>
      </c>
      <c r="E124" s="94"/>
      <c r="F124" s="99">
        <f>(F123/F121)*100</f>
        <v>100</v>
      </c>
      <c r="G124" s="94"/>
      <c r="H124" s="94"/>
      <c r="I124" s="98">
        <f>I123/I121*100</f>
        <v>57.171314741035864</v>
      </c>
      <c r="J124" s="96"/>
      <c r="K124" s="28"/>
      <c r="L124" s="28"/>
    </row>
    <row r="125" spans="1:12" ht="14.85" hidden="1" customHeight="1" x14ac:dyDescent="0.25">
      <c r="A125" s="1546"/>
      <c r="B125" s="1549"/>
      <c r="C125" s="1117" t="s">
        <v>372</v>
      </c>
      <c r="D125" s="144" t="s">
        <v>251</v>
      </c>
      <c r="E125" s="94"/>
      <c r="F125" s="80">
        <v>1260</v>
      </c>
      <c r="G125" s="80"/>
      <c r="H125" s="80"/>
      <c r="I125" s="80">
        <v>930</v>
      </c>
      <c r="J125" s="96"/>
      <c r="K125" s="28"/>
      <c r="L125" s="28"/>
    </row>
    <row r="126" spans="1:12" ht="14.85" hidden="1" customHeight="1" x14ac:dyDescent="0.25">
      <c r="A126" s="1546"/>
      <c r="B126" s="1549"/>
      <c r="C126" s="1117"/>
      <c r="D126" s="28" t="s">
        <v>257</v>
      </c>
      <c r="E126" s="94"/>
      <c r="F126" s="80">
        <v>815</v>
      </c>
      <c r="G126" s="80"/>
      <c r="H126" s="80"/>
      <c r="I126" s="80">
        <v>579</v>
      </c>
      <c r="J126" s="96"/>
      <c r="K126" s="28"/>
      <c r="L126" s="28"/>
    </row>
    <row r="127" spans="1:12" ht="16.5" hidden="1" thickBot="1" x14ac:dyDescent="0.3">
      <c r="A127" s="1546"/>
      <c r="B127" s="1549"/>
      <c r="C127" s="1117"/>
      <c r="D127" s="28" t="s">
        <v>263</v>
      </c>
      <c r="E127" s="94"/>
      <c r="F127" s="80">
        <v>445</v>
      </c>
      <c r="G127" s="80"/>
      <c r="H127" s="80"/>
      <c r="I127" s="80">
        <v>351</v>
      </c>
      <c r="J127" s="96"/>
      <c r="K127" s="28"/>
      <c r="L127" s="28"/>
    </row>
    <row r="128" spans="1:12" ht="16.5" hidden="1" thickBot="1" x14ac:dyDescent="0.3">
      <c r="A128" s="1546"/>
      <c r="B128" s="1549"/>
      <c r="C128" s="1117"/>
      <c r="D128" s="28" t="s">
        <v>357</v>
      </c>
      <c r="E128" s="94"/>
      <c r="F128" s="97">
        <f>(F127/F125)*100</f>
        <v>35.317460317460316</v>
      </c>
      <c r="G128" s="94"/>
      <c r="H128" s="94"/>
      <c r="I128" s="97">
        <f>I127/I125*100</f>
        <v>37.741935483870968</v>
      </c>
      <c r="J128" s="96"/>
      <c r="K128" s="28"/>
      <c r="L128" s="28"/>
    </row>
    <row r="129" spans="1:12" ht="14.85" hidden="1" customHeight="1" x14ac:dyDescent="0.25">
      <c r="A129" s="1546"/>
      <c r="B129" s="1549"/>
      <c r="C129" s="1117" t="s">
        <v>373</v>
      </c>
      <c r="D129" s="144" t="s">
        <v>251</v>
      </c>
      <c r="E129" s="94"/>
      <c r="F129" s="80">
        <v>290</v>
      </c>
      <c r="G129" s="80"/>
      <c r="H129" s="80"/>
      <c r="I129" s="80">
        <v>123</v>
      </c>
      <c r="J129" s="96"/>
      <c r="K129" s="28"/>
      <c r="L129" s="28"/>
    </row>
    <row r="130" spans="1:12" ht="16.5" hidden="1" thickBot="1" x14ac:dyDescent="0.3">
      <c r="A130" s="1546"/>
      <c r="B130" s="1549"/>
      <c r="C130" s="1117"/>
      <c r="D130" s="28" t="s">
        <v>257</v>
      </c>
      <c r="E130" s="94"/>
      <c r="F130" s="80">
        <v>230</v>
      </c>
      <c r="G130" s="80"/>
      <c r="H130" s="80"/>
      <c r="I130" s="80">
        <v>81</v>
      </c>
      <c r="J130" s="96"/>
      <c r="K130" s="28"/>
      <c r="L130" s="28"/>
    </row>
    <row r="131" spans="1:12" ht="16.5" hidden="1" thickBot="1" x14ac:dyDescent="0.3">
      <c r="A131" s="1546"/>
      <c r="B131" s="1549"/>
      <c r="C131" s="1117"/>
      <c r="D131" s="28" t="s">
        <v>263</v>
      </c>
      <c r="E131" s="94"/>
      <c r="F131" s="80">
        <v>60</v>
      </c>
      <c r="G131" s="80"/>
      <c r="H131" s="80"/>
      <c r="I131" s="80">
        <v>42</v>
      </c>
      <c r="J131" s="96"/>
      <c r="K131" s="28"/>
      <c r="L131" s="28"/>
    </row>
    <row r="132" spans="1:12" ht="16.5" hidden="1" thickBot="1" x14ac:dyDescent="0.3">
      <c r="A132" s="1546"/>
      <c r="B132" s="1549"/>
      <c r="C132" s="1117"/>
      <c r="D132" s="28" t="s">
        <v>357</v>
      </c>
      <c r="E132" s="94"/>
      <c r="F132" s="97">
        <f>(F131/F129)*100</f>
        <v>20.689655172413794</v>
      </c>
      <c r="G132" s="94"/>
      <c r="H132" s="94"/>
      <c r="I132" s="97">
        <f>I131/I129*100</f>
        <v>34.146341463414636</v>
      </c>
      <c r="J132" s="96"/>
      <c r="K132" s="28"/>
      <c r="L132" s="28"/>
    </row>
    <row r="133" spans="1:12" ht="14.85" hidden="1" customHeight="1" x14ac:dyDescent="0.25">
      <c r="A133" s="1546"/>
      <c r="B133" s="1549"/>
      <c r="C133" s="1117" t="s">
        <v>374</v>
      </c>
      <c r="D133" s="144" t="s">
        <v>251</v>
      </c>
      <c r="E133" s="94"/>
      <c r="F133" s="80">
        <v>210</v>
      </c>
      <c r="G133" s="80"/>
      <c r="H133" s="80"/>
      <c r="I133" s="80">
        <v>264</v>
      </c>
      <c r="J133" s="96"/>
      <c r="K133" s="28"/>
      <c r="L133" s="28"/>
    </row>
    <row r="134" spans="1:12" ht="16.5" hidden="1" thickBot="1" x14ac:dyDescent="0.3">
      <c r="A134" s="1546"/>
      <c r="B134" s="1549"/>
      <c r="C134" s="1117"/>
      <c r="D134" s="28" t="s">
        <v>257</v>
      </c>
      <c r="E134" s="94"/>
      <c r="F134" s="80">
        <v>105</v>
      </c>
      <c r="G134" s="80"/>
      <c r="H134" s="80"/>
      <c r="I134" s="80">
        <v>84</v>
      </c>
      <c r="J134" s="96"/>
      <c r="K134" s="28"/>
      <c r="L134" s="28"/>
    </row>
    <row r="135" spans="1:12" ht="16.5" hidden="1" thickBot="1" x14ac:dyDescent="0.3">
      <c r="A135" s="1546"/>
      <c r="B135" s="1549"/>
      <c r="C135" s="1117"/>
      <c r="D135" s="28" t="s">
        <v>263</v>
      </c>
      <c r="E135" s="94"/>
      <c r="F135" s="80">
        <v>110</v>
      </c>
      <c r="G135" s="80"/>
      <c r="H135" s="80"/>
      <c r="I135" s="80">
        <v>180</v>
      </c>
      <c r="J135" s="96"/>
      <c r="K135" s="28"/>
      <c r="L135" s="28"/>
    </row>
    <row r="136" spans="1:12" ht="16.5" hidden="1" thickBot="1" x14ac:dyDescent="0.3">
      <c r="A136" s="1546"/>
      <c r="B136" s="1549"/>
      <c r="C136" s="1117"/>
      <c r="D136" s="28" t="s">
        <v>357</v>
      </c>
      <c r="E136" s="94"/>
      <c r="F136" s="98">
        <f>(F135/F133)*100</f>
        <v>52.380952380952387</v>
      </c>
      <c r="G136" s="94"/>
      <c r="H136" s="94"/>
      <c r="I136" s="99">
        <f>I135/I133*100</f>
        <v>68.181818181818173</v>
      </c>
      <c r="J136" s="96"/>
      <c r="K136" s="28"/>
      <c r="L136" s="28"/>
    </row>
    <row r="137" spans="1:12" ht="14.85" hidden="1" customHeight="1" x14ac:dyDescent="0.25">
      <c r="A137" s="1546"/>
      <c r="B137" s="1549"/>
      <c r="C137" s="1117" t="s">
        <v>375</v>
      </c>
      <c r="D137" s="144" t="s">
        <v>251</v>
      </c>
      <c r="E137" s="94"/>
      <c r="F137" s="80">
        <v>70</v>
      </c>
      <c r="G137" s="80"/>
      <c r="H137" s="80"/>
      <c r="I137" s="80">
        <v>255</v>
      </c>
      <c r="J137" s="96"/>
      <c r="K137" s="28"/>
      <c r="L137" s="28"/>
    </row>
    <row r="138" spans="1:12" ht="14.85" hidden="1" customHeight="1" x14ac:dyDescent="0.25">
      <c r="A138" s="1546"/>
      <c r="B138" s="1549"/>
      <c r="C138" s="1117"/>
      <c r="D138" s="28" t="s">
        <v>257</v>
      </c>
      <c r="E138" s="94"/>
      <c r="F138" s="80">
        <v>45</v>
      </c>
      <c r="G138" s="80"/>
      <c r="H138" s="80"/>
      <c r="I138" s="80">
        <v>138</v>
      </c>
      <c r="J138" s="96"/>
      <c r="K138" s="28"/>
      <c r="L138" s="28"/>
    </row>
    <row r="139" spans="1:12" ht="16.5" hidden="1" thickBot="1" x14ac:dyDescent="0.3">
      <c r="A139" s="1546"/>
      <c r="B139" s="1549"/>
      <c r="C139" s="1117"/>
      <c r="D139" s="28" t="s">
        <v>263</v>
      </c>
      <c r="E139" s="94"/>
      <c r="F139" s="80">
        <v>25</v>
      </c>
      <c r="G139" s="80"/>
      <c r="H139" s="80"/>
      <c r="I139" s="80">
        <v>120</v>
      </c>
      <c r="J139" s="96"/>
      <c r="K139" s="28"/>
      <c r="L139" s="28"/>
    </row>
    <row r="140" spans="1:12" ht="16.5" hidden="1" thickBot="1" x14ac:dyDescent="0.3">
      <c r="A140" s="1546"/>
      <c r="B140" s="1549"/>
      <c r="C140" s="1117"/>
      <c r="D140" s="28" t="s">
        <v>357</v>
      </c>
      <c r="E140" s="94"/>
      <c r="F140" s="97">
        <f>(F139/F137)*100</f>
        <v>35.714285714285715</v>
      </c>
      <c r="G140" s="94"/>
      <c r="H140" s="94"/>
      <c r="I140" s="98">
        <f>I139/I137*100</f>
        <v>47.058823529411761</v>
      </c>
      <c r="J140" s="96"/>
      <c r="K140" s="28"/>
      <c r="L140" s="28"/>
    </row>
    <row r="141" spans="1:12" ht="14.85" hidden="1" customHeight="1" x14ac:dyDescent="0.25">
      <c r="A141" s="1546"/>
      <c r="B141" s="1549"/>
      <c r="C141" s="1117" t="s">
        <v>376</v>
      </c>
      <c r="D141" s="144" t="s">
        <v>251</v>
      </c>
      <c r="E141" s="94"/>
      <c r="F141" s="80">
        <v>1635</v>
      </c>
      <c r="G141" s="80"/>
      <c r="H141" s="80"/>
      <c r="I141" s="80">
        <v>2697</v>
      </c>
      <c r="J141" s="96"/>
      <c r="K141" s="28"/>
      <c r="L141" s="28"/>
    </row>
    <row r="142" spans="1:12" ht="14.85" hidden="1" customHeight="1" x14ac:dyDescent="0.25">
      <c r="A142" s="1546"/>
      <c r="B142" s="1549"/>
      <c r="C142" s="1117"/>
      <c r="D142" s="28" t="s">
        <v>257</v>
      </c>
      <c r="E142" s="94"/>
      <c r="F142" s="80">
        <v>920</v>
      </c>
      <c r="G142" s="80"/>
      <c r="H142" s="80"/>
      <c r="I142" s="80">
        <v>1509</v>
      </c>
      <c r="J142" s="96"/>
      <c r="K142" s="28"/>
      <c r="L142" s="28"/>
    </row>
    <row r="143" spans="1:12" ht="16.5" hidden="1" thickBot="1" x14ac:dyDescent="0.3">
      <c r="A143" s="1546"/>
      <c r="B143" s="1549"/>
      <c r="C143" s="1117"/>
      <c r="D143" s="28" t="s">
        <v>263</v>
      </c>
      <c r="E143" s="94"/>
      <c r="F143" s="80">
        <v>715</v>
      </c>
      <c r="G143" s="80"/>
      <c r="H143" s="80"/>
      <c r="I143" s="80">
        <v>1188</v>
      </c>
      <c r="J143" s="96"/>
      <c r="K143" s="28"/>
      <c r="L143" s="28"/>
    </row>
    <row r="144" spans="1:12" ht="16.5" hidden="1" thickBot="1" x14ac:dyDescent="0.3">
      <c r="A144" s="1546"/>
      <c r="B144" s="1549"/>
      <c r="C144" s="1117"/>
      <c r="D144" s="28" t="s">
        <v>357</v>
      </c>
      <c r="E144" s="94"/>
      <c r="F144" s="98">
        <f>(F143/F141)*100</f>
        <v>43.730886850152906</v>
      </c>
      <c r="G144" s="94"/>
      <c r="H144" s="94"/>
      <c r="I144" s="98">
        <f>I143/I141*100</f>
        <v>44.048943270300335</v>
      </c>
      <c r="J144" s="96"/>
      <c r="K144" s="28"/>
      <c r="L144" s="28"/>
    </row>
    <row r="145" spans="1:12" ht="14.85" hidden="1" customHeight="1" x14ac:dyDescent="0.25">
      <c r="A145" s="1546"/>
      <c r="B145" s="1549"/>
      <c r="C145" s="1117" t="s">
        <v>377</v>
      </c>
      <c r="D145" s="144" t="s">
        <v>251</v>
      </c>
      <c r="E145" s="94"/>
      <c r="F145" s="80">
        <v>2265</v>
      </c>
      <c r="G145" s="80"/>
      <c r="H145" s="80"/>
      <c r="I145" s="80">
        <v>1509</v>
      </c>
      <c r="J145" s="96"/>
      <c r="K145" s="28"/>
      <c r="L145" s="28"/>
    </row>
    <row r="146" spans="1:12" ht="16.5" hidden="1" thickBot="1" x14ac:dyDescent="0.3">
      <c r="A146" s="1546"/>
      <c r="B146" s="1549"/>
      <c r="C146" s="1117"/>
      <c r="D146" s="28" t="s">
        <v>257</v>
      </c>
      <c r="E146" s="94"/>
      <c r="F146" s="80">
        <v>310</v>
      </c>
      <c r="G146" s="80"/>
      <c r="H146" s="80"/>
      <c r="I146" s="80">
        <v>423</v>
      </c>
      <c r="J146" s="96"/>
      <c r="K146" s="28"/>
      <c r="L146" s="28"/>
    </row>
    <row r="147" spans="1:12" ht="16.5" hidden="1" thickBot="1" x14ac:dyDescent="0.3">
      <c r="A147" s="1546"/>
      <c r="B147" s="1549"/>
      <c r="C147" s="1117"/>
      <c r="D147" s="28" t="s">
        <v>263</v>
      </c>
      <c r="E147" s="94"/>
      <c r="F147" s="80">
        <v>1955</v>
      </c>
      <c r="G147" s="80"/>
      <c r="H147" s="80"/>
      <c r="I147" s="80">
        <v>1089</v>
      </c>
      <c r="J147" s="96"/>
      <c r="K147" s="28"/>
      <c r="L147" s="28"/>
    </row>
    <row r="148" spans="1:12" ht="16.5" hidden="1" thickBot="1" x14ac:dyDescent="0.3">
      <c r="A148" s="1546"/>
      <c r="B148" s="1549"/>
      <c r="C148" s="1117"/>
      <c r="D148" s="28" t="s">
        <v>357</v>
      </c>
      <c r="E148" s="94"/>
      <c r="F148" s="99">
        <f>(F147/F145)*100</f>
        <v>86.313465783664455</v>
      </c>
      <c r="G148" s="94"/>
      <c r="H148" s="94"/>
      <c r="I148" s="99">
        <f>I147/I145*100</f>
        <v>72.166998011928428</v>
      </c>
      <c r="J148" s="96"/>
      <c r="K148" s="28"/>
      <c r="L148" s="28"/>
    </row>
    <row r="149" spans="1:12" ht="14.85" hidden="1" customHeight="1" x14ac:dyDescent="0.25">
      <c r="A149" s="1546"/>
      <c r="B149" s="1549"/>
      <c r="C149" s="1117" t="s">
        <v>378</v>
      </c>
      <c r="D149" s="144" t="s">
        <v>251</v>
      </c>
      <c r="E149" s="94"/>
      <c r="F149" s="80">
        <v>715</v>
      </c>
      <c r="G149" s="80"/>
      <c r="H149" s="80"/>
      <c r="I149" s="80">
        <v>981</v>
      </c>
      <c r="J149" s="96"/>
      <c r="K149" s="28"/>
      <c r="L149" s="28"/>
    </row>
    <row r="150" spans="1:12" ht="16.5" hidden="1" thickBot="1" x14ac:dyDescent="0.3">
      <c r="A150" s="1546"/>
      <c r="B150" s="1549"/>
      <c r="C150" s="1117"/>
      <c r="D150" s="28" t="s">
        <v>257</v>
      </c>
      <c r="E150" s="94"/>
      <c r="F150" s="80">
        <v>325</v>
      </c>
      <c r="G150" s="80"/>
      <c r="H150" s="80"/>
      <c r="I150" s="80">
        <v>468</v>
      </c>
      <c r="J150" s="96"/>
      <c r="K150" s="28"/>
      <c r="L150" s="28"/>
    </row>
    <row r="151" spans="1:12" ht="16.5" hidden="1" thickBot="1" x14ac:dyDescent="0.3">
      <c r="A151" s="1546"/>
      <c r="B151" s="1549"/>
      <c r="C151" s="1117"/>
      <c r="D151" s="28" t="s">
        <v>263</v>
      </c>
      <c r="E151" s="94"/>
      <c r="F151" s="80">
        <v>390</v>
      </c>
      <c r="G151" s="80"/>
      <c r="H151" s="80"/>
      <c r="I151" s="80">
        <v>516</v>
      </c>
      <c r="J151" s="96"/>
      <c r="K151" s="28"/>
      <c r="L151" s="28"/>
    </row>
    <row r="152" spans="1:12" ht="16.5" hidden="1" thickBot="1" x14ac:dyDescent="0.3">
      <c r="A152" s="1546"/>
      <c r="B152" s="1549"/>
      <c r="C152" s="1117"/>
      <c r="D152" s="28" t="s">
        <v>357</v>
      </c>
      <c r="E152" s="94"/>
      <c r="F152" s="98">
        <f>(F151/F149)*100</f>
        <v>54.54545454545454</v>
      </c>
      <c r="G152" s="94"/>
      <c r="H152" s="94"/>
      <c r="I152" s="98">
        <f>I151/I149*100</f>
        <v>52.599388379204889</v>
      </c>
      <c r="J152" s="96"/>
      <c r="K152" s="28"/>
      <c r="L152" s="28"/>
    </row>
    <row r="153" spans="1:12" ht="14.85" hidden="1" customHeight="1" x14ac:dyDescent="0.25">
      <c r="A153" s="1546"/>
      <c r="B153" s="1549"/>
      <c r="C153" s="1117" t="s">
        <v>379</v>
      </c>
      <c r="D153" s="144" t="s">
        <v>251</v>
      </c>
      <c r="E153" s="94"/>
      <c r="F153" s="80">
        <v>1750</v>
      </c>
      <c r="G153" s="80"/>
      <c r="H153" s="80"/>
      <c r="I153" s="80">
        <v>1344</v>
      </c>
      <c r="J153" s="96"/>
      <c r="K153" s="28"/>
      <c r="L153" s="28"/>
    </row>
    <row r="154" spans="1:12" ht="16.5" hidden="1" thickBot="1" x14ac:dyDescent="0.3">
      <c r="A154" s="1546"/>
      <c r="B154" s="1549"/>
      <c r="C154" s="1117"/>
      <c r="D154" s="28" t="s">
        <v>257</v>
      </c>
      <c r="E154" s="94"/>
      <c r="F154" s="80">
        <v>1265</v>
      </c>
      <c r="G154" s="80"/>
      <c r="H154" s="80"/>
      <c r="I154" s="80">
        <v>954</v>
      </c>
      <c r="J154" s="96"/>
      <c r="K154" s="28"/>
      <c r="L154" s="28"/>
    </row>
    <row r="155" spans="1:12" ht="16.5" hidden="1" thickBot="1" x14ac:dyDescent="0.3">
      <c r="A155" s="1546"/>
      <c r="B155" s="1549"/>
      <c r="C155" s="1117"/>
      <c r="D155" s="28" t="s">
        <v>263</v>
      </c>
      <c r="E155" s="94"/>
      <c r="F155" s="80">
        <v>485</v>
      </c>
      <c r="G155" s="80"/>
      <c r="H155" s="80"/>
      <c r="I155" s="80">
        <v>387</v>
      </c>
      <c r="J155" s="96"/>
      <c r="K155" s="28"/>
      <c r="L155" s="28"/>
    </row>
    <row r="156" spans="1:12" ht="16.5" hidden="1" thickBot="1" x14ac:dyDescent="0.3">
      <c r="A156" s="1546"/>
      <c r="B156" s="1549"/>
      <c r="C156" s="1117"/>
      <c r="D156" s="28" t="s">
        <v>357</v>
      </c>
      <c r="E156" s="94"/>
      <c r="F156" s="97">
        <f>(F155/F153)*100</f>
        <v>27.714285714285715</v>
      </c>
      <c r="G156" s="94"/>
      <c r="H156" s="94"/>
      <c r="I156" s="97">
        <f>I155/I153*100</f>
        <v>28.794642857142854</v>
      </c>
      <c r="J156" s="96"/>
      <c r="K156" s="28"/>
      <c r="L156" s="28"/>
    </row>
    <row r="157" spans="1:12" ht="14.85" hidden="1" customHeight="1" x14ac:dyDescent="0.25">
      <c r="A157" s="1546"/>
      <c r="B157" s="1549"/>
      <c r="C157" s="1117" t="s">
        <v>380</v>
      </c>
      <c r="D157" s="144" t="s">
        <v>251</v>
      </c>
      <c r="E157" s="94"/>
      <c r="F157" s="80">
        <v>2300</v>
      </c>
      <c r="G157" s="80"/>
      <c r="H157" s="80"/>
      <c r="I157" s="80">
        <v>2223</v>
      </c>
      <c r="J157" s="96"/>
      <c r="K157" s="28"/>
      <c r="L157" s="28"/>
    </row>
    <row r="158" spans="1:12" ht="16.5" hidden="1" thickBot="1" x14ac:dyDescent="0.3">
      <c r="A158" s="1546"/>
      <c r="B158" s="1549"/>
      <c r="C158" s="1117"/>
      <c r="D158" s="28" t="s">
        <v>257</v>
      </c>
      <c r="E158" s="94"/>
      <c r="F158" s="80">
        <v>925</v>
      </c>
      <c r="G158" s="80"/>
      <c r="H158" s="80"/>
      <c r="I158" s="80">
        <v>1131</v>
      </c>
      <c r="J158" s="96"/>
      <c r="K158" s="28"/>
      <c r="L158" s="28"/>
    </row>
    <row r="159" spans="1:12" ht="16.5" hidden="1" thickBot="1" x14ac:dyDescent="0.3">
      <c r="A159" s="1546"/>
      <c r="B159" s="1549"/>
      <c r="C159" s="1117"/>
      <c r="D159" s="28" t="s">
        <v>263</v>
      </c>
      <c r="E159" s="94"/>
      <c r="F159" s="80">
        <v>1380</v>
      </c>
      <c r="G159" s="80"/>
      <c r="H159" s="80"/>
      <c r="I159" s="80">
        <v>1095</v>
      </c>
      <c r="J159" s="96"/>
      <c r="K159" s="28"/>
      <c r="L159" s="28"/>
    </row>
    <row r="160" spans="1:12" ht="16.5" hidden="1" thickBot="1" x14ac:dyDescent="0.3">
      <c r="A160" s="1546"/>
      <c r="B160" s="1549"/>
      <c r="C160" s="1117"/>
      <c r="D160" s="28" t="s">
        <v>357</v>
      </c>
      <c r="E160" s="94"/>
      <c r="F160" s="99">
        <f>(F159/F157)*100</f>
        <v>60</v>
      </c>
      <c r="G160" s="94"/>
      <c r="H160" s="94"/>
      <c r="I160" s="98">
        <f>I159/I157*100</f>
        <v>49.257759784075574</v>
      </c>
      <c r="J160" s="96"/>
      <c r="K160" s="28"/>
      <c r="L160" s="28"/>
    </row>
    <row r="161" spans="1:12" ht="14.85" hidden="1" customHeight="1" x14ac:dyDescent="0.25">
      <c r="A161" s="1546"/>
      <c r="B161" s="1549"/>
      <c r="C161" s="1117" t="s">
        <v>381</v>
      </c>
      <c r="D161" s="144" t="s">
        <v>251</v>
      </c>
      <c r="E161" s="94"/>
      <c r="F161" s="80">
        <v>115</v>
      </c>
      <c r="G161" s="80"/>
      <c r="H161" s="80"/>
      <c r="I161" s="80">
        <v>186</v>
      </c>
      <c r="J161" s="28"/>
      <c r="K161" s="28"/>
      <c r="L161" s="28"/>
    </row>
    <row r="162" spans="1:12" ht="14.85" hidden="1" customHeight="1" x14ac:dyDescent="0.25">
      <c r="A162" s="1546"/>
      <c r="B162" s="1549"/>
      <c r="C162" s="1117"/>
      <c r="D162" s="28" t="s">
        <v>257</v>
      </c>
      <c r="E162" s="94"/>
      <c r="F162" s="80">
        <v>45</v>
      </c>
      <c r="G162" s="80"/>
      <c r="H162" s="80"/>
      <c r="I162" s="80">
        <v>105</v>
      </c>
      <c r="J162" s="28"/>
      <c r="K162" s="28"/>
      <c r="L162" s="28"/>
    </row>
    <row r="163" spans="1:12" ht="16.5" hidden="1" thickBot="1" x14ac:dyDescent="0.3">
      <c r="A163" s="1546"/>
      <c r="B163" s="1549"/>
      <c r="C163" s="1117"/>
      <c r="D163" s="28" t="s">
        <v>263</v>
      </c>
      <c r="E163" s="94"/>
      <c r="F163" s="80">
        <v>70</v>
      </c>
      <c r="G163" s="80"/>
      <c r="H163" s="80"/>
      <c r="I163" s="80">
        <v>81</v>
      </c>
      <c r="J163" s="28"/>
      <c r="K163" s="28"/>
      <c r="L163" s="28"/>
    </row>
    <row r="164" spans="1:12" ht="16.5" hidden="1" thickBot="1" x14ac:dyDescent="0.3">
      <c r="A164" s="1546"/>
      <c r="B164" s="1549"/>
      <c r="C164" s="1117"/>
      <c r="D164" s="28" t="s">
        <v>357</v>
      </c>
      <c r="E164" s="94"/>
      <c r="F164" s="99">
        <f>(F163/F161)*100</f>
        <v>60.869565217391312</v>
      </c>
      <c r="G164" s="94"/>
      <c r="H164" s="94"/>
      <c r="I164" s="98">
        <f>I163/I161*100</f>
        <v>43.548387096774192</v>
      </c>
      <c r="J164" s="28"/>
      <c r="K164" s="28"/>
      <c r="L164" s="28"/>
    </row>
    <row r="165" spans="1:12" ht="14.85" hidden="1" customHeight="1" x14ac:dyDescent="0.25">
      <c r="A165" s="1546"/>
      <c r="B165" s="1549"/>
      <c r="C165" s="1218" t="s">
        <v>382</v>
      </c>
      <c r="D165" s="145" t="s">
        <v>251</v>
      </c>
      <c r="E165" s="95"/>
      <c r="F165" s="80">
        <v>2810</v>
      </c>
      <c r="G165" s="80"/>
      <c r="H165" s="80"/>
      <c r="I165" s="80">
        <v>2868</v>
      </c>
      <c r="J165" s="96"/>
      <c r="K165" s="96"/>
      <c r="L165" s="96"/>
    </row>
    <row r="166" spans="1:12" ht="16.5" hidden="1" thickBot="1" x14ac:dyDescent="0.3">
      <c r="A166" s="1546"/>
      <c r="B166" s="1549"/>
      <c r="C166" s="1218"/>
      <c r="D166" s="96" t="s">
        <v>257</v>
      </c>
      <c r="E166" s="95"/>
      <c r="F166" s="80">
        <v>850</v>
      </c>
      <c r="G166" s="80"/>
      <c r="H166" s="80"/>
      <c r="I166" s="80">
        <v>981</v>
      </c>
      <c r="J166" s="96"/>
      <c r="K166" s="96"/>
      <c r="L166" s="96"/>
    </row>
    <row r="167" spans="1:12" ht="16.5" hidden="1" thickBot="1" x14ac:dyDescent="0.3">
      <c r="A167" s="1546"/>
      <c r="B167" s="1549"/>
      <c r="C167" s="1218"/>
      <c r="D167" s="96" t="s">
        <v>263</v>
      </c>
      <c r="E167" s="95"/>
      <c r="F167" s="80">
        <v>1960</v>
      </c>
      <c r="G167" s="80"/>
      <c r="H167" s="80"/>
      <c r="I167" s="80">
        <v>1887</v>
      </c>
      <c r="J167" s="96"/>
      <c r="K167" s="96"/>
      <c r="L167" s="96"/>
    </row>
    <row r="168" spans="1:12" ht="16.5" hidden="1" thickBot="1" x14ac:dyDescent="0.3">
      <c r="A168" s="1546"/>
      <c r="B168" s="1549"/>
      <c r="C168" s="1218"/>
      <c r="D168" s="96" t="s">
        <v>357</v>
      </c>
      <c r="E168" s="95"/>
      <c r="F168" s="99">
        <f>(F167/F165)*100</f>
        <v>69.7508896797153</v>
      </c>
      <c r="G168" s="94"/>
      <c r="H168" s="94"/>
      <c r="I168" s="99">
        <f>I167/I165*100</f>
        <v>65.794979079497907</v>
      </c>
      <c r="J168" s="96"/>
      <c r="K168" s="96"/>
      <c r="L168" s="96"/>
    </row>
    <row r="169" spans="1:12" ht="14.85" hidden="1" customHeight="1" x14ac:dyDescent="0.25">
      <c r="A169" s="1546"/>
      <c r="B169" s="1549"/>
      <c r="C169" s="1218" t="s">
        <v>383</v>
      </c>
      <c r="D169" s="145" t="s">
        <v>251</v>
      </c>
      <c r="E169" s="95"/>
      <c r="F169" s="80">
        <v>1450</v>
      </c>
      <c r="G169" s="80"/>
      <c r="H169" s="80"/>
      <c r="I169" s="80">
        <v>1086</v>
      </c>
      <c r="J169" s="96"/>
      <c r="K169" s="96"/>
      <c r="L169" s="96"/>
    </row>
    <row r="170" spans="1:12" ht="16.5" hidden="1" thickBot="1" x14ac:dyDescent="0.3">
      <c r="A170" s="1546"/>
      <c r="B170" s="1549"/>
      <c r="C170" s="1218"/>
      <c r="D170" s="96" t="s">
        <v>257</v>
      </c>
      <c r="E170" s="95"/>
      <c r="F170" s="80">
        <v>680</v>
      </c>
      <c r="G170" s="80"/>
      <c r="H170" s="80"/>
      <c r="I170" s="80">
        <v>348</v>
      </c>
      <c r="J170" s="96"/>
      <c r="K170" s="96"/>
      <c r="L170" s="96"/>
    </row>
    <row r="171" spans="1:12" ht="16.5" hidden="1" thickBot="1" x14ac:dyDescent="0.3">
      <c r="A171" s="1546"/>
      <c r="B171" s="1549"/>
      <c r="C171" s="1218"/>
      <c r="D171" s="96" t="s">
        <v>263</v>
      </c>
      <c r="E171" s="95"/>
      <c r="F171" s="80">
        <v>770</v>
      </c>
      <c r="G171" s="80"/>
      <c r="H171" s="80"/>
      <c r="I171" s="80">
        <v>735</v>
      </c>
      <c r="J171" s="96"/>
      <c r="K171" s="96"/>
      <c r="L171" s="96"/>
    </row>
    <row r="172" spans="1:12" ht="16.5" hidden="1" thickBot="1" x14ac:dyDescent="0.3">
      <c r="A172" s="1546"/>
      <c r="B172" s="1549"/>
      <c r="C172" s="1218"/>
      <c r="D172" s="96" t="s">
        <v>357</v>
      </c>
      <c r="E172" s="95"/>
      <c r="F172" s="98">
        <f>(F171/F169)*100</f>
        <v>53.103448275862064</v>
      </c>
      <c r="G172" s="94"/>
      <c r="H172" s="94"/>
      <c r="I172" s="99">
        <f>I171/I169*100</f>
        <v>67.679558011049721</v>
      </c>
      <c r="J172" s="96"/>
      <c r="K172" s="96"/>
      <c r="L172" s="96"/>
    </row>
    <row r="173" spans="1:12" ht="14.85" hidden="1" customHeight="1" x14ac:dyDescent="0.25">
      <c r="A173" s="1546"/>
      <c r="B173" s="1549"/>
      <c r="C173" s="1218" t="s">
        <v>384</v>
      </c>
      <c r="D173" s="145" t="s">
        <v>251</v>
      </c>
      <c r="E173" s="95"/>
      <c r="F173" s="80">
        <v>2375</v>
      </c>
      <c r="G173" s="80"/>
      <c r="H173" s="80"/>
      <c r="I173" s="80">
        <v>1482</v>
      </c>
      <c r="J173" s="96"/>
      <c r="K173" s="96"/>
      <c r="L173" s="96"/>
    </row>
    <row r="174" spans="1:12" ht="16.5" hidden="1" thickBot="1" x14ac:dyDescent="0.3">
      <c r="A174" s="1546"/>
      <c r="B174" s="1549"/>
      <c r="C174" s="1218"/>
      <c r="D174" s="96" t="s">
        <v>257</v>
      </c>
      <c r="E174" s="95"/>
      <c r="F174" s="80">
        <v>785</v>
      </c>
      <c r="G174" s="80"/>
      <c r="H174" s="80"/>
      <c r="I174" s="80">
        <v>492</v>
      </c>
      <c r="J174" s="96"/>
      <c r="K174" s="96"/>
      <c r="L174" s="96"/>
    </row>
    <row r="175" spans="1:12" ht="16.5" hidden="1" thickBot="1" x14ac:dyDescent="0.3">
      <c r="A175" s="1546"/>
      <c r="B175" s="1549"/>
      <c r="C175" s="1218"/>
      <c r="D175" s="96" t="s">
        <v>263</v>
      </c>
      <c r="E175" s="95"/>
      <c r="F175" s="80">
        <v>1590</v>
      </c>
      <c r="G175" s="80"/>
      <c r="H175" s="80"/>
      <c r="I175" s="80">
        <v>990</v>
      </c>
      <c r="J175" s="96"/>
      <c r="K175" s="96"/>
      <c r="L175" s="96"/>
    </row>
    <row r="176" spans="1:12" ht="16.5" hidden="1" thickBot="1" x14ac:dyDescent="0.3">
      <c r="A176" s="1546"/>
      <c r="B176" s="1549"/>
      <c r="C176" s="1218"/>
      <c r="D176" s="96" t="s">
        <v>357</v>
      </c>
      <c r="E176" s="95"/>
      <c r="F176" s="99">
        <f>(F175/F173)*100</f>
        <v>66.94736842105263</v>
      </c>
      <c r="G176" s="94"/>
      <c r="H176" s="94"/>
      <c r="I176" s="99">
        <f>I175/I173*100</f>
        <v>66.801619433198383</v>
      </c>
      <c r="J176" s="96"/>
      <c r="K176" s="96"/>
      <c r="L176" s="96"/>
    </row>
    <row r="177" spans="1:12" ht="14.85" hidden="1" customHeight="1" x14ac:dyDescent="0.25">
      <c r="A177" s="1546"/>
      <c r="B177" s="1549"/>
      <c r="C177" s="1218" t="s">
        <v>385</v>
      </c>
      <c r="D177" s="145" t="s">
        <v>251</v>
      </c>
      <c r="E177" s="95"/>
      <c r="F177" s="80">
        <v>130</v>
      </c>
      <c r="G177" s="80"/>
      <c r="H177" s="80"/>
      <c r="I177" s="80">
        <v>381</v>
      </c>
      <c r="J177" s="96"/>
      <c r="K177" s="96"/>
      <c r="L177" s="96"/>
    </row>
    <row r="178" spans="1:12" ht="14.85" hidden="1" customHeight="1" x14ac:dyDescent="0.25">
      <c r="A178" s="1546"/>
      <c r="B178" s="1549"/>
      <c r="C178" s="1218"/>
      <c r="D178" s="96" t="s">
        <v>257</v>
      </c>
      <c r="E178" s="95"/>
      <c r="F178" s="80">
        <v>90</v>
      </c>
      <c r="G178" s="80"/>
      <c r="H178" s="80"/>
      <c r="I178" s="80">
        <v>243</v>
      </c>
      <c r="J178" s="96"/>
      <c r="K178" s="96"/>
      <c r="L178" s="96"/>
    </row>
    <row r="179" spans="1:12" ht="16.5" hidden="1" thickBot="1" x14ac:dyDescent="0.3">
      <c r="A179" s="1546"/>
      <c r="B179" s="1549"/>
      <c r="C179" s="1218"/>
      <c r="D179" s="96" t="s">
        <v>263</v>
      </c>
      <c r="E179" s="95"/>
      <c r="F179" s="80">
        <v>40</v>
      </c>
      <c r="G179" s="80"/>
      <c r="H179" s="80"/>
      <c r="I179" s="80">
        <v>141</v>
      </c>
      <c r="J179" s="96"/>
      <c r="K179" s="96"/>
      <c r="L179" s="96"/>
    </row>
    <row r="180" spans="1:12" ht="16.5" hidden="1" thickBot="1" x14ac:dyDescent="0.3">
      <c r="A180" s="1546"/>
      <c r="B180" s="1549"/>
      <c r="C180" s="1218"/>
      <c r="D180" s="96" t="s">
        <v>357</v>
      </c>
      <c r="E180" s="95"/>
      <c r="F180" s="97">
        <f>(F179/F177)*100</f>
        <v>30.76923076923077</v>
      </c>
      <c r="G180" s="94"/>
      <c r="H180" s="94"/>
      <c r="I180" s="97">
        <f>I179/I177*100</f>
        <v>37.00787401574803</v>
      </c>
      <c r="J180" s="96"/>
      <c r="K180" s="96"/>
      <c r="L180" s="96"/>
    </row>
    <row r="181" spans="1:12" ht="14.85" hidden="1" customHeight="1" x14ac:dyDescent="0.25">
      <c r="A181" s="1546"/>
      <c r="B181" s="1549"/>
      <c r="C181" s="1218" t="s">
        <v>386</v>
      </c>
      <c r="D181" s="145" t="s">
        <v>251</v>
      </c>
      <c r="E181" s="95"/>
      <c r="F181" s="80">
        <v>875</v>
      </c>
      <c r="G181" s="80"/>
      <c r="H181" s="80"/>
      <c r="I181" s="80">
        <v>1110</v>
      </c>
      <c r="J181" s="96"/>
      <c r="K181" s="96"/>
      <c r="L181" s="96"/>
    </row>
    <row r="182" spans="1:12" ht="16.5" hidden="1" thickBot="1" x14ac:dyDescent="0.3">
      <c r="A182" s="1546"/>
      <c r="B182" s="1549"/>
      <c r="C182" s="1218"/>
      <c r="D182" s="96" t="s">
        <v>257</v>
      </c>
      <c r="E182" s="95"/>
      <c r="F182" s="80">
        <v>540</v>
      </c>
      <c r="G182" s="80"/>
      <c r="H182" s="80"/>
      <c r="I182" s="80">
        <v>624</v>
      </c>
      <c r="J182" s="96"/>
      <c r="K182" s="96"/>
      <c r="L182" s="96"/>
    </row>
    <row r="183" spans="1:12" ht="16.5" hidden="1" thickBot="1" x14ac:dyDescent="0.3">
      <c r="A183" s="1546"/>
      <c r="B183" s="1549"/>
      <c r="C183" s="1218"/>
      <c r="D183" s="96" t="s">
        <v>263</v>
      </c>
      <c r="E183" s="95"/>
      <c r="F183" s="80">
        <v>335</v>
      </c>
      <c r="G183" s="80"/>
      <c r="H183" s="80"/>
      <c r="I183" s="80">
        <v>489</v>
      </c>
      <c r="J183" s="96"/>
      <c r="K183" s="96"/>
      <c r="L183" s="96"/>
    </row>
    <row r="184" spans="1:12" ht="16.5" hidden="1" thickBot="1" x14ac:dyDescent="0.3">
      <c r="A184" s="1546"/>
      <c r="B184" s="1549"/>
      <c r="C184" s="1218"/>
      <c r="D184" s="96" t="s">
        <v>357</v>
      </c>
      <c r="E184" s="95"/>
      <c r="F184" s="97">
        <f>(F183/F181)*100</f>
        <v>38.285714285714285</v>
      </c>
      <c r="G184" s="94"/>
      <c r="H184" s="94"/>
      <c r="I184" s="98">
        <f>I183/I181*100</f>
        <v>44.054054054054056</v>
      </c>
      <c r="J184" s="96"/>
      <c r="K184" s="96"/>
      <c r="L184" s="96"/>
    </row>
    <row r="185" spans="1:12" ht="14.85" hidden="1" customHeight="1" x14ac:dyDescent="0.25">
      <c r="A185" s="1546"/>
      <c r="B185" s="1549"/>
      <c r="C185" s="1218" t="s">
        <v>387</v>
      </c>
      <c r="D185" s="145" t="s">
        <v>251</v>
      </c>
      <c r="E185" s="95"/>
      <c r="F185" s="80">
        <v>1880</v>
      </c>
      <c r="G185" s="80"/>
      <c r="H185" s="80"/>
      <c r="I185" s="80">
        <v>1266</v>
      </c>
      <c r="J185" s="96"/>
      <c r="K185" s="96"/>
      <c r="L185" s="96"/>
    </row>
    <row r="186" spans="1:12" ht="16.5" hidden="1" thickBot="1" x14ac:dyDescent="0.3">
      <c r="A186" s="1546"/>
      <c r="B186" s="1549"/>
      <c r="C186" s="1218"/>
      <c r="D186" s="96" t="s">
        <v>257</v>
      </c>
      <c r="E186" s="95"/>
      <c r="F186" s="80">
        <v>540</v>
      </c>
      <c r="G186" s="80"/>
      <c r="H186" s="80"/>
      <c r="I186" s="80">
        <v>477</v>
      </c>
      <c r="J186" s="96"/>
      <c r="K186" s="96"/>
      <c r="L186" s="96"/>
    </row>
    <row r="187" spans="1:12" ht="16.5" hidden="1" thickBot="1" x14ac:dyDescent="0.3">
      <c r="A187" s="1546"/>
      <c r="B187" s="1549"/>
      <c r="C187" s="1218"/>
      <c r="D187" s="96" t="s">
        <v>263</v>
      </c>
      <c r="E187" s="95"/>
      <c r="F187" s="80">
        <v>1340</v>
      </c>
      <c r="G187" s="80"/>
      <c r="H187" s="80"/>
      <c r="I187" s="80">
        <v>789</v>
      </c>
      <c r="J187" s="96"/>
      <c r="K187" s="96"/>
      <c r="L187" s="96"/>
    </row>
    <row r="188" spans="1:12" ht="16.5" hidden="1" thickBot="1" x14ac:dyDescent="0.3">
      <c r="A188" s="1546"/>
      <c r="B188" s="1549"/>
      <c r="C188" s="1218"/>
      <c r="D188" s="96" t="s">
        <v>357</v>
      </c>
      <c r="E188" s="95"/>
      <c r="F188" s="99">
        <f>(F187/F185)*100</f>
        <v>71.276595744680847</v>
      </c>
      <c r="G188" s="94"/>
      <c r="H188" s="94"/>
      <c r="I188" s="99">
        <f>I187/I185*100</f>
        <v>62.322274881516591</v>
      </c>
      <c r="J188" s="96"/>
      <c r="K188" s="96"/>
      <c r="L188" s="96"/>
    </row>
    <row r="189" spans="1:12" ht="14.85" hidden="1" customHeight="1" x14ac:dyDescent="0.25">
      <c r="A189" s="1546"/>
      <c r="B189" s="1549"/>
      <c r="C189" s="1218" t="s">
        <v>388</v>
      </c>
      <c r="D189" s="145" t="s">
        <v>251</v>
      </c>
      <c r="E189" s="95"/>
      <c r="F189" s="80">
        <v>10</v>
      </c>
      <c r="G189" s="80"/>
      <c r="H189" s="80"/>
      <c r="I189" s="80">
        <v>651</v>
      </c>
      <c r="J189" s="96"/>
      <c r="K189" s="96"/>
      <c r="L189" s="96"/>
    </row>
    <row r="190" spans="1:12" ht="16.5" hidden="1" thickBot="1" x14ac:dyDescent="0.3">
      <c r="A190" s="1546"/>
      <c r="B190" s="1549"/>
      <c r="C190" s="1218"/>
      <c r="D190" s="96" t="s">
        <v>257</v>
      </c>
      <c r="E190" s="95"/>
      <c r="F190" s="80">
        <v>0</v>
      </c>
      <c r="G190" s="80"/>
      <c r="H190" s="80"/>
      <c r="I190" s="80">
        <v>312</v>
      </c>
      <c r="J190" s="96"/>
      <c r="K190" s="96"/>
      <c r="L190" s="96"/>
    </row>
    <row r="191" spans="1:12" ht="16.5" hidden="1" thickBot="1" x14ac:dyDescent="0.3">
      <c r="A191" s="1546"/>
      <c r="B191" s="1549"/>
      <c r="C191" s="1218"/>
      <c r="D191" s="96" t="s">
        <v>263</v>
      </c>
      <c r="E191" s="95"/>
      <c r="F191" s="80">
        <v>10</v>
      </c>
      <c r="G191" s="80"/>
      <c r="H191" s="80"/>
      <c r="I191" s="80">
        <v>339</v>
      </c>
      <c r="J191" s="96"/>
      <c r="K191" s="96"/>
      <c r="L191" s="96"/>
    </row>
    <row r="192" spans="1:12" ht="16.5" hidden="1" thickBot="1" x14ac:dyDescent="0.3">
      <c r="A192" s="1546"/>
      <c r="B192" s="1549"/>
      <c r="C192" s="1218"/>
      <c r="D192" s="96" t="s">
        <v>357</v>
      </c>
      <c r="E192" s="95"/>
      <c r="F192" s="206">
        <f>(F191/F189)*100</f>
        <v>100</v>
      </c>
      <c r="G192" s="94"/>
      <c r="H192" s="94"/>
      <c r="I192" s="98">
        <f>I191/I189*100</f>
        <v>52.073732718894007</v>
      </c>
      <c r="J192" s="96"/>
      <c r="K192" s="96"/>
      <c r="L192" s="96"/>
    </row>
    <row r="193" spans="1:12" ht="14.85" hidden="1" customHeight="1" x14ac:dyDescent="0.25">
      <c r="A193" s="1546"/>
      <c r="B193" s="1549"/>
      <c r="C193" s="1117" t="s">
        <v>389</v>
      </c>
      <c r="D193" s="144" t="s">
        <v>251</v>
      </c>
      <c r="E193" s="94"/>
      <c r="F193" s="80">
        <v>250</v>
      </c>
      <c r="G193" s="80"/>
      <c r="H193" s="80"/>
      <c r="I193" s="80">
        <v>363</v>
      </c>
      <c r="J193" s="28"/>
      <c r="K193" s="28"/>
      <c r="L193" s="28"/>
    </row>
    <row r="194" spans="1:12" ht="16.5" hidden="1" thickBot="1" x14ac:dyDescent="0.3">
      <c r="A194" s="1546"/>
      <c r="B194" s="1549"/>
      <c r="C194" s="1117"/>
      <c r="D194" s="28" t="s">
        <v>257</v>
      </c>
      <c r="E194" s="94"/>
      <c r="F194" s="80">
        <v>130</v>
      </c>
      <c r="G194" s="80"/>
      <c r="H194" s="80"/>
      <c r="I194" s="80">
        <v>165</v>
      </c>
      <c r="J194" s="28"/>
      <c r="K194" s="28"/>
      <c r="L194" s="28"/>
    </row>
    <row r="195" spans="1:12" ht="16.5" hidden="1" thickBot="1" x14ac:dyDescent="0.3">
      <c r="A195" s="1546"/>
      <c r="B195" s="1549"/>
      <c r="C195" s="1117"/>
      <c r="D195" s="28" t="s">
        <v>263</v>
      </c>
      <c r="E195" s="94"/>
      <c r="F195" s="80">
        <v>120</v>
      </c>
      <c r="G195" s="80"/>
      <c r="H195" s="80"/>
      <c r="I195" s="80">
        <v>198</v>
      </c>
      <c r="J195" s="28"/>
      <c r="K195" s="28"/>
      <c r="L195" s="28"/>
    </row>
    <row r="196" spans="1:12" ht="16.5" hidden="1" thickBot="1" x14ac:dyDescent="0.3">
      <c r="A196" s="1546"/>
      <c r="B196" s="1549"/>
      <c r="C196" s="1117"/>
      <c r="D196" s="28" t="s">
        <v>357</v>
      </c>
      <c r="E196" s="94"/>
      <c r="F196" s="98">
        <f>(F195/F193)*100</f>
        <v>48</v>
      </c>
      <c r="G196" s="94"/>
      <c r="H196" s="94"/>
      <c r="I196" s="98">
        <f>I195/I193*100</f>
        <v>54.54545454545454</v>
      </c>
      <c r="J196" s="28"/>
      <c r="K196" s="28"/>
      <c r="L196" s="28"/>
    </row>
    <row r="197" spans="1:12" ht="14.85" hidden="1" customHeight="1" x14ac:dyDescent="0.25">
      <c r="A197" s="1546"/>
      <c r="B197" s="1549"/>
      <c r="C197" s="1117" t="s">
        <v>390</v>
      </c>
      <c r="D197" s="144" t="s">
        <v>251</v>
      </c>
      <c r="E197" s="94"/>
      <c r="F197" s="80">
        <v>205</v>
      </c>
      <c r="G197" s="80"/>
      <c r="H197" s="80"/>
      <c r="I197" s="80">
        <v>108</v>
      </c>
      <c r="J197" s="28"/>
      <c r="K197" s="28"/>
      <c r="L197" s="28"/>
    </row>
    <row r="198" spans="1:12" ht="14.85" hidden="1" customHeight="1" x14ac:dyDescent="0.25">
      <c r="A198" s="1546"/>
      <c r="B198" s="1549"/>
      <c r="C198" s="1117"/>
      <c r="D198" s="28" t="s">
        <v>257</v>
      </c>
      <c r="E198" s="94"/>
      <c r="F198" s="80">
        <v>50</v>
      </c>
      <c r="G198" s="80"/>
      <c r="H198" s="80"/>
      <c r="I198" s="80">
        <v>27</v>
      </c>
      <c r="J198" s="28"/>
      <c r="K198" s="28"/>
      <c r="L198" s="28"/>
    </row>
    <row r="199" spans="1:12" ht="16.5" hidden="1" thickBot="1" x14ac:dyDescent="0.3">
      <c r="A199" s="1546"/>
      <c r="B199" s="1549"/>
      <c r="C199" s="1117"/>
      <c r="D199" s="28" t="s">
        <v>263</v>
      </c>
      <c r="E199" s="94"/>
      <c r="F199" s="80">
        <v>155</v>
      </c>
      <c r="G199" s="80"/>
      <c r="H199" s="80"/>
      <c r="I199" s="80">
        <v>81</v>
      </c>
      <c r="J199" s="28"/>
      <c r="K199" s="28"/>
      <c r="L199" s="28"/>
    </row>
    <row r="200" spans="1:12" ht="16.5" hidden="1" thickBot="1" x14ac:dyDescent="0.3">
      <c r="A200" s="1546"/>
      <c r="B200" s="1549"/>
      <c r="C200" s="1117"/>
      <c r="D200" s="28" t="s">
        <v>357</v>
      </c>
      <c r="E200" s="94"/>
      <c r="F200" s="99">
        <f>(F199/F197)*100</f>
        <v>75.609756097560975</v>
      </c>
      <c r="G200" s="94"/>
      <c r="H200" s="94"/>
      <c r="I200" s="99">
        <f>I199/I197*100</f>
        <v>75</v>
      </c>
      <c r="J200" s="28"/>
      <c r="K200" s="28"/>
      <c r="L200" s="28"/>
    </row>
    <row r="201" spans="1:12" ht="14.85" hidden="1" customHeight="1" x14ac:dyDescent="0.25">
      <c r="A201" s="1546"/>
      <c r="B201" s="1549"/>
      <c r="C201" s="1117" t="s">
        <v>391</v>
      </c>
      <c r="D201" s="144" t="s">
        <v>251</v>
      </c>
      <c r="E201" s="94"/>
      <c r="F201" s="80">
        <v>355</v>
      </c>
      <c r="G201" s="80"/>
      <c r="H201" s="80"/>
      <c r="I201" s="80">
        <v>309</v>
      </c>
      <c r="J201" s="28"/>
      <c r="K201" s="28"/>
      <c r="L201" s="28"/>
    </row>
    <row r="202" spans="1:12" ht="16.5" hidden="1" thickBot="1" x14ac:dyDescent="0.3">
      <c r="A202" s="1546"/>
      <c r="B202" s="1549"/>
      <c r="C202" s="1117"/>
      <c r="D202" s="28" t="s">
        <v>257</v>
      </c>
      <c r="E202" s="94"/>
      <c r="F202" s="80">
        <v>100</v>
      </c>
      <c r="G202" s="80"/>
      <c r="H202" s="80"/>
      <c r="I202" s="80">
        <v>69</v>
      </c>
      <c r="J202" s="28"/>
      <c r="K202" s="28"/>
      <c r="L202" s="28"/>
    </row>
    <row r="203" spans="1:12" ht="16.5" hidden="1" thickBot="1" x14ac:dyDescent="0.3">
      <c r="A203" s="1546"/>
      <c r="B203" s="1549"/>
      <c r="C203" s="1117"/>
      <c r="D203" s="28" t="s">
        <v>263</v>
      </c>
      <c r="E203" s="94"/>
      <c r="F203" s="80">
        <v>255</v>
      </c>
      <c r="G203" s="80"/>
      <c r="H203" s="80"/>
      <c r="I203" s="80">
        <v>240</v>
      </c>
      <c r="J203" s="28"/>
      <c r="K203" s="28"/>
      <c r="L203" s="28"/>
    </row>
    <row r="204" spans="1:12" ht="16.5" hidden="1" thickBot="1" x14ac:dyDescent="0.3">
      <c r="A204" s="1546"/>
      <c r="B204" s="1549"/>
      <c r="C204" s="1117"/>
      <c r="D204" s="28" t="s">
        <v>357</v>
      </c>
      <c r="E204" s="94"/>
      <c r="F204" s="99">
        <f>(F203/F201)*100</f>
        <v>71.83098591549296</v>
      </c>
      <c r="G204" s="94"/>
      <c r="H204" s="94"/>
      <c r="I204" s="99">
        <f>I203/I201*100</f>
        <v>77.669902912621353</v>
      </c>
      <c r="J204" s="28"/>
      <c r="K204" s="28"/>
      <c r="L204" s="28"/>
    </row>
    <row r="205" spans="1:12" ht="14.85" hidden="1" customHeight="1" x14ac:dyDescent="0.25">
      <c r="A205" s="1546"/>
      <c r="B205" s="1549"/>
      <c r="C205" s="1117" t="s">
        <v>392</v>
      </c>
      <c r="D205" s="144" t="s">
        <v>251</v>
      </c>
      <c r="E205" s="94"/>
      <c r="F205" s="80">
        <v>535</v>
      </c>
      <c r="G205" s="80"/>
      <c r="H205" s="80"/>
      <c r="I205" s="80">
        <v>135</v>
      </c>
      <c r="J205" s="28"/>
      <c r="K205" s="28"/>
      <c r="L205" s="28"/>
    </row>
    <row r="206" spans="1:12" ht="16.5" hidden="1" thickBot="1" x14ac:dyDescent="0.3">
      <c r="A206" s="1546"/>
      <c r="B206" s="1549"/>
      <c r="C206" s="1117"/>
      <c r="D206" s="28" t="s">
        <v>257</v>
      </c>
      <c r="E206" s="94"/>
      <c r="F206" s="80" t="s">
        <v>544</v>
      </c>
      <c r="G206" s="80"/>
      <c r="H206" s="80"/>
      <c r="I206" s="80">
        <v>24</v>
      </c>
      <c r="J206" s="28"/>
      <c r="K206" s="28"/>
      <c r="L206" s="28"/>
    </row>
    <row r="207" spans="1:12" ht="16.5" hidden="1" thickBot="1" x14ac:dyDescent="0.3">
      <c r="A207" s="1546"/>
      <c r="B207" s="1549"/>
      <c r="C207" s="1117"/>
      <c r="D207" s="28" t="s">
        <v>263</v>
      </c>
      <c r="E207" s="94"/>
      <c r="F207" s="80">
        <v>510</v>
      </c>
      <c r="G207" s="80"/>
      <c r="H207" s="80"/>
      <c r="I207" s="80">
        <v>111</v>
      </c>
      <c r="J207" s="28"/>
      <c r="K207" s="28"/>
      <c r="L207" s="28"/>
    </row>
    <row r="208" spans="1:12" ht="16.5" hidden="1" thickBot="1" x14ac:dyDescent="0.3">
      <c r="A208" s="1546"/>
      <c r="B208" s="1549"/>
      <c r="C208" s="1117"/>
      <c r="D208" s="28" t="s">
        <v>357</v>
      </c>
      <c r="E208" s="94"/>
      <c r="F208" s="99">
        <f>(F207/F205)*100</f>
        <v>95.327102803738313</v>
      </c>
      <c r="G208" s="94"/>
      <c r="H208" s="94"/>
      <c r="I208" s="99">
        <f>I207/I205*100</f>
        <v>82.222222222222214</v>
      </c>
      <c r="J208" s="28"/>
      <c r="K208" s="28"/>
      <c r="L208" s="28"/>
    </row>
    <row r="209" spans="1:12" ht="14.85" hidden="1" customHeight="1" x14ac:dyDescent="0.25">
      <c r="A209" s="1546"/>
      <c r="B209" s="1549"/>
      <c r="C209" s="1117" t="s">
        <v>393</v>
      </c>
      <c r="D209" s="144" t="s">
        <v>251</v>
      </c>
      <c r="E209" s="94"/>
      <c r="F209" s="80">
        <v>1630</v>
      </c>
      <c r="G209" s="80"/>
      <c r="H209" s="80"/>
      <c r="I209" s="80">
        <v>1458</v>
      </c>
      <c r="J209" s="28"/>
      <c r="K209" s="28"/>
      <c r="L209" s="28"/>
    </row>
    <row r="210" spans="1:12" ht="16.5" hidden="1" thickBot="1" x14ac:dyDescent="0.3">
      <c r="A210" s="1546"/>
      <c r="B210" s="1549"/>
      <c r="C210" s="1117"/>
      <c r="D210" s="28" t="s">
        <v>257</v>
      </c>
      <c r="E210" s="94"/>
      <c r="F210" s="80">
        <v>1140</v>
      </c>
      <c r="G210" s="80"/>
      <c r="H210" s="80"/>
      <c r="I210" s="80">
        <v>852</v>
      </c>
      <c r="J210" s="28"/>
      <c r="K210" s="28"/>
      <c r="L210" s="28"/>
    </row>
    <row r="211" spans="1:12" ht="16.5" hidden="1" thickBot="1" x14ac:dyDescent="0.3">
      <c r="A211" s="1546"/>
      <c r="B211" s="1549"/>
      <c r="C211" s="1117"/>
      <c r="D211" s="28" t="s">
        <v>263</v>
      </c>
      <c r="E211" s="94"/>
      <c r="F211" s="80">
        <v>490</v>
      </c>
      <c r="G211" s="80"/>
      <c r="H211" s="80"/>
      <c r="I211" s="80">
        <v>606</v>
      </c>
      <c r="J211" s="28"/>
      <c r="K211" s="28"/>
      <c r="L211" s="28"/>
    </row>
    <row r="212" spans="1:12" ht="16.5" hidden="1" thickBot="1" x14ac:dyDescent="0.3">
      <c r="A212" s="1546"/>
      <c r="B212" s="1549"/>
      <c r="C212" s="1117"/>
      <c r="D212" s="28" t="s">
        <v>357</v>
      </c>
      <c r="E212" s="94"/>
      <c r="F212" s="97">
        <f>(F211/F209)*100</f>
        <v>30.061349693251532</v>
      </c>
      <c r="G212" s="94"/>
      <c r="H212" s="94"/>
      <c r="I212" s="98">
        <f>I211/I209*100</f>
        <v>41.563786008230451</v>
      </c>
      <c r="J212" s="28"/>
      <c r="K212" s="28"/>
      <c r="L212" s="28"/>
    </row>
    <row r="213" spans="1:12" ht="14.85" hidden="1" customHeight="1" x14ac:dyDescent="0.25">
      <c r="A213" s="1546"/>
      <c r="B213" s="1549"/>
      <c r="C213" s="1117" t="s">
        <v>394</v>
      </c>
      <c r="D213" s="144" t="s">
        <v>251</v>
      </c>
      <c r="E213" s="94"/>
      <c r="F213" s="80">
        <v>745</v>
      </c>
      <c r="G213" s="80"/>
      <c r="H213" s="80"/>
      <c r="I213" s="80">
        <v>708</v>
      </c>
      <c r="J213" s="28"/>
      <c r="K213" s="28"/>
      <c r="L213" s="28"/>
    </row>
    <row r="214" spans="1:12" ht="16.5" hidden="1" thickBot="1" x14ac:dyDescent="0.3">
      <c r="A214" s="1546"/>
      <c r="B214" s="1549"/>
      <c r="C214" s="1117"/>
      <c r="D214" s="28" t="s">
        <v>257</v>
      </c>
      <c r="E214" s="94"/>
      <c r="F214" s="80">
        <v>520</v>
      </c>
      <c r="G214" s="80"/>
      <c r="H214" s="80"/>
      <c r="I214" s="80">
        <v>552</v>
      </c>
      <c r="J214" s="28"/>
      <c r="K214" s="28"/>
      <c r="L214" s="28"/>
    </row>
    <row r="215" spans="1:12" ht="16.5" hidden="1" thickBot="1" x14ac:dyDescent="0.3">
      <c r="A215" s="1546"/>
      <c r="B215" s="1549"/>
      <c r="C215" s="1117"/>
      <c r="D215" s="28" t="s">
        <v>263</v>
      </c>
      <c r="E215" s="94"/>
      <c r="F215" s="80">
        <v>225</v>
      </c>
      <c r="G215" s="80"/>
      <c r="H215" s="80"/>
      <c r="I215" s="80">
        <v>153</v>
      </c>
      <c r="J215" s="28"/>
      <c r="K215" s="28"/>
      <c r="L215" s="28"/>
    </row>
    <row r="216" spans="1:12" ht="16.5" hidden="1" thickBot="1" x14ac:dyDescent="0.3">
      <c r="A216" s="1546"/>
      <c r="B216" s="1549"/>
      <c r="C216" s="1117"/>
      <c r="D216" s="28" t="s">
        <v>357</v>
      </c>
      <c r="E216" s="94"/>
      <c r="F216" s="97">
        <f>(F215/F213)*100</f>
        <v>30.201342281879196</v>
      </c>
      <c r="G216" s="94"/>
      <c r="H216" s="94"/>
      <c r="I216" s="97">
        <f>I215/I213*100</f>
        <v>21.610169491525426</v>
      </c>
      <c r="J216" s="28"/>
      <c r="K216" s="28"/>
      <c r="L216" s="28"/>
    </row>
    <row r="217" spans="1:12" ht="14.85" hidden="1" customHeight="1" x14ac:dyDescent="0.25">
      <c r="A217" s="1546"/>
      <c r="B217" s="1549"/>
      <c r="C217" s="1117" t="s">
        <v>395</v>
      </c>
      <c r="D217" s="144" t="s">
        <v>251</v>
      </c>
      <c r="E217" s="94"/>
      <c r="F217" s="80">
        <v>145</v>
      </c>
      <c r="G217" s="80"/>
      <c r="H217" s="80"/>
      <c r="I217" s="80">
        <v>132</v>
      </c>
      <c r="J217" s="94"/>
      <c r="K217" s="28"/>
      <c r="L217" s="28"/>
    </row>
    <row r="218" spans="1:12" ht="14.85" hidden="1" customHeight="1" x14ac:dyDescent="0.25">
      <c r="A218" s="1546"/>
      <c r="B218" s="1549"/>
      <c r="C218" s="1117"/>
      <c r="D218" s="28" t="s">
        <v>257</v>
      </c>
      <c r="E218" s="94"/>
      <c r="F218" s="80">
        <v>105</v>
      </c>
      <c r="G218" s="80"/>
      <c r="H218" s="80"/>
      <c r="I218" s="80">
        <v>60</v>
      </c>
      <c r="J218" s="94"/>
      <c r="K218" s="28"/>
      <c r="L218" s="28"/>
    </row>
    <row r="219" spans="1:12" ht="16.5" hidden="1" thickBot="1" x14ac:dyDescent="0.3">
      <c r="A219" s="1546"/>
      <c r="B219" s="1549"/>
      <c r="C219" s="1117"/>
      <c r="D219" s="28" t="s">
        <v>263</v>
      </c>
      <c r="E219" s="94"/>
      <c r="F219" s="80">
        <v>40</v>
      </c>
      <c r="G219" s="80"/>
      <c r="H219" s="80"/>
      <c r="I219" s="80">
        <v>75</v>
      </c>
      <c r="J219" s="94"/>
      <c r="K219" s="28"/>
      <c r="L219" s="28"/>
    </row>
    <row r="220" spans="1:12" ht="16.5" hidden="1" thickBot="1" x14ac:dyDescent="0.3">
      <c r="A220" s="1546"/>
      <c r="B220" s="1549"/>
      <c r="C220" s="1117"/>
      <c r="D220" s="28" t="s">
        <v>357</v>
      </c>
      <c r="E220" s="94"/>
      <c r="F220" s="97">
        <f>(F219/F217)*100</f>
        <v>27.586206896551722</v>
      </c>
      <c r="G220" s="94"/>
      <c r="H220" s="94"/>
      <c r="I220" s="98">
        <f>I219/I217*100</f>
        <v>56.81818181818182</v>
      </c>
      <c r="J220" s="94"/>
      <c r="K220" s="28"/>
      <c r="L220" s="28"/>
    </row>
    <row r="221" spans="1:12" ht="14.85" hidden="1" customHeight="1" x14ac:dyDescent="0.25">
      <c r="A221" s="1546"/>
      <c r="B221" s="1549"/>
      <c r="C221" s="1117" t="s">
        <v>396</v>
      </c>
      <c r="D221" s="144" t="s">
        <v>251</v>
      </c>
      <c r="E221" s="94"/>
      <c r="F221" s="80">
        <v>20</v>
      </c>
      <c r="G221" s="80"/>
      <c r="H221" s="80"/>
      <c r="I221" s="80">
        <v>27</v>
      </c>
      <c r="J221" s="94"/>
      <c r="K221" s="28"/>
      <c r="L221" s="28"/>
    </row>
    <row r="222" spans="1:12" ht="16.5" hidden="1" thickBot="1" x14ac:dyDescent="0.3">
      <c r="A222" s="1546"/>
      <c r="B222" s="1549"/>
      <c r="C222" s="1117"/>
      <c r="D222" s="28" t="s">
        <v>257</v>
      </c>
      <c r="E222" s="94"/>
      <c r="F222" s="80">
        <v>10</v>
      </c>
      <c r="G222" s="80"/>
      <c r="H222" s="80"/>
      <c r="I222" s="80">
        <v>18</v>
      </c>
      <c r="J222" s="94"/>
      <c r="K222" s="28"/>
      <c r="L222" s="28"/>
    </row>
    <row r="223" spans="1:12" ht="16.5" hidden="1" thickBot="1" x14ac:dyDescent="0.3">
      <c r="A223" s="1546"/>
      <c r="B223" s="1549"/>
      <c r="C223" s="1117"/>
      <c r="D223" s="28" t="s">
        <v>263</v>
      </c>
      <c r="E223" s="94"/>
      <c r="F223" s="80">
        <v>15</v>
      </c>
      <c r="G223" s="80"/>
      <c r="H223" s="80"/>
      <c r="I223" s="80">
        <v>9</v>
      </c>
      <c r="J223" s="94"/>
      <c r="K223" s="28"/>
      <c r="L223" s="28"/>
    </row>
    <row r="224" spans="1:12" ht="16.5" hidden="1" thickBot="1" x14ac:dyDescent="0.3">
      <c r="A224" s="1546"/>
      <c r="B224" s="1549"/>
      <c r="C224" s="1117"/>
      <c r="D224" s="28" t="s">
        <v>357</v>
      </c>
      <c r="E224" s="94"/>
      <c r="F224" s="99">
        <f>(F223/F221)*100</f>
        <v>75</v>
      </c>
      <c r="G224" s="94"/>
      <c r="H224" s="94"/>
      <c r="I224" s="97">
        <f>I223/I221*100</f>
        <v>33.333333333333329</v>
      </c>
      <c r="J224" s="94"/>
      <c r="K224" s="28"/>
      <c r="L224" s="28"/>
    </row>
    <row r="225" spans="1:12" ht="14.85" hidden="1" customHeight="1" x14ac:dyDescent="0.25">
      <c r="A225" s="1546"/>
      <c r="B225" s="1549"/>
      <c r="C225" s="1117" t="s">
        <v>397</v>
      </c>
      <c r="D225" s="144" t="s">
        <v>251</v>
      </c>
      <c r="E225" s="94"/>
      <c r="F225" s="80"/>
      <c r="G225" s="80"/>
      <c r="H225" s="80"/>
      <c r="I225" s="80">
        <v>33</v>
      </c>
      <c r="J225" s="94"/>
      <c r="K225" s="28"/>
      <c r="L225" s="28"/>
    </row>
    <row r="226" spans="1:12" ht="16.5" hidden="1" thickBot="1" x14ac:dyDescent="0.3">
      <c r="A226" s="1546"/>
      <c r="B226" s="1549"/>
      <c r="C226" s="1117"/>
      <c r="D226" s="28" t="s">
        <v>257</v>
      </c>
      <c r="E226" s="94"/>
      <c r="F226" s="80"/>
      <c r="G226" s="80"/>
      <c r="H226" s="80"/>
      <c r="I226" s="80">
        <v>15</v>
      </c>
      <c r="J226" s="94"/>
      <c r="K226" s="28"/>
      <c r="L226" s="28"/>
    </row>
    <row r="227" spans="1:12" ht="16.5" hidden="1" thickBot="1" x14ac:dyDescent="0.3">
      <c r="A227" s="1546"/>
      <c r="B227" s="1549"/>
      <c r="C227" s="1117"/>
      <c r="D227" s="28" t="s">
        <v>263</v>
      </c>
      <c r="E227" s="94"/>
      <c r="F227" s="80"/>
      <c r="G227" s="80"/>
      <c r="H227" s="80"/>
      <c r="I227" s="80">
        <v>18</v>
      </c>
      <c r="J227" s="94"/>
      <c r="K227" s="28"/>
      <c r="L227" s="28"/>
    </row>
    <row r="228" spans="1:12" ht="16.5" hidden="1" thickBot="1" x14ac:dyDescent="0.3">
      <c r="A228" s="1546"/>
      <c r="B228" s="1549"/>
      <c r="C228" s="1117"/>
      <c r="D228" s="28" t="s">
        <v>357</v>
      </c>
      <c r="E228" s="94"/>
      <c r="F228" s="94"/>
      <c r="G228" s="94"/>
      <c r="H228" s="94"/>
      <c r="I228" s="98">
        <f>I227/I225*100</f>
        <v>54.54545454545454</v>
      </c>
      <c r="J228" s="94"/>
      <c r="K228" s="28"/>
      <c r="L228" s="28"/>
    </row>
    <row r="229" spans="1:12" ht="14.85" hidden="1" customHeight="1" x14ac:dyDescent="0.25">
      <c r="A229" s="1546"/>
      <c r="B229" s="1549"/>
      <c r="C229" s="1117" t="s">
        <v>398</v>
      </c>
      <c r="D229" s="144" t="s">
        <v>251</v>
      </c>
      <c r="E229" s="94"/>
      <c r="F229" s="80">
        <v>25</v>
      </c>
      <c r="G229" s="80"/>
      <c r="H229" s="80"/>
      <c r="I229" s="80">
        <v>9</v>
      </c>
      <c r="J229" s="94"/>
      <c r="K229" s="28"/>
      <c r="L229" s="28"/>
    </row>
    <row r="230" spans="1:12" ht="14.85" hidden="1" customHeight="1" x14ac:dyDescent="0.25">
      <c r="A230" s="1546"/>
      <c r="B230" s="1549"/>
      <c r="C230" s="1117"/>
      <c r="D230" s="28" t="s">
        <v>257</v>
      </c>
      <c r="E230" s="94"/>
      <c r="F230" s="80">
        <v>0</v>
      </c>
      <c r="G230" s="80"/>
      <c r="H230" s="80"/>
      <c r="I230" s="80">
        <v>3</v>
      </c>
      <c r="J230" s="94"/>
      <c r="K230" s="28"/>
      <c r="L230" s="28"/>
    </row>
    <row r="231" spans="1:12" ht="16.5" hidden="1" thickBot="1" x14ac:dyDescent="0.3">
      <c r="A231" s="1546"/>
      <c r="B231" s="1549"/>
      <c r="C231" s="1117"/>
      <c r="D231" s="28" t="s">
        <v>263</v>
      </c>
      <c r="E231" s="94"/>
      <c r="F231" s="80">
        <v>25</v>
      </c>
      <c r="G231" s="80"/>
      <c r="H231" s="80"/>
      <c r="I231" s="80">
        <v>3</v>
      </c>
      <c r="J231" s="94"/>
      <c r="K231" s="28"/>
      <c r="L231" s="28"/>
    </row>
    <row r="232" spans="1:12" ht="16.5" hidden="1" thickBot="1" x14ac:dyDescent="0.3">
      <c r="A232" s="1546"/>
      <c r="B232" s="1549"/>
      <c r="C232" s="1117"/>
      <c r="D232" s="28" t="s">
        <v>357</v>
      </c>
      <c r="E232" s="94"/>
      <c r="F232" s="99">
        <f>(F231/F229)*100</f>
        <v>100</v>
      </c>
      <c r="G232" s="94"/>
      <c r="H232" s="94"/>
      <c r="I232" s="97">
        <f>I231/I229*100</f>
        <v>33.333333333333329</v>
      </c>
      <c r="J232" s="94"/>
      <c r="K232" s="28"/>
      <c r="L232" s="28"/>
    </row>
    <row r="233" spans="1:12" ht="14.85" hidden="1" customHeight="1" x14ac:dyDescent="0.25">
      <c r="A233" s="1546"/>
      <c r="B233" s="1549"/>
      <c r="C233" s="1117" t="s">
        <v>399</v>
      </c>
      <c r="D233" s="144" t="s">
        <v>251</v>
      </c>
      <c r="E233" s="94"/>
      <c r="F233" s="80">
        <v>385</v>
      </c>
      <c r="G233" s="80"/>
      <c r="H233" s="80"/>
      <c r="I233" s="80">
        <v>285</v>
      </c>
      <c r="J233" s="94"/>
      <c r="K233" s="28"/>
      <c r="L233" s="28"/>
    </row>
    <row r="234" spans="1:12" ht="14.85" hidden="1" customHeight="1" x14ac:dyDescent="0.25">
      <c r="A234" s="1546"/>
      <c r="B234" s="1549"/>
      <c r="C234" s="1117"/>
      <c r="D234" s="28" t="s">
        <v>257</v>
      </c>
      <c r="E234" s="94"/>
      <c r="F234" s="80">
        <v>285</v>
      </c>
      <c r="G234" s="80"/>
      <c r="H234" s="80"/>
      <c r="I234" s="80">
        <v>222</v>
      </c>
      <c r="J234" s="94"/>
      <c r="K234" s="28"/>
      <c r="L234" s="28"/>
    </row>
    <row r="235" spans="1:12" ht="16.5" hidden="1" thickBot="1" x14ac:dyDescent="0.3">
      <c r="A235" s="1546"/>
      <c r="B235" s="1549"/>
      <c r="C235" s="1117"/>
      <c r="D235" s="28" t="s">
        <v>263</v>
      </c>
      <c r="E235" s="94"/>
      <c r="F235" s="80">
        <v>100</v>
      </c>
      <c r="G235" s="80"/>
      <c r="H235" s="80"/>
      <c r="I235" s="80">
        <v>66</v>
      </c>
      <c r="J235" s="94"/>
      <c r="K235" s="28"/>
      <c r="L235" s="28"/>
    </row>
    <row r="236" spans="1:12" ht="16.5" hidden="1" thickBot="1" x14ac:dyDescent="0.3">
      <c r="A236" s="1546"/>
      <c r="B236" s="1549"/>
      <c r="C236" s="1117"/>
      <c r="D236" s="28" t="s">
        <v>357</v>
      </c>
      <c r="E236" s="94"/>
      <c r="F236" s="97">
        <f>(F235/F233)*100</f>
        <v>25.97402597402597</v>
      </c>
      <c r="G236" s="94"/>
      <c r="H236" s="94"/>
      <c r="I236" s="97">
        <f>I235/I233*100</f>
        <v>23.157894736842106</v>
      </c>
      <c r="J236" s="94"/>
      <c r="K236" s="28"/>
      <c r="L236" s="28"/>
    </row>
    <row r="237" spans="1:12" ht="14.85" hidden="1" customHeight="1" x14ac:dyDescent="0.25">
      <c r="A237" s="1546"/>
      <c r="B237" s="1549"/>
      <c r="C237" s="1117" t="s">
        <v>400</v>
      </c>
      <c r="D237" s="144" t="s">
        <v>251</v>
      </c>
      <c r="E237" s="94"/>
      <c r="F237" s="80">
        <v>395</v>
      </c>
      <c r="G237" s="80"/>
      <c r="H237" s="80"/>
      <c r="I237" s="80">
        <v>111</v>
      </c>
      <c r="J237" s="94"/>
      <c r="K237" s="28"/>
      <c r="L237" s="28"/>
    </row>
    <row r="238" spans="1:12" ht="16.5" hidden="1" thickBot="1" x14ac:dyDescent="0.3">
      <c r="A238" s="1546"/>
      <c r="B238" s="1549"/>
      <c r="C238" s="1117"/>
      <c r="D238" s="28" t="s">
        <v>257</v>
      </c>
      <c r="E238" s="94"/>
      <c r="F238" s="80">
        <v>285</v>
      </c>
      <c r="G238" s="80"/>
      <c r="H238" s="80"/>
      <c r="I238" s="80">
        <v>90</v>
      </c>
      <c r="J238" s="94"/>
      <c r="K238" s="28"/>
      <c r="L238" s="28"/>
    </row>
    <row r="239" spans="1:12" ht="16.5" hidden="1" thickBot="1" x14ac:dyDescent="0.3">
      <c r="A239" s="1546"/>
      <c r="B239" s="1549"/>
      <c r="C239" s="1117"/>
      <c r="D239" s="28" t="s">
        <v>263</v>
      </c>
      <c r="E239" s="94"/>
      <c r="F239" s="80">
        <v>110</v>
      </c>
      <c r="G239" s="80"/>
      <c r="H239" s="80"/>
      <c r="I239" s="80">
        <v>21</v>
      </c>
      <c r="J239" s="94"/>
      <c r="K239" s="28"/>
      <c r="L239" s="28"/>
    </row>
    <row r="240" spans="1:12" ht="16.5" hidden="1" thickBot="1" x14ac:dyDescent="0.3">
      <c r="A240" s="1546"/>
      <c r="B240" s="1549"/>
      <c r="C240" s="1117"/>
      <c r="D240" s="28" t="s">
        <v>357</v>
      </c>
      <c r="E240" s="94"/>
      <c r="F240" s="97">
        <f>(F239/F237)*100</f>
        <v>27.848101265822784</v>
      </c>
      <c r="G240" s="94"/>
      <c r="H240" s="94"/>
      <c r="I240" s="97">
        <f>I239/I237*100</f>
        <v>18.918918918918919</v>
      </c>
      <c r="J240" s="94"/>
      <c r="K240" s="28"/>
      <c r="L240" s="28"/>
    </row>
    <row r="241" spans="1:12" ht="14.85" hidden="1" customHeight="1" x14ac:dyDescent="0.25">
      <c r="A241" s="1546"/>
      <c r="B241" s="1549"/>
      <c r="C241" s="1117" t="s">
        <v>401</v>
      </c>
      <c r="D241" s="144" t="s">
        <v>251</v>
      </c>
      <c r="E241" s="94"/>
      <c r="F241" s="80">
        <v>275</v>
      </c>
      <c r="G241" s="80"/>
      <c r="H241" s="80"/>
      <c r="I241" s="80">
        <v>60</v>
      </c>
      <c r="J241" s="94"/>
      <c r="K241" s="28"/>
      <c r="L241" s="28"/>
    </row>
    <row r="242" spans="1:12" ht="16.5" hidden="1" thickBot="1" x14ac:dyDescent="0.3">
      <c r="A242" s="1546"/>
      <c r="B242" s="1549"/>
      <c r="C242" s="1117"/>
      <c r="D242" s="28" t="s">
        <v>257</v>
      </c>
      <c r="E242" s="94"/>
      <c r="F242" s="80">
        <v>190</v>
      </c>
      <c r="G242" s="80"/>
      <c r="H242" s="80"/>
      <c r="I242" s="80">
        <v>54</v>
      </c>
      <c r="J242" s="94"/>
      <c r="K242" s="28"/>
      <c r="L242" s="28"/>
    </row>
    <row r="243" spans="1:12" ht="16.5" hidden="1" thickBot="1" x14ac:dyDescent="0.3">
      <c r="A243" s="1546"/>
      <c r="B243" s="1549"/>
      <c r="C243" s="1117"/>
      <c r="D243" s="28" t="s">
        <v>263</v>
      </c>
      <c r="E243" s="94"/>
      <c r="F243" s="80">
        <v>85</v>
      </c>
      <c r="G243" s="80"/>
      <c r="H243" s="80"/>
      <c r="I243" s="80">
        <v>3</v>
      </c>
      <c r="J243" s="94"/>
      <c r="K243" s="28"/>
      <c r="L243" s="28"/>
    </row>
    <row r="244" spans="1:12" ht="16.5" hidden="1" thickBot="1" x14ac:dyDescent="0.3">
      <c r="A244" s="1546"/>
      <c r="B244" s="1549"/>
      <c r="C244" s="1117"/>
      <c r="D244" s="28" t="s">
        <v>357</v>
      </c>
      <c r="E244" s="94"/>
      <c r="F244" s="97">
        <f>(F243/F241)*100</f>
        <v>30.909090909090907</v>
      </c>
      <c r="G244" s="94"/>
      <c r="H244" s="94"/>
      <c r="I244" s="97">
        <f>I243/I241*100</f>
        <v>5</v>
      </c>
      <c r="J244" s="94"/>
      <c r="K244" s="28"/>
      <c r="L244" s="28"/>
    </row>
    <row r="245" spans="1:12" ht="14.85" hidden="1" customHeight="1" x14ac:dyDescent="0.25">
      <c r="A245" s="1546"/>
      <c r="B245" s="1549"/>
      <c r="C245" s="1117" t="s">
        <v>402</v>
      </c>
      <c r="D245" s="144" t="s">
        <v>251</v>
      </c>
      <c r="E245" s="94"/>
      <c r="F245" s="80">
        <v>185</v>
      </c>
      <c r="G245" s="80"/>
      <c r="H245" s="80"/>
      <c r="I245" s="80">
        <v>129</v>
      </c>
      <c r="J245" s="94"/>
      <c r="K245" s="28"/>
      <c r="L245" s="28"/>
    </row>
    <row r="246" spans="1:12" ht="16.5" hidden="1" thickBot="1" x14ac:dyDescent="0.3">
      <c r="A246" s="1546"/>
      <c r="B246" s="1549"/>
      <c r="C246" s="1117"/>
      <c r="D246" s="28" t="s">
        <v>257</v>
      </c>
      <c r="E246" s="94"/>
      <c r="F246" s="80">
        <v>170</v>
      </c>
      <c r="G246" s="80"/>
      <c r="H246" s="80"/>
      <c r="I246" s="80">
        <v>108</v>
      </c>
      <c r="J246" s="94"/>
      <c r="K246" s="28"/>
      <c r="L246" s="28"/>
    </row>
    <row r="247" spans="1:12" ht="16.5" hidden="1" thickBot="1" x14ac:dyDescent="0.3">
      <c r="A247" s="1546"/>
      <c r="B247" s="1549"/>
      <c r="C247" s="1117"/>
      <c r="D247" s="28" t="s">
        <v>263</v>
      </c>
      <c r="E247" s="94"/>
      <c r="F247" s="80">
        <v>15</v>
      </c>
      <c r="G247" s="80"/>
      <c r="H247" s="80"/>
      <c r="I247" s="80">
        <v>21</v>
      </c>
      <c r="J247" s="94"/>
      <c r="K247" s="28"/>
      <c r="L247" s="28"/>
    </row>
    <row r="248" spans="1:12" ht="16.5" hidden="1" thickBot="1" x14ac:dyDescent="0.3">
      <c r="A248" s="1546"/>
      <c r="B248" s="1549"/>
      <c r="C248" s="1117"/>
      <c r="D248" s="28" t="s">
        <v>357</v>
      </c>
      <c r="E248" s="94"/>
      <c r="F248" s="97">
        <f>(F247/F245)*100</f>
        <v>8.1081081081081088</v>
      </c>
      <c r="G248" s="94"/>
      <c r="H248" s="94"/>
      <c r="I248" s="97">
        <f>I247/I245*100</f>
        <v>16.279069767441861</v>
      </c>
      <c r="J248" s="94"/>
      <c r="K248" s="28"/>
      <c r="L248" s="28"/>
    </row>
    <row r="249" spans="1:12" ht="14.85" hidden="1" customHeight="1" x14ac:dyDescent="0.25">
      <c r="A249" s="1546"/>
      <c r="B249" s="1549"/>
      <c r="C249" s="1117" t="s">
        <v>403</v>
      </c>
      <c r="D249" s="144" t="s">
        <v>251</v>
      </c>
      <c r="E249" s="94"/>
      <c r="F249" s="80">
        <v>415</v>
      </c>
      <c r="G249" s="80"/>
      <c r="H249" s="80"/>
      <c r="I249" s="80">
        <v>237</v>
      </c>
      <c r="J249" s="94"/>
      <c r="K249" s="28"/>
      <c r="L249" s="28"/>
    </row>
    <row r="250" spans="1:12" ht="16.5" hidden="1" thickBot="1" x14ac:dyDescent="0.3">
      <c r="A250" s="1546"/>
      <c r="B250" s="1549"/>
      <c r="C250" s="1117"/>
      <c r="D250" s="28" t="s">
        <v>257</v>
      </c>
      <c r="E250" s="94"/>
      <c r="F250" s="80">
        <v>235</v>
      </c>
      <c r="G250" s="80"/>
      <c r="H250" s="80"/>
      <c r="I250" s="80">
        <v>189</v>
      </c>
      <c r="J250" s="94"/>
      <c r="K250" s="28"/>
      <c r="L250" s="28"/>
    </row>
    <row r="251" spans="1:12" ht="16.5" hidden="1" thickBot="1" x14ac:dyDescent="0.3">
      <c r="A251" s="1546"/>
      <c r="B251" s="1549"/>
      <c r="C251" s="1117"/>
      <c r="D251" s="28" t="s">
        <v>263</v>
      </c>
      <c r="E251" s="94"/>
      <c r="F251" s="80">
        <v>175</v>
      </c>
      <c r="G251" s="80"/>
      <c r="H251" s="80"/>
      <c r="I251" s="80">
        <v>48</v>
      </c>
      <c r="J251" s="94"/>
      <c r="K251" s="28"/>
      <c r="L251" s="28"/>
    </row>
    <row r="252" spans="1:12" ht="16.5" hidden="1" thickBot="1" x14ac:dyDescent="0.3">
      <c r="A252" s="1546"/>
      <c r="B252" s="1549"/>
      <c r="C252" s="1117"/>
      <c r="D252" s="28" t="s">
        <v>357</v>
      </c>
      <c r="E252" s="94"/>
      <c r="F252" s="98">
        <f>(F251/F249)*100</f>
        <v>42.168674698795186</v>
      </c>
      <c r="G252" s="94"/>
      <c r="H252" s="94"/>
      <c r="I252" s="97">
        <f>I251/I249*100</f>
        <v>20.253164556962027</v>
      </c>
      <c r="J252" s="94"/>
      <c r="K252" s="28"/>
      <c r="L252" s="28"/>
    </row>
    <row r="253" spans="1:12" ht="14.85" hidden="1" customHeight="1" x14ac:dyDescent="0.25">
      <c r="A253" s="1546"/>
      <c r="B253" s="1549"/>
      <c r="C253" s="1117" t="s">
        <v>404</v>
      </c>
      <c r="D253" s="144" t="s">
        <v>251</v>
      </c>
      <c r="E253" s="94"/>
      <c r="F253" s="80">
        <v>210</v>
      </c>
      <c r="G253" s="80"/>
      <c r="H253" s="80"/>
      <c r="I253" s="80">
        <v>57</v>
      </c>
      <c r="J253" s="94"/>
      <c r="K253" s="28"/>
      <c r="L253" s="28"/>
    </row>
    <row r="254" spans="1:12" ht="14.85" hidden="1" customHeight="1" x14ac:dyDescent="0.25">
      <c r="A254" s="1546"/>
      <c r="B254" s="1549"/>
      <c r="C254" s="1117"/>
      <c r="D254" s="28" t="s">
        <v>257</v>
      </c>
      <c r="E254" s="94"/>
      <c r="F254" s="80">
        <v>95</v>
      </c>
      <c r="G254" s="80"/>
      <c r="H254" s="80"/>
      <c r="I254" s="80">
        <v>33</v>
      </c>
      <c r="J254" s="94"/>
      <c r="K254" s="28"/>
      <c r="L254" s="28"/>
    </row>
    <row r="255" spans="1:12" ht="16.5" hidden="1" thickBot="1" x14ac:dyDescent="0.3">
      <c r="A255" s="1546"/>
      <c r="B255" s="1549"/>
      <c r="C255" s="1117"/>
      <c r="D255" s="28" t="s">
        <v>263</v>
      </c>
      <c r="E255" s="94"/>
      <c r="F255" s="80">
        <v>115</v>
      </c>
      <c r="G255" s="80"/>
      <c r="H255" s="80"/>
      <c r="I255" s="80">
        <v>21</v>
      </c>
      <c r="J255" s="94"/>
      <c r="K255" s="28"/>
      <c r="L255" s="28"/>
    </row>
    <row r="256" spans="1:12" ht="16.5" hidden="1" thickBot="1" x14ac:dyDescent="0.3">
      <c r="A256" s="1546"/>
      <c r="B256" s="1549"/>
      <c r="C256" s="1117"/>
      <c r="D256" s="28" t="s">
        <v>357</v>
      </c>
      <c r="E256" s="94"/>
      <c r="F256" s="98">
        <f>(F255/F253)*100</f>
        <v>54.761904761904766</v>
      </c>
      <c r="G256" s="94"/>
      <c r="H256" s="94"/>
      <c r="I256" s="97">
        <f>I255/I253*100</f>
        <v>36.84210526315789</v>
      </c>
      <c r="J256" s="94"/>
      <c r="K256" s="28"/>
      <c r="L256" s="28"/>
    </row>
    <row r="257" spans="1:12" ht="14.85" hidden="1" customHeight="1" x14ac:dyDescent="0.25">
      <c r="A257" s="1546"/>
      <c r="B257" s="1549"/>
      <c r="C257" s="1117" t="s">
        <v>405</v>
      </c>
      <c r="D257" s="144" t="s">
        <v>251</v>
      </c>
      <c r="E257" s="94"/>
      <c r="F257" s="80">
        <v>115</v>
      </c>
      <c r="G257" s="80"/>
      <c r="H257" s="80"/>
      <c r="I257" s="80">
        <v>57</v>
      </c>
      <c r="J257" s="94"/>
      <c r="K257" s="28"/>
      <c r="L257" s="28"/>
    </row>
    <row r="258" spans="1:12" ht="16.5" hidden="1" thickBot="1" x14ac:dyDescent="0.3">
      <c r="A258" s="1546"/>
      <c r="B258" s="1549"/>
      <c r="C258" s="1117"/>
      <c r="D258" s="28" t="s">
        <v>257</v>
      </c>
      <c r="E258" s="94"/>
      <c r="F258" s="80">
        <v>80</v>
      </c>
      <c r="G258" s="80"/>
      <c r="H258" s="80"/>
      <c r="I258" s="80">
        <v>30</v>
      </c>
      <c r="J258" s="94"/>
      <c r="K258" s="28"/>
      <c r="L258" s="28"/>
    </row>
    <row r="259" spans="1:12" ht="16.5" hidden="1" thickBot="1" x14ac:dyDescent="0.3">
      <c r="A259" s="1546"/>
      <c r="B259" s="1549"/>
      <c r="C259" s="1117"/>
      <c r="D259" s="28" t="s">
        <v>263</v>
      </c>
      <c r="E259" s="94"/>
      <c r="F259" s="80">
        <v>35</v>
      </c>
      <c r="G259" s="80"/>
      <c r="H259" s="80"/>
      <c r="I259" s="80">
        <v>30</v>
      </c>
      <c r="J259" s="94"/>
      <c r="K259" s="28"/>
      <c r="L259" s="28"/>
    </row>
    <row r="260" spans="1:12" ht="16.5" hidden="1" thickBot="1" x14ac:dyDescent="0.3">
      <c r="A260" s="1546"/>
      <c r="B260" s="1549"/>
      <c r="C260" s="1117"/>
      <c r="D260" s="28" t="s">
        <v>357</v>
      </c>
      <c r="E260" s="94"/>
      <c r="F260" s="97">
        <f>(F259/F257)*100</f>
        <v>30.434782608695656</v>
      </c>
      <c r="G260" s="94"/>
      <c r="H260" s="94"/>
      <c r="I260" s="98">
        <f>I259/I257*100</f>
        <v>52.631578947368418</v>
      </c>
      <c r="J260" s="94"/>
      <c r="K260" s="28"/>
      <c r="L260" s="28"/>
    </row>
    <row r="261" spans="1:12" ht="14.85" hidden="1" customHeight="1" x14ac:dyDescent="0.25">
      <c r="A261" s="1546"/>
      <c r="B261" s="1549"/>
      <c r="C261" s="1117" t="s">
        <v>406</v>
      </c>
      <c r="D261" s="144" t="s">
        <v>251</v>
      </c>
      <c r="E261" s="94"/>
      <c r="F261" s="80">
        <v>230</v>
      </c>
      <c r="G261" s="80"/>
      <c r="H261" s="80"/>
      <c r="I261" s="80">
        <v>102</v>
      </c>
      <c r="J261" s="94"/>
      <c r="K261" s="28"/>
      <c r="L261" s="28"/>
    </row>
    <row r="262" spans="1:12" ht="16.5" hidden="1" thickBot="1" x14ac:dyDescent="0.3">
      <c r="A262" s="1546"/>
      <c r="B262" s="1549"/>
      <c r="C262" s="1117"/>
      <c r="D262" s="28" t="s">
        <v>257</v>
      </c>
      <c r="E262" s="94"/>
      <c r="F262" s="80">
        <v>190</v>
      </c>
      <c r="G262" s="80"/>
      <c r="H262" s="80"/>
      <c r="I262" s="80">
        <v>51</v>
      </c>
      <c r="J262" s="94"/>
      <c r="K262" s="28"/>
      <c r="L262" s="28"/>
    </row>
    <row r="263" spans="1:12" ht="16.5" hidden="1" thickBot="1" x14ac:dyDescent="0.3">
      <c r="A263" s="1546"/>
      <c r="B263" s="1549"/>
      <c r="C263" s="1117"/>
      <c r="D263" s="28" t="s">
        <v>263</v>
      </c>
      <c r="E263" s="94"/>
      <c r="F263" s="80">
        <v>40</v>
      </c>
      <c r="G263" s="80"/>
      <c r="H263" s="80"/>
      <c r="I263" s="80">
        <v>51</v>
      </c>
      <c r="J263" s="94"/>
      <c r="K263" s="28"/>
      <c r="L263" s="28"/>
    </row>
    <row r="264" spans="1:12" ht="16.5" hidden="1" thickBot="1" x14ac:dyDescent="0.3">
      <c r="A264" s="1546"/>
      <c r="B264" s="1549"/>
      <c r="C264" s="1117"/>
      <c r="D264" s="28" t="s">
        <v>357</v>
      </c>
      <c r="E264" s="94"/>
      <c r="F264" s="97">
        <f>(F263/F261)*100</f>
        <v>17.391304347826086</v>
      </c>
      <c r="G264" s="94"/>
      <c r="H264" s="94"/>
      <c r="I264" s="98">
        <f>I263/I261*100</f>
        <v>50</v>
      </c>
      <c r="J264" s="94"/>
      <c r="K264" s="28"/>
      <c r="L264" s="28"/>
    </row>
    <row r="265" spans="1:12" ht="14.85" hidden="1" customHeight="1" x14ac:dyDescent="0.25">
      <c r="A265" s="1546"/>
      <c r="B265" s="1549"/>
      <c r="C265" s="1117" t="s">
        <v>407</v>
      </c>
      <c r="D265" s="144" t="s">
        <v>251</v>
      </c>
      <c r="E265" s="94"/>
      <c r="F265" s="80">
        <v>170</v>
      </c>
      <c r="G265" s="80"/>
      <c r="H265" s="80"/>
      <c r="I265" s="80">
        <v>75</v>
      </c>
      <c r="J265" s="94"/>
      <c r="K265" s="28"/>
      <c r="L265" s="28"/>
    </row>
    <row r="266" spans="1:12" ht="16.5" hidden="1" thickBot="1" x14ac:dyDescent="0.3">
      <c r="A266" s="1546"/>
      <c r="B266" s="1549"/>
      <c r="C266" s="1117"/>
      <c r="D266" s="28" t="s">
        <v>257</v>
      </c>
      <c r="E266" s="94"/>
      <c r="F266" s="80">
        <v>90</v>
      </c>
      <c r="G266" s="80"/>
      <c r="H266" s="80"/>
      <c r="I266" s="80">
        <v>54</v>
      </c>
      <c r="J266" s="94"/>
      <c r="K266" s="28"/>
      <c r="L266" s="28"/>
    </row>
    <row r="267" spans="1:12" ht="16.5" hidden="1" thickBot="1" x14ac:dyDescent="0.3">
      <c r="A267" s="1546"/>
      <c r="B267" s="1549"/>
      <c r="C267" s="1117"/>
      <c r="D267" s="28" t="s">
        <v>263</v>
      </c>
      <c r="E267" s="94"/>
      <c r="F267" s="80">
        <v>85</v>
      </c>
      <c r="G267" s="80"/>
      <c r="H267" s="80"/>
      <c r="I267" s="80">
        <v>18</v>
      </c>
      <c r="J267" s="94"/>
      <c r="K267" s="28"/>
      <c r="L267" s="28"/>
    </row>
    <row r="268" spans="1:12" ht="16.5" hidden="1" thickBot="1" x14ac:dyDescent="0.3">
      <c r="A268" s="1546"/>
      <c r="B268" s="1549"/>
      <c r="C268" s="1117"/>
      <c r="D268" s="28" t="s">
        <v>357</v>
      </c>
      <c r="E268" s="94"/>
      <c r="F268" s="98">
        <f>(F267/F265)*100</f>
        <v>50</v>
      </c>
      <c r="G268" s="94"/>
      <c r="H268" s="94"/>
      <c r="I268" s="97">
        <f>I267/I265*100</f>
        <v>24</v>
      </c>
      <c r="J268" s="94"/>
      <c r="K268" s="28"/>
      <c r="L268" s="28"/>
    </row>
    <row r="269" spans="1:12" ht="14.85" hidden="1" customHeight="1" x14ac:dyDescent="0.25">
      <c r="A269" s="1546"/>
      <c r="B269" s="1549"/>
      <c r="C269" s="1117" t="s">
        <v>408</v>
      </c>
      <c r="D269" s="144" t="s">
        <v>251</v>
      </c>
      <c r="E269" s="94"/>
      <c r="F269" s="80">
        <v>25</v>
      </c>
      <c r="G269" s="80"/>
      <c r="H269" s="80"/>
      <c r="I269" s="80">
        <v>27</v>
      </c>
      <c r="J269" s="94"/>
      <c r="K269" s="28"/>
      <c r="L269" s="28"/>
    </row>
    <row r="270" spans="1:12" ht="16.5" hidden="1" thickBot="1" x14ac:dyDescent="0.3">
      <c r="A270" s="1546"/>
      <c r="B270" s="1549"/>
      <c r="C270" s="1117"/>
      <c r="D270" s="28" t="s">
        <v>257</v>
      </c>
      <c r="E270" s="94"/>
      <c r="F270" s="80">
        <v>15</v>
      </c>
      <c r="G270" s="80"/>
      <c r="H270" s="80"/>
      <c r="I270" s="80">
        <v>21</v>
      </c>
      <c r="J270" s="94"/>
      <c r="K270" s="28"/>
      <c r="L270" s="28"/>
    </row>
    <row r="271" spans="1:12" ht="16.5" hidden="1" thickBot="1" x14ac:dyDescent="0.3">
      <c r="A271" s="1546"/>
      <c r="B271" s="1549"/>
      <c r="C271" s="1117"/>
      <c r="D271" s="28" t="s">
        <v>263</v>
      </c>
      <c r="E271" s="94"/>
      <c r="F271" s="80">
        <v>15</v>
      </c>
      <c r="G271" s="80"/>
      <c r="H271" s="80"/>
      <c r="I271" s="80">
        <v>6</v>
      </c>
      <c r="J271" s="94"/>
      <c r="K271" s="28"/>
      <c r="L271" s="28"/>
    </row>
    <row r="272" spans="1:12" ht="16.5" hidden="1" thickBot="1" x14ac:dyDescent="0.3">
      <c r="A272" s="1546"/>
      <c r="B272" s="1549"/>
      <c r="C272" s="1117"/>
      <c r="D272" s="28" t="s">
        <v>357</v>
      </c>
      <c r="E272" s="94"/>
      <c r="F272" s="99">
        <f>(F271/F269)*100</f>
        <v>60</v>
      </c>
      <c r="G272" s="94"/>
      <c r="H272" s="94"/>
      <c r="I272" s="97">
        <f>I271/I269*100</f>
        <v>22.222222222222221</v>
      </c>
      <c r="J272" s="94"/>
      <c r="K272" s="28"/>
      <c r="L272" s="28"/>
    </row>
    <row r="273" spans="1:12" ht="14.85" hidden="1" customHeight="1" x14ac:dyDescent="0.25">
      <c r="A273" s="1546"/>
      <c r="B273" s="1549"/>
      <c r="C273" s="1117" t="s">
        <v>409</v>
      </c>
      <c r="D273" s="144" t="s">
        <v>251</v>
      </c>
      <c r="E273" s="94"/>
      <c r="F273" s="80">
        <v>120</v>
      </c>
      <c r="G273" s="80"/>
      <c r="H273" s="80"/>
      <c r="I273" s="80">
        <v>48</v>
      </c>
      <c r="J273" s="94"/>
      <c r="K273" s="28"/>
      <c r="L273" s="28"/>
    </row>
    <row r="274" spans="1:12" ht="14.85" hidden="1" customHeight="1" x14ac:dyDescent="0.25">
      <c r="A274" s="1546"/>
      <c r="B274" s="1549"/>
      <c r="C274" s="1117"/>
      <c r="D274" s="28" t="s">
        <v>257</v>
      </c>
      <c r="E274" s="94"/>
      <c r="F274" s="80">
        <v>110</v>
      </c>
      <c r="G274" s="80"/>
      <c r="H274" s="80"/>
      <c r="I274" s="80">
        <v>42</v>
      </c>
      <c r="J274" s="94"/>
      <c r="K274" s="28"/>
      <c r="L274" s="28"/>
    </row>
    <row r="275" spans="1:12" ht="16.5" hidden="1" thickBot="1" x14ac:dyDescent="0.3">
      <c r="A275" s="1546"/>
      <c r="B275" s="1549"/>
      <c r="C275" s="1117"/>
      <c r="D275" s="28" t="s">
        <v>263</v>
      </c>
      <c r="E275" s="94"/>
      <c r="F275" s="80">
        <v>10</v>
      </c>
      <c r="G275" s="80"/>
      <c r="H275" s="80"/>
      <c r="I275" s="80">
        <v>6</v>
      </c>
      <c r="J275" s="94"/>
      <c r="K275" s="28"/>
      <c r="L275" s="28"/>
    </row>
    <row r="276" spans="1:12" ht="16.5" hidden="1" thickBot="1" x14ac:dyDescent="0.3">
      <c r="A276" s="1546"/>
      <c r="B276" s="1549"/>
      <c r="C276" s="1117"/>
      <c r="D276" s="28" t="s">
        <v>357</v>
      </c>
      <c r="E276" s="94"/>
      <c r="F276" s="97">
        <f>(F275/F273)*100</f>
        <v>8.3333333333333321</v>
      </c>
      <c r="G276" s="94"/>
      <c r="H276" s="94"/>
      <c r="I276" s="97">
        <f>I275/I273*100</f>
        <v>12.5</v>
      </c>
      <c r="J276" s="94"/>
      <c r="K276" s="28"/>
      <c r="L276" s="28"/>
    </row>
    <row r="277" spans="1:12" ht="14.85" hidden="1" customHeight="1" x14ac:dyDescent="0.25">
      <c r="A277" s="1546"/>
      <c r="B277" s="1549"/>
      <c r="C277" s="1117" t="s">
        <v>410</v>
      </c>
      <c r="D277" s="144" t="s">
        <v>251</v>
      </c>
      <c r="E277" s="94"/>
      <c r="F277" s="80">
        <v>695</v>
      </c>
      <c r="G277" s="80"/>
      <c r="H277" s="80"/>
      <c r="I277" s="80">
        <v>507</v>
      </c>
      <c r="J277" s="94"/>
      <c r="K277" s="28"/>
      <c r="L277" s="28"/>
    </row>
    <row r="278" spans="1:12" ht="16.5" hidden="1" thickBot="1" x14ac:dyDescent="0.3">
      <c r="A278" s="1546"/>
      <c r="B278" s="1549"/>
      <c r="C278" s="1117"/>
      <c r="D278" s="28" t="s">
        <v>257</v>
      </c>
      <c r="E278" s="94"/>
      <c r="F278" s="80">
        <v>495</v>
      </c>
      <c r="G278" s="80"/>
      <c r="H278" s="80"/>
      <c r="I278" s="80">
        <v>444</v>
      </c>
      <c r="J278" s="94"/>
      <c r="K278" s="28"/>
      <c r="L278" s="28"/>
    </row>
    <row r="279" spans="1:12" ht="16.5" hidden="1" thickBot="1" x14ac:dyDescent="0.3">
      <c r="A279" s="1546"/>
      <c r="B279" s="1549"/>
      <c r="C279" s="1117"/>
      <c r="D279" s="28" t="s">
        <v>263</v>
      </c>
      <c r="E279" s="94"/>
      <c r="F279" s="80">
        <v>205</v>
      </c>
      <c r="G279" s="80"/>
      <c r="H279" s="80"/>
      <c r="I279" s="80">
        <v>63</v>
      </c>
      <c r="J279" s="94"/>
      <c r="K279" s="28"/>
      <c r="L279" s="28"/>
    </row>
    <row r="280" spans="1:12" ht="16.5" hidden="1" thickBot="1" x14ac:dyDescent="0.3">
      <c r="A280" s="1546"/>
      <c r="B280" s="1549"/>
      <c r="C280" s="1117"/>
      <c r="D280" s="28" t="s">
        <v>357</v>
      </c>
      <c r="E280" s="94"/>
      <c r="F280" s="97">
        <f>(F279/F277)*100</f>
        <v>29.496402877697843</v>
      </c>
      <c r="G280" s="94"/>
      <c r="H280" s="94"/>
      <c r="I280" s="97">
        <f>I279/I277*100</f>
        <v>12.42603550295858</v>
      </c>
      <c r="J280" s="94"/>
      <c r="K280" s="28"/>
      <c r="L280" s="28"/>
    </row>
    <row r="281" spans="1:12" ht="14.85" hidden="1" customHeight="1" x14ac:dyDescent="0.25">
      <c r="A281" s="1546"/>
      <c r="B281" s="1549"/>
      <c r="C281" s="1117" t="s">
        <v>411</v>
      </c>
      <c r="D281" s="144" t="s">
        <v>251</v>
      </c>
      <c r="E281" s="94"/>
      <c r="F281" s="80">
        <v>2000</v>
      </c>
      <c r="G281" s="80"/>
      <c r="H281" s="80"/>
      <c r="I281" s="80">
        <v>2331</v>
      </c>
      <c r="J281" s="94"/>
      <c r="K281" s="28"/>
      <c r="L281" s="28"/>
    </row>
    <row r="282" spans="1:12" ht="16.5" hidden="1" thickBot="1" x14ac:dyDescent="0.3">
      <c r="A282" s="1546"/>
      <c r="B282" s="1549"/>
      <c r="C282" s="1117"/>
      <c r="D282" s="28" t="s">
        <v>257</v>
      </c>
      <c r="E282" s="94"/>
      <c r="F282" s="80">
        <v>165</v>
      </c>
      <c r="G282" s="80"/>
      <c r="H282" s="80"/>
      <c r="I282" s="80">
        <v>150</v>
      </c>
      <c r="J282" s="94"/>
      <c r="K282" s="28"/>
      <c r="L282" s="28"/>
    </row>
    <row r="283" spans="1:12" ht="16.5" hidden="1" thickBot="1" x14ac:dyDescent="0.3">
      <c r="A283" s="1546"/>
      <c r="B283" s="1549"/>
      <c r="C283" s="1117"/>
      <c r="D283" s="28" t="s">
        <v>263</v>
      </c>
      <c r="E283" s="94"/>
      <c r="F283" s="80">
        <v>1835</v>
      </c>
      <c r="G283" s="80"/>
      <c r="H283" s="80"/>
      <c r="I283" s="80">
        <v>2178</v>
      </c>
      <c r="J283" s="94"/>
      <c r="K283" s="28"/>
      <c r="L283" s="28"/>
    </row>
    <row r="284" spans="1:12" ht="16.5" hidden="1" thickBot="1" x14ac:dyDescent="0.3">
      <c r="A284" s="1546"/>
      <c r="B284" s="1549"/>
      <c r="C284" s="1117"/>
      <c r="D284" s="28" t="s">
        <v>357</v>
      </c>
      <c r="E284" s="94"/>
      <c r="F284" s="99">
        <f>(F283/F281)*100</f>
        <v>91.75</v>
      </c>
      <c r="G284" s="94"/>
      <c r="H284" s="94"/>
      <c r="I284" s="99">
        <f>I283/I281*100</f>
        <v>93.43629343629344</v>
      </c>
      <c r="J284" s="94"/>
      <c r="K284" s="28"/>
      <c r="L284" s="28"/>
    </row>
    <row r="285" spans="1:12" ht="14.85" hidden="1" customHeight="1" x14ac:dyDescent="0.25">
      <c r="A285" s="1546"/>
      <c r="B285" s="1549"/>
      <c r="C285" s="1117" t="s">
        <v>412</v>
      </c>
      <c r="D285" s="144" t="s">
        <v>251</v>
      </c>
      <c r="E285" s="94"/>
      <c r="F285" s="80">
        <v>625</v>
      </c>
      <c r="G285" s="80"/>
      <c r="H285" s="80"/>
      <c r="I285" s="80">
        <v>681</v>
      </c>
      <c r="J285" s="94"/>
      <c r="K285" s="28"/>
      <c r="L285" s="28"/>
    </row>
    <row r="286" spans="1:12" ht="16.5" hidden="1" thickBot="1" x14ac:dyDescent="0.3">
      <c r="A286" s="1546"/>
      <c r="B286" s="1549"/>
      <c r="C286" s="1117"/>
      <c r="D286" s="28" t="s">
        <v>257</v>
      </c>
      <c r="E286" s="94"/>
      <c r="F286" s="80">
        <v>175</v>
      </c>
      <c r="G286" s="80"/>
      <c r="H286" s="80"/>
      <c r="I286" s="80">
        <v>201</v>
      </c>
      <c r="J286" s="94"/>
      <c r="K286" s="28"/>
      <c r="L286" s="28"/>
    </row>
    <row r="287" spans="1:12" ht="16.5" hidden="1" thickBot="1" x14ac:dyDescent="0.3">
      <c r="A287" s="1546"/>
      <c r="B287" s="1549"/>
      <c r="C287" s="1117"/>
      <c r="D287" s="28" t="s">
        <v>263</v>
      </c>
      <c r="E287" s="94"/>
      <c r="F287" s="80">
        <v>445</v>
      </c>
      <c r="G287" s="80"/>
      <c r="H287" s="80"/>
      <c r="I287" s="80">
        <v>480</v>
      </c>
      <c r="J287" s="94"/>
      <c r="K287" s="28"/>
      <c r="L287" s="28"/>
    </row>
    <row r="288" spans="1:12" ht="16.5" hidden="1" thickBot="1" x14ac:dyDescent="0.3">
      <c r="A288" s="1546"/>
      <c r="B288" s="1549"/>
      <c r="C288" s="1117"/>
      <c r="D288" s="28" t="s">
        <v>357</v>
      </c>
      <c r="E288" s="94"/>
      <c r="F288" s="99">
        <f>(F287/F285)*100</f>
        <v>71.2</v>
      </c>
      <c r="G288" s="94"/>
      <c r="H288" s="94"/>
      <c r="I288" s="99">
        <f>I287/I285*100</f>
        <v>70.484581497797365</v>
      </c>
      <c r="J288" s="94"/>
      <c r="K288" s="28"/>
      <c r="L288" s="28"/>
    </row>
    <row r="289" spans="1:12" ht="14.85" hidden="1" customHeight="1" x14ac:dyDescent="0.25">
      <c r="A289" s="1546"/>
      <c r="B289" s="1549"/>
      <c r="C289" s="1117" t="s">
        <v>413</v>
      </c>
      <c r="D289" s="144" t="s">
        <v>251</v>
      </c>
      <c r="E289" s="94"/>
      <c r="F289" s="80">
        <v>180</v>
      </c>
      <c r="G289" s="80"/>
      <c r="H289" s="80"/>
      <c r="I289" s="80">
        <v>141</v>
      </c>
      <c r="J289" s="94"/>
      <c r="K289" s="28"/>
      <c r="L289" s="28"/>
    </row>
    <row r="290" spans="1:12" ht="14.85" hidden="1" customHeight="1" x14ac:dyDescent="0.25">
      <c r="A290" s="1546"/>
      <c r="B290" s="1549"/>
      <c r="C290" s="1117"/>
      <c r="D290" s="28" t="s">
        <v>257</v>
      </c>
      <c r="E290" s="94"/>
      <c r="F290" s="80">
        <v>80</v>
      </c>
      <c r="G290" s="80"/>
      <c r="H290" s="80"/>
      <c r="I290" s="80">
        <v>81</v>
      </c>
      <c r="J290" s="94"/>
      <c r="K290" s="28"/>
      <c r="L290" s="28"/>
    </row>
    <row r="291" spans="1:12" ht="16.5" hidden="1" thickBot="1" x14ac:dyDescent="0.3">
      <c r="A291" s="1546"/>
      <c r="B291" s="1549"/>
      <c r="C291" s="1117"/>
      <c r="D291" s="28" t="s">
        <v>263</v>
      </c>
      <c r="E291" s="94"/>
      <c r="F291" s="80">
        <v>100</v>
      </c>
      <c r="G291" s="80"/>
      <c r="H291" s="80"/>
      <c r="I291" s="80">
        <v>57</v>
      </c>
      <c r="J291" s="94"/>
      <c r="K291" s="28"/>
      <c r="L291" s="28"/>
    </row>
    <row r="292" spans="1:12" ht="16.5" hidden="1" thickBot="1" x14ac:dyDescent="0.3">
      <c r="A292" s="1546"/>
      <c r="B292" s="1549"/>
      <c r="C292" s="1117"/>
      <c r="D292" s="28" t="s">
        <v>357</v>
      </c>
      <c r="E292" s="94"/>
      <c r="F292" s="98">
        <f>(F291/F289)*100</f>
        <v>55.555555555555557</v>
      </c>
      <c r="G292" s="94"/>
      <c r="H292" s="94"/>
      <c r="I292" s="98">
        <f>I291/I289*100</f>
        <v>40.425531914893611</v>
      </c>
      <c r="J292" s="94"/>
      <c r="K292" s="28"/>
      <c r="L292" s="28"/>
    </row>
    <row r="293" spans="1:12" ht="14.85" hidden="1" customHeight="1" x14ac:dyDescent="0.25">
      <c r="A293" s="1546"/>
      <c r="B293" s="1549"/>
      <c r="C293" s="1117" t="s">
        <v>414</v>
      </c>
      <c r="D293" s="144" t="s">
        <v>251</v>
      </c>
      <c r="E293" s="94"/>
      <c r="F293" s="80">
        <v>130</v>
      </c>
      <c r="G293" s="80"/>
      <c r="H293" s="80"/>
      <c r="I293" s="80">
        <v>237</v>
      </c>
      <c r="J293" s="94"/>
      <c r="K293" s="28"/>
      <c r="L293" s="28"/>
    </row>
    <row r="294" spans="1:12" ht="14.85" hidden="1" customHeight="1" x14ac:dyDescent="0.25">
      <c r="A294" s="1546"/>
      <c r="B294" s="1549"/>
      <c r="C294" s="1117"/>
      <c r="D294" s="28" t="s">
        <v>257</v>
      </c>
      <c r="E294" s="94"/>
      <c r="F294" s="80">
        <v>95</v>
      </c>
      <c r="G294" s="80"/>
      <c r="H294" s="80"/>
      <c r="I294" s="80">
        <v>162</v>
      </c>
      <c r="J294" s="94"/>
      <c r="K294" s="28"/>
      <c r="L294" s="28"/>
    </row>
    <row r="295" spans="1:12" ht="16.5" hidden="1" thickBot="1" x14ac:dyDescent="0.3">
      <c r="A295" s="1546"/>
      <c r="B295" s="1549"/>
      <c r="C295" s="1117"/>
      <c r="D295" s="28" t="s">
        <v>263</v>
      </c>
      <c r="E295" s="94"/>
      <c r="F295" s="80">
        <v>35</v>
      </c>
      <c r="G295" s="80"/>
      <c r="H295" s="80"/>
      <c r="I295" s="80">
        <v>78</v>
      </c>
      <c r="J295" s="94"/>
      <c r="K295" s="28"/>
      <c r="L295" s="28"/>
    </row>
    <row r="296" spans="1:12" ht="16.5" hidden="1" thickBot="1" x14ac:dyDescent="0.3">
      <c r="A296" s="1546"/>
      <c r="B296" s="1549"/>
      <c r="C296" s="1117"/>
      <c r="D296" s="28" t="s">
        <v>357</v>
      </c>
      <c r="E296" s="94"/>
      <c r="F296" s="97">
        <f>(F295/F293)*100</f>
        <v>26.923076923076923</v>
      </c>
      <c r="G296" s="94"/>
      <c r="H296" s="94"/>
      <c r="I296" s="97">
        <f>I295/I293*100</f>
        <v>32.911392405063289</v>
      </c>
      <c r="J296" s="94"/>
      <c r="K296" s="28"/>
      <c r="L296" s="28"/>
    </row>
    <row r="297" spans="1:12" ht="14.85" hidden="1" customHeight="1" x14ac:dyDescent="0.25">
      <c r="A297" s="1546"/>
      <c r="B297" s="1549"/>
      <c r="C297" s="1117" t="s">
        <v>415</v>
      </c>
      <c r="D297" s="144" t="s">
        <v>251</v>
      </c>
      <c r="E297" s="94"/>
      <c r="F297" s="80">
        <v>75</v>
      </c>
      <c r="G297" s="80"/>
      <c r="H297" s="80"/>
      <c r="I297" s="80">
        <v>39</v>
      </c>
      <c r="J297" s="94"/>
      <c r="K297" s="28"/>
      <c r="L297" s="28"/>
    </row>
    <row r="298" spans="1:12" ht="16.5" hidden="1" thickBot="1" x14ac:dyDescent="0.3">
      <c r="A298" s="1546"/>
      <c r="B298" s="1549"/>
      <c r="C298" s="1117"/>
      <c r="D298" s="28" t="s">
        <v>257</v>
      </c>
      <c r="E298" s="94"/>
      <c r="F298" s="80">
        <v>40</v>
      </c>
      <c r="G298" s="80"/>
      <c r="H298" s="80"/>
      <c r="I298" s="80">
        <v>30</v>
      </c>
      <c r="J298" s="94"/>
      <c r="K298" s="28"/>
      <c r="L298" s="28"/>
    </row>
    <row r="299" spans="1:12" ht="16.5" hidden="1" thickBot="1" x14ac:dyDescent="0.3">
      <c r="A299" s="1546"/>
      <c r="B299" s="1549"/>
      <c r="C299" s="1117"/>
      <c r="D299" s="28" t="s">
        <v>263</v>
      </c>
      <c r="E299" s="94"/>
      <c r="F299" s="80">
        <v>35</v>
      </c>
      <c r="G299" s="80"/>
      <c r="H299" s="80"/>
      <c r="I299" s="80">
        <v>12</v>
      </c>
      <c r="J299" s="94"/>
      <c r="K299" s="28"/>
      <c r="L299" s="28"/>
    </row>
    <row r="300" spans="1:12" ht="16.5" hidden="1" thickBot="1" x14ac:dyDescent="0.3">
      <c r="A300" s="1546"/>
      <c r="B300" s="1549"/>
      <c r="C300" s="1117"/>
      <c r="D300" s="28" t="s">
        <v>357</v>
      </c>
      <c r="E300" s="94"/>
      <c r="F300" s="98">
        <f>(F299/F297)*100</f>
        <v>46.666666666666664</v>
      </c>
      <c r="G300" s="94"/>
      <c r="H300" s="94"/>
      <c r="I300" s="97">
        <f>I299/I297*100</f>
        <v>30.76923076923077</v>
      </c>
      <c r="J300" s="94"/>
      <c r="K300" s="28"/>
      <c r="L300" s="28"/>
    </row>
    <row r="301" spans="1:12" ht="14.85" hidden="1" customHeight="1" x14ac:dyDescent="0.25">
      <c r="A301" s="1546"/>
      <c r="B301" s="1549"/>
      <c r="C301" s="1117" t="s">
        <v>416</v>
      </c>
      <c r="D301" s="144" t="s">
        <v>251</v>
      </c>
      <c r="E301" s="94"/>
      <c r="F301" s="80">
        <v>30</v>
      </c>
      <c r="G301" s="80"/>
      <c r="H301" s="80"/>
      <c r="I301" s="80">
        <v>24</v>
      </c>
      <c r="J301" s="94"/>
      <c r="K301" s="28"/>
      <c r="L301" s="28"/>
    </row>
    <row r="302" spans="1:12" ht="16.5" hidden="1" thickBot="1" x14ac:dyDescent="0.3">
      <c r="A302" s="1546"/>
      <c r="B302" s="1549"/>
      <c r="C302" s="1117"/>
      <c r="D302" s="28" t="s">
        <v>257</v>
      </c>
      <c r="E302" s="94"/>
      <c r="F302" s="80">
        <v>0</v>
      </c>
      <c r="G302" s="80"/>
      <c r="H302" s="80"/>
      <c r="I302" s="80">
        <v>24</v>
      </c>
      <c r="J302" s="94"/>
      <c r="K302" s="28"/>
      <c r="L302" s="28"/>
    </row>
    <row r="303" spans="1:12" ht="16.5" hidden="1" thickBot="1" x14ac:dyDescent="0.3">
      <c r="A303" s="1546"/>
      <c r="B303" s="1549"/>
      <c r="C303" s="1117"/>
      <c r="D303" s="28" t="s">
        <v>263</v>
      </c>
      <c r="E303" s="94"/>
      <c r="F303" s="80">
        <v>30</v>
      </c>
      <c r="G303" s="80"/>
      <c r="H303" s="80"/>
      <c r="I303" s="80">
        <v>3</v>
      </c>
      <c r="J303" s="94"/>
      <c r="K303" s="28"/>
      <c r="L303" s="28"/>
    </row>
    <row r="304" spans="1:12" ht="16.5" hidden="1" thickBot="1" x14ac:dyDescent="0.3">
      <c r="A304" s="1546"/>
      <c r="B304" s="1549"/>
      <c r="C304" s="1117"/>
      <c r="D304" s="28" t="s">
        <v>357</v>
      </c>
      <c r="E304" s="94"/>
      <c r="F304" s="99">
        <f>(F303/F301)*100</f>
        <v>100</v>
      </c>
      <c r="G304" s="94"/>
      <c r="H304" s="94"/>
      <c r="I304" s="97">
        <f>I303/I301*100</f>
        <v>12.5</v>
      </c>
      <c r="J304" s="94"/>
      <c r="K304" s="28"/>
      <c r="L304" s="28"/>
    </row>
    <row r="305" spans="1:12" ht="14.85" hidden="1" customHeight="1" x14ac:dyDescent="0.25">
      <c r="A305" s="1546"/>
      <c r="B305" s="1549"/>
      <c r="C305" s="1117" t="s">
        <v>417</v>
      </c>
      <c r="D305" s="144" t="s">
        <v>251</v>
      </c>
      <c r="E305" s="94"/>
      <c r="F305" s="80">
        <v>85</v>
      </c>
      <c r="G305" s="80"/>
      <c r="H305" s="80"/>
      <c r="I305" s="80">
        <v>180</v>
      </c>
      <c r="J305" s="94"/>
      <c r="K305" s="28"/>
      <c r="L305" s="28"/>
    </row>
    <row r="306" spans="1:12" ht="16.5" hidden="1" thickBot="1" x14ac:dyDescent="0.3">
      <c r="A306" s="1546"/>
      <c r="B306" s="1549"/>
      <c r="C306" s="1117"/>
      <c r="D306" s="28" t="s">
        <v>257</v>
      </c>
      <c r="E306" s="94"/>
      <c r="F306" s="80">
        <v>50</v>
      </c>
      <c r="G306" s="80"/>
      <c r="H306" s="80"/>
      <c r="I306" s="80">
        <v>102</v>
      </c>
      <c r="J306" s="94"/>
      <c r="K306" s="28"/>
      <c r="L306" s="28"/>
    </row>
    <row r="307" spans="1:12" ht="16.5" hidden="1" thickBot="1" x14ac:dyDescent="0.3">
      <c r="A307" s="1546"/>
      <c r="B307" s="1549"/>
      <c r="C307" s="1117"/>
      <c r="D307" s="28" t="s">
        <v>263</v>
      </c>
      <c r="E307" s="94"/>
      <c r="F307" s="80">
        <v>35</v>
      </c>
      <c r="G307" s="80"/>
      <c r="H307" s="80"/>
      <c r="I307" s="80">
        <v>78</v>
      </c>
      <c r="J307" s="94"/>
      <c r="K307" s="28"/>
      <c r="L307" s="28"/>
    </row>
    <row r="308" spans="1:12" ht="16.5" hidden="1" thickBot="1" x14ac:dyDescent="0.3">
      <c r="A308" s="1546"/>
      <c r="B308" s="1549"/>
      <c r="C308" s="1117"/>
      <c r="D308" s="28" t="s">
        <v>357</v>
      </c>
      <c r="E308" s="94"/>
      <c r="F308" s="98">
        <f>(F307/F305)*100</f>
        <v>41.17647058823529</v>
      </c>
      <c r="G308" s="94"/>
      <c r="H308" s="94"/>
      <c r="I308" s="98">
        <f>I307/I305*100</f>
        <v>43.333333333333336</v>
      </c>
      <c r="J308" s="94"/>
      <c r="K308" s="28"/>
      <c r="L308" s="28"/>
    </row>
    <row r="309" spans="1:12" ht="14.85" hidden="1" customHeight="1" x14ac:dyDescent="0.25">
      <c r="A309" s="1546"/>
      <c r="B309" s="1549"/>
      <c r="C309" s="1117" t="s">
        <v>418</v>
      </c>
      <c r="D309" s="144" t="s">
        <v>251</v>
      </c>
      <c r="E309" s="94"/>
      <c r="F309" s="80">
        <v>220</v>
      </c>
      <c r="G309" s="80"/>
      <c r="H309" s="80"/>
      <c r="I309" s="80">
        <v>222</v>
      </c>
      <c r="J309" s="94"/>
      <c r="K309" s="28"/>
      <c r="L309" s="28"/>
    </row>
    <row r="310" spans="1:12" ht="16.5" hidden="1" thickBot="1" x14ac:dyDescent="0.3">
      <c r="A310" s="1546"/>
      <c r="B310" s="1549"/>
      <c r="C310" s="1117"/>
      <c r="D310" s="28" t="s">
        <v>263</v>
      </c>
      <c r="E310" s="94"/>
      <c r="F310" s="80">
        <v>190</v>
      </c>
      <c r="G310" s="80"/>
      <c r="H310" s="80"/>
      <c r="I310" s="80">
        <v>180</v>
      </c>
      <c r="J310" s="94"/>
      <c r="K310" s="28"/>
      <c r="L310" s="28"/>
    </row>
    <row r="311" spans="1:12" ht="14.85" hidden="1" customHeight="1" x14ac:dyDescent="0.25">
      <c r="A311" s="1546"/>
      <c r="B311" s="1549"/>
      <c r="C311" s="1117"/>
      <c r="D311" s="28" t="s">
        <v>257</v>
      </c>
      <c r="E311" s="94"/>
      <c r="F311" s="80">
        <v>25</v>
      </c>
      <c r="G311" s="80"/>
      <c r="H311" s="80"/>
      <c r="I311" s="80">
        <v>42</v>
      </c>
      <c r="J311" s="94"/>
      <c r="K311" s="28"/>
      <c r="L311" s="28"/>
    </row>
    <row r="312" spans="1:12" ht="16.5" hidden="1" thickBot="1" x14ac:dyDescent="0.3">
      <c r="A312" s="1546"/>
      <c r="B312" s="1549"/>
      <c r="C312" s="1274"/>
      <c r="D312" s="110" t="s">
        <v>357</v>
      </c>
      <c r="E312" s="126"/>
      <c r="F312" s="469">
        <f>(F311/F309)*100</f>
        <v>11.363636363636363</v>
      </c>
      <c r="G312" s="126"/>
      <c r="H312" s="126"/>
      <c r="I312" s="469">
        <f>I311/I309*100</f>
        <v>18.918918918918919</v>
      </c>
      <c r="J312" s="126"/>
      <c r="K312" s="110"/>
      <c r="L312" s="110"/>
    </row>
    <row r="313" spans="1:12" x14ac:dyDescent="0.25">
      <c r="A313" s="1546"/>
      <c r="B313" s="1549"/>
      <c r="C313" s="1251" t="s">
        <v>419</v>
      </c>
      <c r="D313" s="1206"/>
      <c r="E313" s="612"/>
      <c r="F313" s="470">
        <f>25/61*100</f>
        <v>40.983606557377051</v>
      </c>
      <c r="G313" s="612"/>
      <c r="H313" s="612"/>
      <c r="I313" s="471">
        <f>26/61*100</f>
        <v>42.622950819672127</v>
      </c>
      <c r="J313" s="249"/>
      <c r="K313" s="36"/>
      <c r="L313" s="20"/>
    </row>
    <row r="314" spans="1:12" x14ac:dyDescent="0.25">
      <c r="A314" s="1546"/>
      <c r="B314" s="1549"/>
      <c r="C314" s="1109" t="s">
        <v>420</v>
      </c>
      <c r="D314" s="1110"/>
      <c r="E314" s="92"/>
      <c r="F314" s="102">
        <f>18/61*100</f>
        <v>29.508196721311474</v>
      </c>
      <c r="G314" s="92"/>
      <c r="H314" s="92"/>
      <c r="I314" s="102">
        <f>15/61*100</f>
        <v>24.590163934426229</v>
      </c>
      <c r="J314" s="94"/>
      <c r="K314" s="28"/>
      <c r="L314" s="21"/>
    </row>
    <row r="315" spans="1:12" ht="16.5" thickBot="1" x14ac:dyDescent="0.3">
      <c r="A315" s="1547"/>
      <c r="B315" s="1550"/>
      <c r="C315" s="1156" t="s">
        <v>421</v>
      </c>
      <c r="D315" s="1157"/>
      <c r="E315" s="128"/>
      <c r="F315" s="127">
        <f>18/61*100</f>
        <v>29.508196721311474</v>
      </c>
      <c r="G315" s="128"/>
      <c r="H315" s="128"/>
      <c r="I315" s="127">
        <f>20/61*100</f>
        <v>32.786885245901637</v>
      </c>
      <c r="J315" s="126"/>
      <c r="K315" s="110"/>
      <c r="L315" s="53"/>
    </row>
    <row r="316" spans="1:12" ht="16.5" thickBot="1" x14ac:dyDescent="0.3">
      <c r="A316" s="739" t="s">
        <v>248</v>
      </c>
      <c r="B316" s="472" t="s">
        <v>249</v>
      </c>
      <c r="C316" s="1542"/>
      <c r="D316" s="1542"/>
      <c r="E316" s="625">
        <v>2005</v>
      </c>
      <c r="F316" s="625">
        <v>2010</v>
      </c>
      <c r="G316" s="625">
        <v>2015</v>
      </c>
      <c r="H316" s="625">
        <v>2020</v>
      </c>
      <c r="I316" s="625">
        <v>2021</v>
      </c>
      <c r="J316" s="625">
        <v>2022</v>
      </c>
      <c r="K316" s="625">
        <v>2023</v>
      </c>
      <c r="L316" s="284">
        <v>2024</v>
      </c>
    </row>
    <row r="317" spans="1:12" s="64" customFormat="1" ht="15" customHeight="1" x14ac:dyDescent="0.25">
      <c r="A317" s="1562" t="s">
        <v>422</v>
      </c>
      <c r="B317" s="1492" t="s">
        <v>164</v>
      </c>
      <c r="C317" s="1465" t="s">
        <v>424</v>
      </c>
      <c r="D317" s="1520"/>
      <c r="E317" s="40"/>
      <c r="F317" s="37">
        <v>1148.17</v>
      </c>
      <c r="G317" s="37">
        <v>1292.5999999999999</v>
      </c>
      <c r="H317" s="37">
        <v>1438</v>
      </c>
      <c r="I317" s="37">
        <v>1473</v>
      </c>
      <c r="J317" s="37">
        <v>1497</v>
      </c>
      <c r="K317" s="37">
        <v>1673</v>
      </c>
      <c r="L317" s="209">
        <v>1684</v>
      </c>
    </row>
    <row r="318" spans="1:12" x14ac:dyDescent="0.25">
      <c r="A318" s="1413"/>
      <c r="B318" s="1492"/>
      <c r="C318" s="1330" t="s">
        <v>425</v>
      </c>
      <c r="D318" s="1331"/>
      <c r="E318" s="28"/>
      <c r="F318" s="29">
        <v>1505.75</v>
      </c>
      <c r="G318" s="29">
        <v>1665.8</v>
      </c>
      <c r="H318" s="29">
        <v>1772</v>
      </c>
      <c r="I318" s="29">
        <v>1815</v>
      </c>
      <c r="J318" s="29">
        <v>1838</v>
      </c>
      <c r="K318" s="29">
        <v>2030</v>
      </c>
      <c r="L318" s="30">
        <v>2030</v>
      </c>
    </row>
    <row r="319" spans="1:12" x14ac:dyDescent="0.25">
      <c r="A319" s="1413"/>
      <c r="B319" s="1492"/>
      <c r="C319" s="1330" t="s">
        <v>426</v>
      </c>
      <c r="D319" s="1331"/>
      <c r="E319" s="28"/>
      <c r="F319" s="29">
        <v>914.79</v>
      </c>
      <c r="G319" s="29">
        <v>1043.6099999999999</v>
      </c>
      <c r="H319" s="29">
        <v>1217</v>
      </c>
      <c r="I319" s="29">
        <v>1254</v>
      </c>
      <c r="J319" s="29">
        <v>1281</v>
      </c>
      <c r="K319" s="29">
        <v>1444</v>
      </c>
      <c r="L319" s="30">
        <v>1459</v>
      </c>
    </row>
    <row r="320" spans="1:12" x14ac:dyDescent="0.25">
      <c r="A320" s="1413"/>
      <c r="B320" s="1492"/>
      <c r="C320" s="1332" t="s">
        <v>427</v>
      </c>
      <c r="D320" s="1333"/>
      <c r="E320" s="28"/>
      <c r="F320" s="31">
        <f t="shared" ref="F320:L320" si="17">+F319-F318</f>
        <v>-590.96</v>
      </c>
      <c r="G320" s="31">
        <f t="shared" si="17"/>
        <v>-622.19000000000005</v>
      </c>
      <c r="H320" s="31">
        <f t="shared" si="17"/>
        <v>-555</v>
      </c>
      <c r="I320" s="31">
        <f t="shared" si="17"/>
        <v>-561</v>
      </c>
      <c r="J320" s="31">
        <f t="shared" si="17"/>
        <v>-557</v>
      </c>
      <c r="K320" s="31">
        <f t="shared" si="17"/>
        <v>-586</v>
      </c>
      <c r="L320" s="32">
        <f t="shared" si="17"/>
        <v>-571</v>
      </c>
    </row>
    <row r="321" spans="1:12" ht="16.5" thickBot="1" x14ac:dyDescent="0.3">
      <c r="A321" s="1413"/>
      <c r="B321" s="1563"/>
      <c r="C321" s="1564" t="s">
        <v>428</v>
      </c>
      <c r="D321" s="1565"/>
      <c r="E321" s="110"/>
      <c r="F321" s="423">
        <f t="shared" ref="F321:L321" si="18">(F319-F318)/F318*100</f>
        <v>-39.246886933421891</v>
      </c>
      <c r="G321" s="423">
        <f t="shared" si="18"/>
        <v>-37.350822427662386</v>
      </c>
      <c r="H321" s="423">
        <f t="shared" si="18"/>
        <v>-31.32054176072235</v>
      </c>
      <c r="I321" s="423">
        <f t="shared" si="18"/>
        <v>-30.909090909090907</v>
      </c>
      <c r="J321" s="423">
        <f t="shared" si="18"/>
        <v>-30.304678998911861</v>
      </c>
      <c r="K321" s="423">
        <f t="shared" si="18"/>
        <v>-28.866995073891626</v>
      </c>
      <c r="L321" s="212">
        <f t="shared" si="18"/>
        <v>-28.128078817733993</v>
      </c>
    </row>
    <row r="322" spans="1:12" s="64" customFormat="1" ht="15" customHeight="1" x14ac:dyDescent="0.25">
      <c r="A322" s="1413"/>
      <c r="B322" s="1143" t="s">
        <v>429</v>
      </c>
      <c r="C322" s="1306" t="s">
        <v>430</v>
      </c>
      <c r="D322" s="1147"/>
      <c r="E322" s="40"/>
      <c r="F322" s="40"/>
      <c r="G322" s="37">
        <v>42.570422535211264</v>
      </c>
      <c r="H322" s="37">
        <v>41.701101928374655</v>
      </c>
      <c r="I322" s="37">
        <v>43.036412260851677</v>
      </c>
      <c r="J322" s="37">
        <v>51.448087431693992</v>
      </c>
      <c r="K322" s="37">
        <v>50.460205739036276</v>
      </c>
      <c r="L322" s="334">
        <v>52.3</v>
      </c>
    </row>
    <row r="323" spans="1:12" x14ac:dyDescent="0.25">
      <c r="A323" s="1413"/>
      <c r="B323" s="1144"/>
      <c r="C323" s="1123" t="s">
        <v>431</v>
      </c>
      <c r="D323" s="1124"/>
      <c r="E323" s="28"/>
      <c r="F323" s="28"/>
      <c r="G323" s="29">
        <v>44.161020326823433</v>
      </c>
      <c r="H323" s="29">
        <v>42.908082408874805</v>
      </c>
      <c r="I323" s="29">
        <v>42.926829268292686</v>
      </c>
      <c r="J323" s="29">
        <v>52.713178294573652</v>
      </c>
      <c r="K323" s="29">
        <v>52.594033722438397</v>
      </c>
      <c r="L323" s="39">
        <v>53.9</v>
      </c>
    </row>
    <row r="324" spans="1:12" x14ac:dyDescent="0.25">
      <c r="A324" s="1413"/>
      <c r="B324" s="1144"/>
      <c r="C324" s="1123" t="s">
        <v>432</v>
      </c>
      <c r="D324" s="1124"/>
      <c r="E324" s="28"/>
      <c r="F324" s="28"/>
      <c r="G324" s="29">
        <v>41.3118889940082</v>
      </c>
      <c r="H324" s="29">
        <v>40.77344701583435</v>
      </c>
      <c r="I324" s="29">
        <v>43.116328708644609</v>
      </c>
      <c r="J324" s="29">
        <v>50.520833333333336</v>
      </c>
      <c r="K324" s="29">
        <v>48.931226765799259</v>
      </c>
      <c r="L324" s="39">
        <v>51.2</v>
      </c>
    </row>
    <row r="325" spans="1:12" ht="16.5" thickBot="1" x14ac:dyDescent="0.3">
      <c r="A325" s="1413"/>
      <c r="B325" s="1264"/>
      <c r="C325" s="1277" t="s">
        <v>354</v>
      </c>
      <c r="D325" s="1142"/>
      <c r="E325" s="110"/>
      <c r="F325" s="110"/>
      <c r="G325" s="423">
        <f t="shared" ref="G325:L325" si="19">+G324-G323</f>
        <v>-2.849131332815233</v>
      </c>
      <c r="H325" s="423">
        <f t="shared" si="19"/>
        <v>-2.1346353930404547</v>
      </c>
      <c r="I325" s="435">
        <f t="shared" si="19"/>
        <v>0.18949944035192345</v>
      </c>
      <c r="J325" s="423">
        <f t="shared" si="19"/>
        <v>-2.1923449612403161</v>
      </c>
      <c r="K325" s="423">
        <f t="shared" si="19"/>
        <v>-3.6628069566391375</v>
      </c>
      <c r="L325" s="212">
        <f t="shared" si="19"/>
        <v>-2.6999999999999957</v>
      </c>
    </row>
    <row r="326" spans="1:12" x14ac:dyDescent="0.25">
      <c r="A326" s="1413"/>
      <c r="B326" s="1543" t="s">
        <v>545</v>
      </c>
      <c r="C326" s="1265" t="s">
        <v>434</v>
      </c>
      <c r="D326" s="146" t="s">
        <v>435</v>
      </c>
      <c r="E326" s="40"/>
      <c r="F326" s="40"/>
      <c r="G326" s="40"/>
      <c r="H326" s="40"/>
      <c r="I326" s="40">
        <v>60</v>
      </c>
      <c r="J326" s="40">
        <v>36</v>
      </c>
      <c r="K326" s="40">
        <v>19</v>
      </c>
      <c r="L326" s="1060">
        <v>11</v>
      </c>
    </row>
    <row r="327" spans="1:12" x14ac:dyDescent="0.25">
      <c r="A327" s="1413"/>
      <c r="B327" s="1544"/>
      <c r="C327" s="1360"/>
      <c r="D327" s="147" t="s">
        <v>436</v>
      </c>
      <c r="E327" s="28"/>
      <c r="F327" s="28"/>
      <c r="G327" s="28"/>
      <c r="H327" s="28"/>
      <c r="I327" s="28">
        <v>30</v>
      </c>
      <c r="J327" s="28">
        <v>9</v>
      </c>
      <c r="K327" s="28">
        <v>9</v>
      </c>
      <c r="L327" s="1060">
        <v>4</v>
      </c>
    </row>
    <row r="328" spans="1:12" x14ac:dyDescent="0.25">
      <c r="A328" s="1413"/>
      <c r="B328" s="1544"/>
      <c r="C328" s="1360"/>
      <c r="D328" s="28" t="s">
        <v>437</v>
      </c>
      <c r="E328" s="28"/>
      <c r="F328" s="28"/>
      <c r="G328" s="28"/>
      <c r="H328" s="28"/>
      <c r="I328" s="28">
        <v>30</v>
      </c>
      <c r="J328" s="28">
        <v>27</v>
      </c>
      <c r="K328" s="28">
        <v>10</v>
      </c>
      <c r="L328" s="1060">
        <v>7</v>
      </c>
    </row>
    <row r="329" spans="1:12" x14ac:dyDescent="0.25">
      <c r="A329" s="1413"/>
      <c r="B329" s="1544"/>
      <c r="C329" s="1360"/>
      <c r="D329" s="148" t="s">
        <v>353</v>
      </c>
      <c r="E329" s="28"/>
      <c r="F329" s="28"/>
      <c r="G329" s="28"/>
      <c r="H329" s="28"/>
      <c r="I329" s="157">
        <f>I328-I327</f>
        <v>0</v>
      </c>
      <c r="J329" s="363">
        <f>J328-J327</f>
        <v>18</v>
      </c>
      <c r="K329" s="363">
        <f>K328-K327</f>
        <v>1</v>
      </c>
      <c r="L329" s="363">
        <f>L328-L327</f>
        <v>3</v>
      </c>
    </row>
    <row r="330" spans="1:12" ht="16.5" thickBot="1" x14ac:dyDescent="0.3">
      <c r="A330" s="1413"/>
      <c r="B330" s="1544"/>
      <c r="C330" s="1361"/>
      <c r="D330" s="217" t="s">
        <v>270</v>
      </c>
      <c r="E330" s="33"/>
      <c r="F330" s="33"/>
      <c r="G330" s="33"/>
      <c r="H330" s="33"/>
      <c r="I330" s="161">
        <f>I328/I326*100</f>
        <v>50</v>
      </c>
      <c r="J330" s="366">
        <f>J328/J326*100</f>
        <v>75</v>
      </c>
      <c r="K330" s="366">
        <f>K328/K326*100</f>
        <v>52.631578947368418</v>
      </c>
      <c r="L330" s="366">
        <f>L328/L326*100</f>
        <v>63.636363636363633</v>
      </c>
    </row>
    <row r="331" spans="1:12" x14ac:dyDescent="0.25">
      <c r="A331" s="1413"/>
      <c r="B331" s="1544"/>
      <c r="C331" s="1507" t="s">
        <v>438</v>
      </c>
      <c r="D331" s="214" t="s">
        <v>435</v>
      </c>
      <c r="E331" s="202"/>
      <c r="F331" s="202"/>
      <c r="G331" s="202"/>
      <c r="H331" s="202"/>
      <c r="I331" s="202">
        <v>71</v>
      </c>
      <c r="J331" s="202">
        <v>19</v>
      </c>
      <c r="K331" s="202">
        <v>9</v>
      </c>
      <c r="L331" s="1060">
        <v>11</v>
      </c>
    </row>
    <row r="332" spans="1:12" x14ac:dyDescent="0.25">
      <c r="A332" s="1413"/>
      <c r="B332" s="1544"/>
      <c r="C332" s="1360"/>
      <c r="D332" s="147" t="s">
        <v>436</v>
      </c>
      <c r="E332" s="28"/>
      <c r="F332" s="28"/>
      <c r="G332" s="28"/>
      <c r="H332" s="28"/>
      <c r="I332" s="28">
        <v>42</v>
      </c>
      <c r="J332" s="28">
        <v>11</v>
      </c>
      <c r="K332" s="28">
        <v>6</v>
      </c>
      <c r="L332" s="1060">
        <v>5</v>
      </c>
    </row>
    <row r="333" spans="1:12" x14ac:dyDescent="0.25">
      <c r="A333" s="1413"/>
      <c r="B333" s="1544"/>
      <c r="C333" s="1360"/>
      <c r="D333" s="28" t="s">
        <v>437</v>
      </c>
      <c r="E333" s="28"/>
      <c r="F333" s="28"/>
      <c r="G333" s="28"/>
      <c r="H333" s="28"/>
      <c r="I333" s="28">
        <v>29</v>
      </c>
      <c r="J333" s="28">
        <v>8</v>
      </c>
      <c r="K333" s="28">
        <v>3</v>
      </c>
      <c r="L333" s="1060">
        <v>6</v>
      </c>
    </row>
    <row r="334" spans="1:12" x14ac:dyDescent="0.25">
      <c r="A334" s="1413"/>
      <c r="B334" s="1544"/>
      <c r="C334" s="1360"/>
      <c r="D334" s="148" t="s">
        <v>353</v>
      </c>
      <c r="E334" s="28"/>
      <c r="F334" s="28"/>
      <c r="G334" s="28"/>
      <c r="H334" s="28"/>
      <c r="I334" s="96">
        <f>I333-I332</f>
        <v>-13</v>
      </c>
      <c r="J334" s="96">
        <f>J333-J332</f>
        <v>-3</v>
      </c>
      <c r="K334" s="96">
        <f>K333-K332</f>
        <v>-3</v>
      </c>
      <c r="L334" s="96">
        <f>L333-L332</f>
        <v>1</v>
      </c>
    </row>
    <row r="335" spans="1:12" ht="16.5" thickBot="1" x14ac:dyDescent="0.3">
      <c r="A335" s="1413"/>
      <c r="B335" s="1544"/>
      <c r="C335" s="1419"/>
      <c r="D335" s="150" t="s">
        <v>270</v>
      </c>
      <c r="E335" s="110"/>
      <c r="F335" s="110"/>
      <c r="G335" s="110"/>
      <c r="H335" s="110"/>
      <c r="I335" s="474">
        <f>I333/I331*100</f>
        <v>40.845070422535215</v>
      </c>
      <c r="J335" s="474">
        <f>J333/J331*100</f>
        <v>42.105263157894733</v>
      </c>
      <c r="K335" s="474">
        <f>K333/K331*100</f>
        <v>33.333333333333329</v>
      </c>
      <c r="L335" s="474">
        <f>L333/L331*100</f>
        <v>54.54545454545454</v>
      </c>
    </row>
    <row r="336" spans="1:12" ht="15" customHeight="1" x14ac:dyDescent="0.25">
      <c r="A336" s="1413"/>
      <c r="B336" s="1143" t="s">
        <v>180</v>
      </c>
      <c r="C336" s="1306" t="s">
        <v>435</v>
      </c>
      <c r="D336" s="1147"/>
      <c r="E336" s="40"/>
      <c r="F336" s="40"/>
      <c r="G336" s="40"/>
      <c r="H336" s="195">
        <v>10966</v>
      </c>
      <c r="I336" s="195">
        <v>10655</v>
      </c>
      <c r="J336" s="195">
        <v>10837</v>
      </c>
      <c r="K336" s="195">
        <v>11457</v>
      </c>
      <c r="L336" s="20"/>
    </row>
    <row r="337" spans="1:14" x14ac:dyDescent="0.25">
      <c r="A337" s="1413"/>
      <c r="B337" s="1144"/>
      <c r="C337" s="1123" t="s">
        <v>436</v>
      </c>
      <c r="D337" s="1124"/>
      <c r="E337" s="28"/>
      <c r="F337" s="28"/>
      <c r="G337" s="28"/>
      <c r="H337" s="96">
        <v>3505</v>
      </c>
      <c r="I337" s="96">
        <v>3438</v>
      </c>
      <c r="J337" s="96">
        <v>3458</v>
      </c>
      <c r="K337" s="96">
        <v>3769</v>
      </c>
      <c r="L337" s="21"/>
    </row>
    <row r="338" spans="1:14" x14ac:dyDescent="0.25">
      <c r="A338" s="1413"/>
      <c r="B338" s="1144"/>
      <c r="C338" s="1123" t="s">
        <v>437</v>
      </c>
      <c r="D338" s="1124"/>
      <c r="E338" s="28"/>
      <c r="F338" s="28"/>
      <c r="G338" s="28"/>
      <c r="H338" s="96">
        <v>7461</v>
      </c>
      <c r="I338" s="96">
        <v>7217</v>
      </c>
      <c r="J338" s="96">
        <v>7379</v>
      </c>
      <c r="K338" s="96">
        <v>7688</v>
      </c>
      <c r="L338" s="21"/>
    </row>
    <row r="339" spans="1:14" x14ac:dyDescent="0.25">
      <c r="A339" s="1413"/>
      <c r="B339" s="1144"/>
      <c r="C339" s="1111" t="s">
        <v>353</v>
      </c>
      <c r="D339" s="1112"/>
      <c r="E339" s="28"/>
      <c r="F339" s="28"/>
      <c r="G339" s="28"/>
      <c r="H339" s="157">
        <f>H338-H337</f>
        <v>3956</v>
      </c>
      <c r="I339" s="157">
        <f>I338-I337</f>
        <v>3779</v>
      </c>
      <c r="J339" s="157">
        <f>J338-J337</f>
        <v>3921</v>
      </c>
      <c r="K339" s="157">
        <f>K338-K337</f>
        <v>3919</v>
      </c>
      <c r="L339" s="21"/>
    </row>
    <row r="340" spans="1:14" ht="16.5" thickBot="1" x14ac:dyDescent="0.3">
      <c r="A340" s="1413"/>
      <c r="B340" s="1145"/>
      <c r="C340" s="1353" t="s">
        <v>270</v>
      </c>
      <c r="D340" s="1178"/>
      <c r="E340" s="110"/>
      <c r="F340" s="110"/>
      <c r="G340" s="110"/>
      <c r="H340" s="378">
        <f>H338/H336*100</f>
        <v>68.037570672989247</v>
      </c>
      <c r="I340" s="378">
        <f>I338/I336*100</f>
        <v>67.733458470201782</v>
      </c>
      <c r="J340" s="378">
        <f>J338/J336*100</f>
        <v>68.090800036910579</v>
      </c>
      <c r="K340" s="378">
        <f>K338/K336*100</f>
        <v>67.103081085799076</v>
      </c>
      <c r="L340" s="53"/>
    </row>
    <row r="341" spans="1:14" ht="16.5" thickBot="1" x14ac:dyDescent="0.3">
      <c r="A341" s="151" t="s">
        <v>248</v>
      </c>
      <c r="B341" s="694" t="s">
        <v>249</v>
      </c>
      <c r="C341" s="1536"/>
      <c r="D341" s="1536"/>
      <c r="E341" s="120">
        <v>2005</v>
      </c>
      <c r="F341" s="120">
        <v>2010</v>
      </c>
      <c r="G341" s="120">
        <v>2015</v>
      </c>
      <c r="H341" s="120">
        <v>2020</v>
      </c>
      <c r="I341" s="120">
        <v>2021</v>
      </c>
      <c r="J341" s="120">
        <v>2022</v>
      </c>
      <c r="K341" s="120">
        <v>2023</v>
      </c>
      <c r="L341" s="121">
        <v>2024</v>
      </c>
    </row>
    <row r="342" spans="1:14" x14ac:dyDescent="0.25">
      <c r="A342" s="1385" t="s">
        <v>439</v>
      </c>
      <c r="B342" s="1567" t="s">
        <v>440</v>
      </c>
      <c r="C342" s="1240" t="s">
        <v>251</v>
      </c>
      <c r="D342" s="1241"/>
      <c r="E342" s="123">
        <v>83.1</v>
      </c>
      <c r="F342" s="124">
        <v>84.2</v>
      </c>
      <c r="G342" s="124">
        <v>84.7</v>
      </c>
      <c r="H342" s="124">
        <v>83</v>
      </c>
      <c r="I342" s="124">
        <v>85.8</v>
      </c>
      <c r="J342" s="701">
        <v>85.987566998257009</v>
      </c>
      <c r="K342" s="202">
        <v>86.4</v>
      </c>
      <c r="L342" s="125"/>
      <c r="M342" s="326"/>
      <c r="N342" s="326"/>
    </row>
    <row r="343" spans="1:14" x14ac:dyDescent="0.25">
      <c r="A343" s="1385"/>
      <c r="B343" s="1238"/>
      <c r="C343" s="1235" t="s">
        <v>257</v>
      </c>
      <c r="D343" s="1236"/>
      <c r="E343" s="57">
        <v>79.7</v>
      </c>
      <c r="F343" s="58">
        <v>80.599999999999994</v>
      </c>
      <c r="G343" s="58">
        <v>81.8</v>
      </c>
      <c r="H343" s="58">
        <v>80.3</v>
      </c>
      <c r="I343" s="58">
        <v>83.1</v>
      </c>
      <c r="J343" s="59">
        <v>82.616193053729589</v>
      </c>
      <c r="K343" s="28">
        <v>83.8</v>
      </c>
      <c r="L343" s="21"/>
    </row>
    <row r="344" spans="1:14" x14ac:dyDescent="0.25">
      <c r="A344" s="1385"/>
      <c r="B344" s="1238"/>
      <c r="C344" s="1235" t="s">
        <v>263</v>
      </c>
      <c r="D344" s="1236"/>
      <c r="E344" s="57">
        <v>85.8</v>
      </c>
      <c r="F344" s="58">
        <v>87.1</v>
      </c>
      <c r="G344" s="58">
        <v>87</v>
      </c>
      <c r="H344" s="58">
        <v>85.1</v>
      </c>
      <c r="I344" s="58">
        <v>87.9</v>
      </c>
      <c r="J344" s="59">
        <v>88.693536071726882</v>
      </c>
      <c r="K344" s="28">
        <v>88.4</v>
      </c>
      <c r="L344" s="21"/>
    </row>
    <row r="345" spans="1:14" ht="16.5" thickBot="1" x14ac:dyDescent="0.3">
      <c r="A345" s="1385"/>
      <c r="B345" s="1568"/>
      <c r="C345" s="1557" t="s">
        <v>441</v>
      </c>
      <c r="D345" s="1558"/>
      <c r="E345" s="476">
        <f t="shared" ref="E345:K345" si="20">+E344-E343</f>
        <v>6.0999999999999943</v>
      </c>
      <c r="F345" s="476">
        <f t="shared" si="20"/>
        <v>6.5</v>
      </c>
      <c r="G345" s="476">
        <f t="shared" si="20"/>
        <v>5.2000000000000028</v>
      </c>
      <c r="H345" s="476">
        <f t="shared" si="20"/>
        <v>4.7999999999999972</v>
      </c>
      <c r="I345" s="476">
        <f t="shared" si="20"/>
        <v>4.8000000000000114</v>
      </c>
      <c r="J345" s="477">
        <f t="shared" si="20"/>
        <v>6.0773430179972934</v>
      </c>
      <c r="K345" s="477">
        <f t="shared" si="20"/>
        <v>4.6000000000000085</v>
      </c>
      <c r="L345" s="53"/>
    </row>
    <row r="346" spans="1:14" x14ac:dyDescent="0.25">
      <c r="A346" s="1385"/>
      <c r="B346" s="1237" t="s">
        <v>192</v>
      </c>
      <c r="C346" s="1249" t="s">
        <v>251</v>
      </c>
      <c r="D346" s="1250"/>
      <c r="E346" s="222"/>
      <c r="F346" s="223"/>
      <c r="G346" s="224">
        <v>5802</v>
      </c>
      <c r="H346" s="224">
        <v>6702</v>
      </c>
      <c r="I346" s="224">
        <v>6768</v>
      </c>
      <c r="J346" s="195">
        <v>6983</v>
      </c>
      <c r="K346" s="225">
        <v>6358</v>
      </c>
      <c r="L346" s="20"/>
    </row>
    <row r="347" spans="1:14" x14ac:dyDescent="0.25">
      <c r="A347" s="1385"/>
      <c r="B347" s="1238"/>
      <c r="C347" s="1235" t="s">
        <v>257</v>
      </c>
      <c r="D347" s="1236"/>
      <c r="E347" s="57"/>
      <c r="F347" s="218"/>
      <c r="G347" s="219">
        <v>2715</v>
      </c>
      <c r="H347" s="219">
        <v>3125</v>
      </c>
      <c r="I347" s="219">
        <v>3156</v>
      </c>
      <c r="J347" s="96">
        <v>3251</v>
      </c>
      <c r="K347" s="96">
        <v>3032</v>
      </c>
      <c r="L347" s="21"/>
    </row>
    <row r="348" spans="1:14" x14ac:dyDescent="0.25">
      <c r="A348" s="1385"/>
      <c r="B348" s="1238"/>
      <c r="C348" s="1235" t="s">
        <v>263</v>
      </c>
      <c r="D348" s="1236"/>
      <c r="E348" s="57"/>
      <c r="F348" s="218"/>
      <c r="G348" s="219">
        <v>3087</v>
      </c>
      <c r="H348" s="219">
        <v>3577</v>
      </c>
      <c r="I348" s="219">
        <v>3612</v>
      </c>
      <c r="J348" s="96">
        <v>3732</v>
      </c>
      <c r="K348" s="96">
        <v>3326</v>
      </c>
      <c r="L348" s="21"/>
    </row>
    <row r="349" spans="1:14" ht="16.5" thickBot="1" x14ac:dyDescent="0.3">
      <c r="A349" s="1385"/>
      <c r="B349" s="1239"/>
      <c r="C349" s="1141" t="s">
        <v>270</v>
      </c>
      <c r="D349" s="1142"/>
      <c r="E349" s="478"/>
      <c r="F349" s="478"/>
      <c r="G349" s="378">
        <f>G348/G346*100</f>
        <v>53.205791106515001</v>
      </c>
      <c r="H349" s="378">
        <f>H348/H346*100</f>
        <v>53.372127723067742</v>
      </c>
      <c r="I349" s="378">
        <f>I348/I346*100</f>
        <v>53.36879432624113</v>
      </c>
      <c r="J349" s="378">
        <f>J348/J346*100</f>
        <v>53.44407847629958</v>
      </c>
      <c r="K349" s="378">
        <f>K348/K346*100</f>
        <v>52.312047813777916</v>
      </c>
      <c r="L349" s="53"/>
    </row>
    <row r="350" spans="1:14" ht="16.5" thickBot="1" x14ac:dyDescent="0.3">
      <c r="A350" s="727" t="s">
        <v>248</v>
      </c>
      <c r="B350" s="577" t="s">
        <v>249</v>
      </c>
      <c r="C350" s="1422"/>
      <c r="D350" s="1422"/>
      <c r="E350" s="616"/>
      <c r="F350" s="616" t="s">
        <v>443</v>
      </c>
      <c r="G350" s="616" t="s">
        <v>444</v>
      </c>
      <c r="H350" s="616" t="s">
        <v>445</v>
      </c>
      <c r="I350" s="616" t="s">
        <v>446</v>
      </c>
      <c r="J350" s="616" t="s">
        <v>447</v>
      </c>
      <c r="K350" s="616" t="s">
        <v>448</v>
      </c>
      <c r="L350" s="616" t="s">
        <v>449</v>
      </c>
    </row>
    <row r="351" spans="1:14" x14ac:dyDescent="0.25">
      <c r="A351" s="1386" t="s">
        <v>450</v>
      </c>
      <c r="B351" s="1244" t="s">
        <v>199</v>
      </c>
      <c r="C351" s="1533" t="s">
        <v>451</v>
      </c>
      <c r="D351" s="229" t="s">
        <v>435</v>
      </c>
      <c r="E351" s="225"/>
      <c r="F351" s="195">
        <v>9362</v>
      </c>
      <c r="G351" s="195">
        <v>9183</v>
      </c>
      <c r="H351" s="195">
        <v>9060</v>
      </c>
      <c r="I351" s="195">
        <v>8670</v>
      </c>
      <c r="J351" s="195">
        <v>8391</v>
      </c>
      <c r="K351" s="195">
        <v>8550</v>
      </c>
      <c r="L351" s="20"/>
    </row>
    <row r="352" spans="1:14" x14ac:dyDescent="0.25">
      <c r="A352" s="1386"/>
      <c r="B352" s="1245"/>
      <c r="C352" s="1344"/>
      <c r="D352" s="227" t="s">
        <v>436</v>
      </c>
      <c r="E352" s="96"/>
      <c r="F352" s="96">
        <v>4843</v>
      </c>
      <c r="G352" s="96">
        <v>4643</v>
      </c>
      <c r="H352" s="96">
        <v>4609</v>
      </c>
      <c r="I352" s="96">
        <v>4373</v>
      </c>
      <c r="J352" s="96">
        <v>4224</v>
      </c>
      <c r="K352" s="96">
        <v>4284</v>
      </c>
      <c r="L352" s="21"/>
    </row>
    <row r="353" spans="1:12" ht="16.5" thickBot="1" x14ac:dyDescent="0.3">
      <c r="A353" s="1386"/>
      <c r="B353" s="1245"/>
      <c r="C353" s="1345"/>
      <c r="D353" s="239" t="s">
        <v>437</v>
      </c>
      <c r="E353" s="190"/>
      <c r="F353" s="190">
        <v>4519</v>
      </c>
      <c r="G353" s="190">
        <v>4540</v>
      </c>
      <c r="H353" s="190">
        <v>4451</v>
      </c>
      <c r="I353" s="190">
        <v>4297</v>
      </c>
      <c r="J353" s="190">
        <v>4167</v>
      </c>
      <c r="K353" s="190">
        <v>4266</v>
      </c>
      <c r="L353" s="22"/>
    </row>
    <row r="354" spans="1:12" ht="15" customHeight="1" x14ac:dyDescent="0.25">
      <c r="A354" s="1386"/>
      <c r="B354" s="1245"/>
      <c r="C354" s="1347" t="s">
        <v>452</v>
      </c>
      <c r="D354" s="229" t="s">
        <v>435</v>
      </c>
      <c r="E354" s="225"/>
      <c r="F354" s="195">
        <v>8709</v>
      </c>
      <c r="G354" s="195">
        <v>8675</v>
      </c>
      <c r="H354" s="195">
        <v>7813</v>
      </c>
      <c r="I354" s="195">
        <v>7833</v>
      </c>
      <c r="J354" s="195">
        <v>7821</v>
      </c>
      <c r="K354" s="195">
        <v>7622</v>
      </c>
      <c r="L354" s="20"/>
    </row>
    <row r="355" spans="1:12" x14ac:dyDescent="0.25">
      <c r="A355" s="1386"/>
      <c r="B355" s="1245"/>
      <c r="C355" s="1348"/>
      <c r="D355" s="227" t="s">
        <v>436</v>
      </c>
      <c r="E355" s="96"/>
      <c r="F355" s="96">
        <v>4401</v>
      </c>
      <c r="G355" s="96">
        <v>4388</v>
      </c>
      <c r="H355" s="96">
        <v>3977</v>
      </c>
      <c r="I355" s="96">
        <v>4040</v>
      </c>
      <c r="J355" s="96">
        <v>3976</v>
      </c>
      <c r="K355" s="157">
        <v>3812</v>
      </c>
      <c r="L355" s="21"/>
    </row>
    <row r="356" spans="1:12" ht="16.5" thickBot="1" x14ac:dyDescent="0.3">
      <c r="A356" s="1386"/>
      <c r="B356" s="1245"/>
      <c r="C356" s="1349"/>
      <c r="D356" s="239" t="s">
        <v>437</v>
      </c>
      <c r="E356" s="190"/>
      <c r="F356" s="190">
        <v>4308</v>
      </c>
      <c r="G356" s="190">
        <v>4287</v>
      </c>
      <c r="H356" s="190">
        <v>3836</v>
      </c>
      <c r="I356" s="190">
        <v>3793</v>
      </c>
      <c r="J356" s="190">
        <v>3845</v>
      </c>
      <c r="K356" s="197">
        <v>3810</v>
      </c>
      <c r="L356" s="22"/>
    </row>
    <row r="357" spans="1:12" ht="14.45" customHeight="1" x14ac:dyDescent="0.25">
      <c r="A357" s="1386"/>
      <c r="B357" s="1569"/>
      <c r="C357" s="1352" t="s">
        <v>453</v>
      </c>
      <c r="D357" s="1250"/>
      <c r="E357" s="195"/>
      <c r="F357" s="260">
        <f>+(F354/F351)*100</f>
        <v>93.024994659260841</v>
      </c>
      <c r="G357" s="260">
        <f t="shared" ref="G357:J357" si="21">+(G354/G351)*100</f>
        <v>94.468038767287382</v>
      </c>
      <c r="H357" s="260">
        <f t="shared" si="21"/>
        <v>86.236203090507729</v>
      </c>
      <c r="I357" s="260">
        <f t="shared" si="21"/>
        <v>90.346020761245668</v>
      </c>
      <c r="J357" s="260">
        <f t="shared" si="21"/>
        <v>93.207007508044342</v>
      </c>
      <c r="K357" s="260">
        <f>+(K354/K351)*100</f>
        <v>89.146198830409361</v>
      </c>
      <c r="L357" s="20"/>
    </row>
    <row r="358" spans="1:12" x14ac:dyDescent="0.25">
      <c r="A358" s="1386"/>
      <c r="B358" s="1569"/>
      <c r="C358" s="1363" t="s">
        <v>454</v>
      </c>
      <c r="D358" s="1236"/>
      <c r="E358" s="28"/>
      <c r="F358" s="187">
        <v>90.873425562667762</v>
      </c>
      <c r="G358" s="187">
        <v>94.507861296575484</v>
      </c>
      <c r="H358" s="187">
        <v>86.287697982208726</v>
      </c>
      <c r="I358" s="187">
        <v>92.385090327006637</v>
      </c>
      <c r="J358" s="187">
        <v>94.128787878787875</v>
      </c>
      <c r="K358" s="187">
        <v>94.128787878787875</v>
      </c>
      <c r="L358" s="21"/>
    </row>
    <row r="359" spans="1:12" x14ac:dyDescent="0.25">
      <c r="A359" s="1386"/>
      <c r="B359" s="1569"/>
      <c r="C359" s="1363" t="s">
        <v>455</v>
      </c>
      <c r="D359" s="1236"/>
      <c r="E359" s="28"/>
      <c r="F359" s="187">
        <v>95.330825403850412</v>
      </c>
      <c r="G359" s="187">
        <v>94.427312775330392</v>
      </c>
      <c r="H359" s="187">
        <v>86.182880251628845</v>
      </c>
      <c r="I359" s="187">
        <v>88.270886665115199</v>
      </c>
      <c r="J359" s="187">
        <v>92.272618190544748</v>
      </c>
      <c r="K359" s="187">
        <v>92.272618190544748</v>
      </c>
      <c r="L359" s="21"/>
    </row>
    <row r="360" spans="1:12" ht="16.5" thickBot="1" x14ac:dyDescent="0.3">
      <c r="A360" s="1386"/>
      <c r="B360" s="1570"/>
      <c r="C360" s="1583" t="s">
        <v>354</v>
      </c>
      <c r="D360" s="1248"/>
      <c r="E360" s="33"/>
      <c r="F360" s="432">
        <f t="shared" ref="F360:J360" si="22">+F359-F358</f>
        <v>4.4573998411826494</v>
      </c>
      <c r="G360" s="231">
        <f t="shared" si="22"/>
        <v>-8.054852124509182E-2</v>
      </c>
      <c r="H360" s="231">
        <f t="shared" si="22"/>
        <v>-0.10481773057988164</v>
      </c>
      <c r="I360" s="231">
        <f t="shared" si="22"/>
        <v>-4.1142036618914375</v>
      </c>
      <c r="J360" s="231">
        <f t="shared" si="22"/>
        <v>-1.8561696882431278</v>
      </c>
      <c r="K360" s="231">
        <f>+K359-K358</f>
        <v>-1.8561696882431278</v>
      </c>
      <c r="L360" s="22"/>
    </row>
    <row r="361" spans="1:12" ht="16.5" thickBot="1" x14ac:dyDescent="0.3">
      <c r="A361" s="727" t="s">
        <v>248</v>
      </c>
      <c r="B361" s="735" t="s">
        <v>249</v>
      </c>
      <c r="C361" s="1588"/>
      <c r="D361" s="1588"/>
      <c r="E361" s="819" t="s">
        <v>442</v>
      </c>
      <c r="F361" s="819" t="s">
        <v>443</v>
      </c>
      <c r="G361" s="819" t="s">
        <v>444</v>
      </c>
      <c r="H361" s="819" t="s">
        <v>445</v>
      </c>
      <c r="I361" s="819" t="s">
        <v>446</v>
      </c>
      <c r="J361" s="819" t="s">
        <v>447</v>
      </c>
      <c r="K361" s="819" t="s">
        <v>448</v>
      </c>
      <c r="L361" s="819" t="s">
        <v>449</v>
      </c>
    </row>
    <row r="362" spans="1:12" ht="15" customHeight="1" x14ac:dyDescent="0.25">
      <c r="A362" s="1429" t="s">
        <v>456</v>
      </c>
      <c r="B362" s="1504" t="s">
        <v>457</v>
      </c>
      <c r="C362" s="1388" t="s">
        <v>458</v>
      </c>
      <c r="D362" s="238" t="s">
        <v>459</v>
      </c>
      <c r="E362" s="220" t="s">
        <v>460</v>
      </c>
      <c r="F362" s="192">
        <v>5955</v>
      </c>
      <c r="G362" s="192">
        <v>5370</v>
      </c>
      <c r="H362" s="192">
        <v>5390</v>
      </c>
      <c r="I362" s="192">
        <v>5192</v>
      </c>
      <c r="J362" s="192">
        <v>5222</v>
      </c>
      <c r="K362" s="968">
        <v>5309</v>
      </c>
      <c r="L362" s="87"/>
    </row>
    <row r="363" spans="1:12" ht="14.1" customHeight="1" x14ac:dyDescent="0.25">
      <c r="A363" s="1429"/>
      <c r="B363" s="1504"/>
      <c r="C363" s="1348"/>
      <c r="D363" s="227" t="s">
        <v>436</v>
      </c>
      <c r="E363" s="96"/>
      <c r="F363" s="96">
        <v>3125</v>
      </c>
      <c r="G363" s="96">
        <v>2684</v>
      </c>
      <c r="H363" s="96">
        <v>2656</v>
      </c>
      <c r="I363" s="96">
        <v>2521</v>
      </c>
      <c r="J363" s="96">
        <v>2463</v>
      </c>
      <c r="K363" s="969">
        <v>2523</v>
      </c>
      <c r="L363" s="21"/>
    </row>
    <row r="364" spans="1:12" ht="16.5" thickBot="1" x14ac:dyDescent="0.3">
      <c r="A364" s="1429"/>
      <c r="B364" s="1504"/>
      <c r="C364" s="1349"/>
      <c r="D364" s="239" t="s">
        <v>437</v>
      </c>
      <c r="E364" s="190"/>
      <c r="F364" s="190">
        <v>2830</v>
      </c>
      <c r="G364" s="190">
        <v>2686</v>
      </c>
      <c r="H364" s="190">
        <v>2734</v>
      </c>
      <c r="I364" s="190">
        <v>2671</v>
      </c>
      <c r="J364" s="190">
        <v>2759</v>
      </c>
      <c r="K364" s="970">
        <v>2786</v>
      </c>
      <c r="L364" s="22"/>
    </row>
    <row r="365" spans="1:12" ht="15" customHeight="1" x14ac:dyDescent="0.25">
      <c r="A365" s="1429"/>
      <c r="B365" s="1504"/>
      <c r="C365" s="1347" t="s">
        <v>461</v>
      </c>
      <c r="D365" s="229" t="s">
        <v>459</v>
      </c>
      <c r="E365" s="225"/>
      <c r="F365" s="195">
        <v>2456</v>
      </c>
      <c r="G365" s="195">
        <f>1079+1272</f>
        <v>2351</v>
      </c>
      <c r="H365" s="195">
        <v>2439</v>
      </c>
      <c r="I365" s="195">
        <v>2357</v>
      </c>
      <c r="J365" s="195">
        <f>1209+1092</f>
        <v>2301</v>
      </c>
      <c r="K365" s="971">
        <v>2660</v>
      </c>
      <c r="L365" s="20"/>
    </row>
    <row r="366" spans="1:12" x14ac:dyDescent="0.25">
      <c r="A366" s="1429"/>
      <c r="B366" s="1504"/>
      <c r="C366" s="1348"/>
      <c r="D366" s="227" t="s">
        <v>436</v>
      </c>
      <c r="E366" s="96"/>
      <c r="F366" s="96">
        <v>1408</v>
      </c>
      <c r="G366" s="96">
        <f>561+687</f>
        <v>1248</v>
      </c>
      <c r="H366" s="96">
        <v>1243</v>
      </c>
      <c r="I366" s="96">
        <v>1187</v>
      </c>
      <c r="J366" s="96">
        <f>599+542</f>
        <v>1141</v>
      </c>
      <c r="K366" s="969">
        <v>1304</v>
      </c>
      <c r="L366" s="21"/>
    </row>
    <row r="367" spans="1:12" ht="16.5" thickBot="1" x14ac:dyDescent="0.3">
      <c r="A367" s="1429"/>
      <c r="B367" s="1504"/>
      <c r="C367" s="1349"/>
      <c r="D367" s="239" t="s">
        <v>437</v>
      </c>
      <c r="E367" s="190"/>
      <c r="F367" s="190">
        <v>1048</v>
      </c>
      <c r="G367" s="190">
        <f>518+585</f>
        <v>1103</v>
      </c>
      <c r="H367" s="190">
        <v>1196</v>
      </c>
      <c r="I367" s="190">
        <v>1170</v>
      </c>
      <c r="J367" s="190">
        <f>610+550</f>
        <v>1160</v>
      </c>
      <c r="K367" s="970">
        <v>1356</v>
      </c>
      <c r="L367" s="22"/>
    </row>
    <row r="368" spans="1:12" x14ac:dyDescent="0.25">
      <c r="A368" s="1429"/>
      <c r="B368" s="1504"/>
      <c r="C368" s="1389" t="s">
        <v>462</v>
      </c>
      <c r="D368" s="1390"/>
      <c r="E368" s="225"/>
      <c r="F368" s="283">
        <f>F366/F363*100</f>
        <v>45.056000000000004</v>
      </c>
      <c r="G368" s="283">
        <f t="shared" ref="G368:I369" si="23">G366/G363*100</f>
        <v>46.497764530551414</v>
      </c>
      <c r="H368" s="283">
        <f t="shared" si="23"/>
        <v>46.799698795180724</v>
      </c>
      <c r="I368" s="283">
        <f t="shared" si="23"/>
        <v>47.084490281634274</v>
      </c>
      <c r="J368" s="283">
        <f>J366/J363*100</f>
        <v>46.325619163621603</v>
      </c>
      <c r="K368" s="283">
        <f>K366/K363*100</f>
        <v>51.684502576298051</v>
      </c>
      <c r="L368" s="20"/>
    </row>
    <row r="369" spans="1:20" x14ac:dyDescent="0.25">
      <c r="A369" s="1429"/>
      <c r="B369" s="1504"/>
      <c r="C369" s="1123" t="s">
        <v>463</v>
      </c>
      <c r="D369" s="1124"/>
      <c r="E369" s="96"/>
      <c r="F369" s="29">
        <f>F367/F364*100</f>
        <v>37.031802120141343</v>
      </c>
      <c r="G369" s="29">
        <f t="shared" si="23"/>
        <v>41.064780342516755</v>
      </c>
      <c r="H369" s="29">
        <f t="shared" si="23"/>
        <v>43.745427944403801</v>
      </c>
      <c r="I369" s="29">
        <f t="shared" si="23"/>
        <v>43.803818794459005</v>
      </c>
      <c r="J369" s="29">
        <f>J367/J364*100</f>
        <v>42.044218919898512</v>
      </c>
      <c r="K369" s="29">
        <f>K367/K364*100</f>
        <v>48.671931083991389</v>
      </c>
      <c r="L369" s="21"/>
    </row>
    <row r="370" spans="1:20" ht="16.5" thickBot="1" x14ac:dyDescent="0.3">
      <c r="A370" s="1429"/>
      <c r="B370" s="1505"/>
      <c r="C370" s="1127" t="s">
        <v>354</v>
      </c>
      <c r="D370" s="1128"/>
      <c r="E370" s="28"/>
      <c r="F370" s="158">
        <f>+F369-F368</f>
        <v>-8.0241978798586615</v>
      </c>
      <c r="G370" s="158">
        <f t="shared" ref="G370:I370" si="24">+G369-G368</f>
        <v>-5.4329841880346592</v>
      </c>
      <c r="H370" s="158">
        <f t="shared" si="24"/>
        <v>-3.0542708507769234</v>
      </c>
      <c r="I370" s="158">
        <f t="shared" si="24"/>
        <v>-3.2806714871752689</v>
      </c>
      <c r="J370" s="158">
        <f>+J369-J368</f>
        <v>-4.2814002437230911</v>
      </c>
      <c r="K370" s="158">
        <f>+K369-K368</f>
        <v>-3.0125714923066624</v>
      </c>
      <c r="L370" s="21"/>
    </row>
    <row r="371" spans="1:20" ht="16.5" thickBot="1" x14ac:dyDescent="0.3">
      <c r="A371" s="1382"/>
      <c r="B371" s="740" t="s">
        <v>249</v>
      </c>
      <c r="C371" s="1575"/>
      <c r="D371" s="1422"/>
      <c r="E371" s="616" t="s">
        <v>442</v>
      </c>
      <c r="F371" s="616" t="s">
        <v>443</v>
      </c>
      <c r="G371" s="616" t="s">
        <v>444</v>
      </c>
      <c r="H371" s="616" t="s">
        <v>445</v>
      </c>
      <c r="I371" s="616" t="s">
        <v>446</v>
      </c>
      <c r="J371" s="616" t="s">
        <v>447</v>
      </c>
      <c r="K371" s="616" t="s">
        <v>448</v>
      </c>
      <c r="L371" s="616" t="s">
        <v>449</v>
      </c>
    </row>
    <row r="372" spans="1:20" ht="15" customHeight="1" x14ac:dyDescent="0.25">
      <c r="A372" s="1382"/>
      <c r="B372" s="1500" t="s">
        <v>464</v>
      </c>
      <c r="C372" s="1251" t="s">
        <v>459</v>
      </c>
      <c r="D372" s="1390"/>
      <c r="E372" s="36"/>
      <c r="F372" s="195">
        <v>296</v>
      </c>
      <c r="G372" s="195">
        <v>438</v>
      </c>
      <c r="H372" s="195">
        <v>522</v>
      </c>
      <c r="I372" s="195">
        <v>563</v>
      </c>
      <c r="J372" s="195">
        <v>537</v>
      </c>
      <c r="K372" s="40">
        <v>602</v>
      </c>
      <c r="L372" s="20"/>
    </row>
    <row r="373" spans="1:20" x14ac:dyDescent="0.25">
      <c r="A373" s="1382"/>
      <c r="B373" s="1378"/>
      <c r="C373" s="1123" t="s">
        <v>436</v>
      </c>
      <c r="D373" s="1124"/>
      <c r="E373" s="96"/>
      <c r="F373" s="96">
        <v>129</v>
      </c>
      <c r="G373" s="96">
        <v>209</v>
      </c>
      <c r="H373" s="96">
        <v>269</v>
      </c>
      <c r="I373" s="96">
        <v>280</v>
      </c>
      <c r="J373" s="96">
        <v>284</v>
      </c>
      <c r="K373" s="96">
        <v>316</v>
      </c>
      <c r="L373" s="21"/>
      <c r="O373" s="64"/>
      <c r="P373" s="64"/>
      <c r="Q373" s="64"/>
      <c r="R373" s="64"/>
      <c r="S373" s="64"/>
      <c r="T373" s="64"/>
    </row>
    <row r="374" spans="1:20" x14ac:dyDescent="0.25">
      <c r="A374" s="1382"/>
      <c r="B374" s="1378"/>
      <c r="C374" s="1123" t="s">
        <v>437</v>
      </c>
      <c r="D374" s="1124"/>
      <c r="E374" s="96"/>
      <c r="F374" s="96">
        <v>167</v>
      </c>
      <c r="G374" s="96">
        <v>219</v>
      </c>
      <c r="H374" s="96">
        <v>253</v>
      </c>
      <c r="I374" s="96">
        <v>283</v>
      </c>
      <c r="J374" s="96">
        <v>253</v>
      </c>
      <c r="K374" s="96">
        <v>286</v>
      </c>
      <c r="L374" s="21"/>
    </row>
    <row r="375" spans="1:20" ht="16.5" thickBot="1" x14ac:dyDescent="0.3">
      <c r="A375" s="1382"/>
      <c r="B375" s="1378"/>
      <c r="C375" s="1577" t="s">
        <v>270</v>
      </c>
      <c r="D375" s="1578"/>
      <c r="E375" s="360"/>
      <c r="F375" s="486">
        <f t="shared" ref="F375:K375" si="25">F374/F372*100</f>
        <v>56.418918918918912</v>
      </c>
      <c r="G375" s="486">
        <f t="shared" si="25"/>
        <v>50</v>
      </c>
      <c r="H375" s="486">
        <f t="shared" si="25"/>
        <v>48.467432950191572</v>
      </c>
      <c r="I375" s="486">
        <f t="shared" si="25"/>
        <v>50.266429840142088</v>
      </c>
      <c r="J375" s="486">
        <f t="shared" si="25"/>
        <v>47.113594040968344</v>
      </c>
      <c r="K375" s="486">
        <f t="shared" si="25"/>
        <v>47.50830564784053</v>
      </c>
      <c r="L375" s="53"/>
    </row>
    <row r="376" spans="1:20" ht="14.85" customHeight="1" x14ac:dyDescent="0.25">
      <c r="A376" s="1382"/>
      <c r="B376" s="1378"/>
      <c r="C376" s="1159" t="s">
        <v>523</v>
      </c>
      <c r="D376" s="248" t="s">
        <v>251</v>
      </c>
      <c r="E376" s="249"/>
      <c r="F376" s="225">
        <v>154</v>
      </c>
      <c r="G376" s="225">
        <v>201</v>
      </c>
      <c r="H376" s="225">
        <v>245</v>
      </c>
      <c r="I376" s="225">
        <v>290</v>
      </c>
      <c r="J376" s="225">
        <v>289</v>
      </c>
      <c r="K376" s="36">
        <v>295</v>
      </c>
      <c r="L376" s="20"/>
    </row>
    <row r="377" spans="1:20" x14ac:dyDescent="0.25">
      <c r="A377" s="1382"/>
      <c r="B377" s="1378"/>
      <c r="C377" s="1160"/>
      <c r="D377" s="28" t="s">
        <v>257</v>
      </c>
      <c r="E377" s="94"/>
      <c r="F377" s="354">
        <v>36</v>
      </c>
      <c r="G377" s="354">
        <v>64</v>
      </c>
      <c r="H377" s="354">
        <v>71</v>
      </c>
      <c r="I377" s="354">
        <v>83</v>
      </c>
      <c r="J377" s="354">
        <v>96</v>
      </c>
      <c r="K377" s="28">
        <v>94</v>
      </c>
      <c r="L377" s="21"/>
      <c r="O377" s="64"/>
      <c r="P377" s="64"/>
      <c r="Q377" s="64"/>
      <c r="R377" s="64"/>
      <c r="S377" s="64"/>
      <c r="T377" s="64"/>
    </row>
    <row r="378" spans="1:20" x14ac:dyDescent="0.25">
      <c r="A378" s="1382"/>
      <c r="B378" s="1378"/>
      <c r="C378" s="1160"/>
      <c r="D378" s="28" t="s">
        <v>263</v>
      </c>
      <c r="E378" s="94"/>
      <c r="F378" s="354">
        <v>118</v>
      </c>
      <c r="G378" s="354">
        <v>137</v>
      </c>
      <c r="H378" s="354">
        <v>174</v>
      </c>
      <c r="I378" s="354">
        <v>207</v>
      </c>
      <c r="J378" s="354">
        <v>193</v>
      </c>
      <c r="K378" s="28">
        <v>201</v>
      </c>
      <c r="L378" s="21"/>
      <c r="O378" s="64"/>
      <c r="P378" s="64"/>
      <c r="Q378" s="64"/>
      <c r="R378" s="64"/>
      <c r="S378" s="64"/>
      <c r="T378" s="64"/>
    </row>
    <row r="379" spans="1:20" s="64" customFormat="1" ht="16.5" thickBot="1" x14ac:dyDescent="0.3">
      <c r="A379" s="1382"/>
      <c r="B379" s="1378"/>
      <c r="C379" s="1519"/>
      <c r="D379" s="336" t="s">
        <v>270</v>
      </c>
      <c r="E379" s="128"/>
      <c r="F379" s="440">
        <f t="shared" ref="F379:K379" si="26">(F378*100)/F376</f>
        <v>76.623376623376629</v>
      </c>
      <c r="G379" s="440">
        <f t="shared" si="26"/>
        <v>68.159203980099505</v>
      </c>
      <c r="H379" s="440">
        <f t="shared" si="26"/>
        <v>71.020408163265301</v>
      </c>
      <c r="I379" s="440">
        <f t="shared" si="26"/>
        <v>71.379310344827587</v>
      </c>
      <c r="J379" s="440">
        <f t="shared" si="26"/>
        <v>66.782006920415228</v>
      </c>
      <c r="K379" s="440">
        <f t="shared" si="26"/>
        <v>68.13559322033899</v>
      </c>
      <c r="L379" s="352"/>
    </row>
    <row r="380" spans="1:20" x14ac:dyDescent="0.25">
      <c r="A380" s="1382"/>
      <c r="B380" s="1378"/>
      <c r="C380" s="1159" t="s">
        <v>532</v>
      </c>
      <c r="D380" s="248" t="s">
        <v>251</v>
      </c>
      <c r="E380" s="249"/>
      <c r="F380" s="225">
        <v>73</v>
      </c>
      <c r="G380" s="225">
        <v>148</v>
      </c>
      <c r="H380" s="225">
        <v>110</v>
      </c>
      <c r="I380" s="225">
        <v>111</v>
      </c>
      <c r="J380" s="225">
        <v>91</v>
      </c>
      <c r="K380" s="36">
        <v>77</v>
      </c>
      <c r="L380" s="20"/>
    </row>
    <row r="381" spans="1:20" x14ac:dyDescent="0.25">
      <c r="A381" s="1382"/>
      <c r="B381" s="1378"/>
      <c r="C381" s="1160"/>
      <c r="D381" s="28" t="s">
        <v>257</v>
      </c>
      <c r="E381" s="94"/>
      <c r="F381" s="354">
        <v>30</v>
      </c>
      <c r="G381" s="354">
        <v>78</v>
      </c>
      <c r="H381" s="354">
        <v>45</v>
      </c>
      <c r="I381" s="354">
        <v>49</v>
      </c>
      <c r="J381" s="354">
        <v>46</v>
      </c>
      <c r="K381" s="28">
        <v>33</v>
      </c>
      <c r="L381" s="21"/>
    </row>
    <row r="382" spans="1:20" x14ac:dyDescent="0.25">
      <c r="A382" s="1382"/>
      <c r="B382" s="1378"/>
      <c r="C382" s="1160"/>
      <c r="D382" s="28" t="s">
        <v>263</v>
      </c>
      <c r="E382" s="94"/>
      <c r="F382" s="354">
        <v>43</v>
      </c>
      <c r="G382" s="354">
        <v>70</v>
      </c>
      <c r="H382" s="354">
        <v>65</v>
      </c>
      <c r="I382" s="354">
        <v>62</v>
      </c>
      <c r="J382" s="354">
        <v>45</v>
      </c>
      <c r="K382" s="28">
        <v>44</v>
      </c>
      <c r="L382" s="21"/>
    </row>
    <row r="383" spans="1:20" s="64" customFormat="1" ht="16.5" thickBot="1" x14ac:dyDescent="0.3">
      <c r="A383" s="1382"/>
      <c r="B383" s="1378"/>
      <c r="C383" s="1519"/>
      <c r="D383" s="336" t="s">
        <v>270</v>
      </c>
      <c r="E383" s="128"/>
      <c r="F383" s="361">
        <f>(F382*100)/F380</f>
        <v>58.904109589041099</v>
      </c>
      <c r="G383" s="361">
        <f>(G382*100)/G380</f>
        <v>47.297297297297298</v>
      </c>
      <c r="H383" s="361">
        <f>(H382*100)/H380</f>
        <v>59.090909090909093</v>
      </c>
      <c r="I383" s="361">
        <f t="shared" ref="I383:K383" si="27">(I382*100)/I380</f>
        <v>55.855855855855857</v>
      </c>
      <c r="J383" s="361">
        <f t="shared" si="27"/>
        <v>49.450549450549453</v>
      </c>
      <c r="K383" s="361">
        <f t="shared" si="27"/>
        <v>57.142857142857146</v>
      </c>
      <c r="L383" s="352"/>
    </row>
    <row r="384" spans="1:20" ht="14.85" customHeight="1" x14ac:dyDescent="0.25">
      <c r="A384" s="1382"/>
      <c r="B384" s="1378"/>
      <c r="C384" s="1584" t="s">
        <v>467</v>
      </c>
      <c r="D384" s="248" t="s">
        <v>251</v>
      </c>
      <c r="E384" s="249"/>
      <c r="F384" s="225">
        <v>69</v>
      </c>
      <c r="G384" s="225">
        <v>89</v>
      </c>
      <c r="H384" s="225">
        <v>167</v>
      </c>
      <c r="I384" s="225">
        <v>162</v>
      </c>
      <c r="J384" s="225">
        <v>157</v>
      </c>
      <c r="K384" s="36">
        <v>205</v>
      </c>
      <c r="L384" s="20"/>
    </row>
    <row r="385" spans="1:12" x14ac:dyDescent="0.25">
      <c r="A385" s="1382"/>
      <c r="B385" s="1378"/>
      <c r="C385" s="1585"/>
      <c r="D385" s="28" t="s">
        <v>257</v>
      </c>
      <c r="E385" s="94"/>
      <c r="F385" s="96">
        <v>93</v>
      </c>
      <c r="G385" s="96">
        <v>77</v>
      </c>
      <c r="H385" s="96">
        <v>153</v>
      </c>
      <c r="I385" s="96">
        <v>148</v>
      </c>
      <c r="J385" s="96">
        <v>142</v>
      </c>
      <c r="K385" s="28">
        <v>180</v>
      </c>
      <c r="L385" s="21"/>
    </row>
    <row r="386" spans="1:12" x14ac:dyDescent="0.25">
      <c r="A386" s="1382"/>
      <c r="B386" s="1378"/>
      <c r="C386" s="1585"/>
      <c r="D386" s="28" t="s">
        <v>263</v>
      </c>
      <c r="E386" s="94"/>
      <c r="F386" s="96">
        <v>6</v>
      </c>
      <c r="G386" s="96">
        <v>12</v>
      </c>
      <c r="H386" s="96">
        <v>14</v>
      </c>
      <c r="I386" s="96">
        <v>14</v>
      </c>
      <c r="J386" s="96">
        <v>15</v>
      </c>
      <c r="K386" s="28">
        <v>25</v>
      </c>
      <c r="L386" s="21"/>
    </row>
    <row r="387" spans="1:12" s="64" customFormat="1" ht="16.5" thickBot="1" x14ac:dyDescent="0.3">
      <c r="A387" s="1382"/>
      <c r="B387" s="1378"/>
      <c r="C387" s="1586"/>
      <c r="D387" s="203" t="s">
        <v>270</v>
      </c>
      <c r="E387" s="106"/>
      <c r="F387" s="258">
        <f>(F386*100)/F384</f>
        <v>8.695652173913043</v>
      </c>
      <c r="G387" s="258">
        <f t="shared" ref="G387:H387" si="28">(G386*100)/G384</f>
        <v>13.48314606741573</v>
      </c>
      <c r="H387" s="258">
        <f t="shared" si="28"/>
        <v>8.3832335329341312</v>
      </c>
      <c r="I387" s="258">
        <f>(I386*100)/I384</f>
        <v>8.6419753086419746</v>
      </c>
      <c r="J387" s="258">
        <f>(J386*100)/J384</f>
        <v>9.5541401273885356</v>
      </c>
      <c r="K387" s="258">
        <f>(K386*100)/K384</f>
        <v>12.195121951219512</v>
      </c>
      <c r="L387" s="204"/>
    </row>
    <row r="388" spans="1:12" s="64" customFormat="1" x14ac:dyDescent="0.25">
      <c r="A388" s="1382"/>
      <c r="B388" s="1378"/>
      <c r="C388" s="1579" t="s">
        <v>546</v>
      </c>
      <c r="D388" s="248" t="s">
        <v>251</v>
      </c>
      <c r="E388" s="493"/>
      <c r="F388" s="494"/>
      <c r="G388" s="494"/>
      <c r="H388" s="494"/>
      <c r="I388" s="494"/>
      <c r="J388" s="494"/>
      <c r="K388" s="499">
        <v>15</v>
      </c>
      <c r="L388" s="495"/>
    </row>
    <row r="389" spans="1:12" s="64" customFormat="1" x14ac:dyDescent="0.25">
      <c r="A389" s="1382"/>
      <c r="B389" s="1378"/>
      <c r="C389" s="1580"/>
      <c r="D389" s="28" t="s">
        <v>257</v>
      </c>
      <c r="E389" s="496"/>
      <c r="F389" s="497"/>
      <c r="G389" s="497"/>
      <c r="H389" s="497"/>
      <c r="I389" s="497"/>
      <c r="J389" s="497"/>
      <c r="K389" s="500">
        <v>2</v>
      </c>
      <c r="L389" s="498"/>
    </row>
    <row r="390" spans="1:12" s="64" customFormat="1" x14ac:dyDescent="0.25">
      <c r="A390" s="1382"/>
      <c r="B390" s="1378"/>
      <c r="C390" s="1580"/>
      <c r="D390" s="28" t="s">
        <v>263</v>
      </c>
      <c r="E390" s="496"/>
      <c r="F390" s="497"/>
      <c r="G390" s="497"/>
      <c r="H390" s="497"/>
      <c r="I390" s="497"/>
      <c r="J390" s="497"/>
      <c r="K390" s="500">
        <v>13</v>
      </c>
      <c r="L390" s="498"/>
    </row>
    <row r="391" spans="1:12" s="64" customFormat="1" ht="16.5" thickBot="1" x14ac:dyDescent="0.3">
      <c r="A391" s="1382"/>
      <c r="B391" s="1378"/>
      <c r="C391" s="1581"/>
      <c r="D391" s="203" t="s">
        <v>270</v>
      </c>
      <c r="E391" s="488"/>
      <c r="F391" s="489"/>
      <c r="G391" s="489"/>
      <c r="H391" s="489"/>
      <c r="I391" s="489"/>
      <c r="J391" s="489"/>
      <c r="K391" s="440">
        <f>K390/K388*100</f>
        <v>86.666666666666671</v>
      </c>
      <c r="L391" s="490"/>
    </row>
    <row r="392" spans="1:12" s="64" customFormat="1" x14ac:dyDescent="0.25">
      <c r="A392" s="1382"/>
      <c r="B392" s="1378"/>
      <c r="C392" s="1579" t="s">
        <v>547</v>
      </c>
      <c r="D392" s="487" t="s">
        <v>251</v>
      </c>
      <c r="E392" s="493"/>
      <c r="F392" s="494"/>
      <c r="G392" s="494"/>
      <c r="H392" s="494"/>
      <c r="I392" s="494"/>
      <c r="J392" s="494"/>
      <c r="K392" s="494">
        <v>10</v>
      </c>
      <c r="L392" s="495"/>
    </row>
    <row r="393" spans="1:12" s="64" customFormat="1" x14ac:dyDescent="0.25">
      <c r="A393" s="1382"/>
      <c r="B393" s="1378"/>
      <c r="C393" s="1580"/>
      <c r="D393" s="280" t="s">
        <v>257</v>
      </c>
      <c r="E393" s="496"/>
      <c r="F393" s="497"/>
      <c r="G393" s="497"/>
      <c r="H393" s="497"/>
      <c r="I393" s="497"/>
      <c r="J393" s="497"/>
      <c r="K393" s="497">
        <v>7</v>
      </c>
      <c r="L393" s="498"/>
    </row>
    <row r="394" spans="1:12" s="64" customFormat="1" x14ac:dyDescent="0.25">
      <c r="A394" s="1382"/>
      <c r="B394" s="1378"/>
      <c r="C394" s="1580"/>
      <c r="D394" s="280" t="s">
        <v>263</v>
      </c>
      <c r="E394" s="501"/>
      <c r="F394" s="502"/>
      <c r="G394" s="502"/>
      <c r="H394" s="502"/>
      <c r="I394" s="502"/>
      <c r="J394" s="502"/>
      <c r="K394" s="502">
        <v>3</v>
      </c>
      <c r="L394" s="503"/>
    </row>
    <row r="395" spans="1:12" s="64" customFormat="1" ht="16.5" thickBot="1" x14ac:dyDescent="0.3">
      <c r="A395" s="1382"/>
      <c r="B395" s="1378"/>
      <c r="C395" s="1581"/>
      <c r="D395" s="311" t="s">
        <v>270</v>
      </c>
      <c r="E395" s="488"/>
      <c r="F395" s="489"/>
      <c r="G395" s="489"/>
      <c r="H395" s="489"/>
      <c r="I395" s="489"/>
      <c r="J395" s="489"/>
      <c r="K395" s="504">
        <f>K394/K392*100</f>
        <v>30</v>
      </c>
      <c r="L395" s="490"/>
    </row>
    <row r="396" spans="1:12" x14ac:dyDescent="0.25">
      <c r="A396" s="1382"/>
      <c r="B396" s="1378"/>
      <c r="C396" s="1587" t="s">
        <v>548</v>
      </c>
      <c r="D396" s="254" t="s">
        <v>473</v>
      </c>
      <c r="E396" s="242"/>
      <c r="F396" s="255">
        <f>1/3*100</f>
        <v>33.333333333333329</v>
      </c>
      <c r="G396" s="255">
        <f t="shared" ref="G396:J398" si="29">1/3*100</f>
        <v>33.333333333333329</v>
      </c>
      <c r="H396" s="255">
        <f t="shared" si="29"/>
        <v>33.333333333333329</v>
      </c>
      <c r="I396" s="255">
        <f t="shared" si="29"/>
        <v>33.333333333333329</v>
      </c>
      <c r="J396" s="255">
        <f t="shared" si="29"/>
        <v>33.333333333333329</v>
      </c>
      <c r="K396" s="255">
        <f>2/5*100</f>
        <v>40</v>
      </c>
      <c r="L396" s="87"/>
    </row>
    <row r="397" spans="1:12" x14ac:dyDescent="0.25">
      <c r="A397" s="1382"/>
      <c r="B397" s="1378"/>
      <c r="C397" s="1167"/>
      <c r="D397" s="232" t="s">
        <v>474</v>
      </c>
      <c r="E397" s="94"/>
      <c r="F397" s="234">
        <f t="shared" ref="F397:F398" si="30">1/3*100</f>
        <v>33.333333333333329</v>
      </c>
      <c r="G397" s="234">
        <f t="shared" si="29"/>
        <v>33.333333333333329</v>
      </c>
      <c r="H397" s="234">
        <f t="shared" si="29"/>
        <v>33.333333333333329</v>
      </c>
      <c r="I397" s="234">
        <f t="shared" si="29"/>
        <v>33.333333333333329</v>
      </c>
      <c r="J397" s="234">
        <f t="shared" si="29"/>
        <v>33.333333333333329</v>
      </c>
      <c r="K397" s="234">
        <f>2/5*100</f>
        <v>40</v>
      </c>
      <c r="L397" s="21"/>
    </row>
    <row r="398" spans="1:12" ht="16.5" thickBot="1" x14ac:dyDescent="0.3">
      <c r="A398" s="1382"/>
      <c r="B398" s="1378"/>
      <c r="C398" s="1168"/>
      <c r="D398" s="357" t="s">
        <v>475</v>
      </c>
      <c r="E398" s="126"/>
      <c r="F398" s="355">
        <f t="shared" si="30"/>
        <v>33.333333333333329</v>
      </c>
      <c r="G398" s="355">
        <f t="shared" si="29"/>
        <v>33.333333333333329</v>
      </c>
      <c r="H398" s="355">
        <f t="shared" si="29"/>
        <v>33.333333333333329</v>
      </c>
      <c r="I398" s="355">
        <f t="shared" si="29"/>
        <v>33.333333333333329</v>
      </c>
      <c r="J398" s="355">
        <f t="shared" si="29"/>
        <v>33.333333333333329</v>
      </c>
      <c r="K398" s="355">
        <f>1/5*100</f>
        <v>20</v>
      </c>
      <c r="L398" s="53"/>
    </row>
    <row r="399" spans="1:12" ht="16.5" thickBot="1" x14ac:dyDescent="0.3">
      <c r="A399" s="1382"/>
      <c r="B399" s="740" t="s">
        <v>249</v>
      </c>
      <c r="C399" s="1576"/>
      <c r="D399" s="1571"/>
      <c r="E399" s="622" t="s">
        <v>442</v>
      </c>
      <c r="F399" s="622" t="s">
        <v>443</v>
      </c>
      <c r="G399" s="622" t="s">
        <v>444</v>
      </c>
      <c r="H399" s="622" t="s">
        <v>445</v>
      </c>
      <c r="I399" s="622" t="s">
        <v>446</v>
      </c>
      <c r="J399" s="622" t="s">
        <v>447</v>
      </c>
      <c r="K399" s="622" t="s">
        <v>448</v>
      </c>
      <c r="L399" s="473" t="s">
        <v>449</v>
      </c>
    </row>
    <row r="400" spans="1:12" ht="15" customHeight="1" x14ac:dyDescent="0.25">
      <c r="A400" s="1382"/>
      <c r="B400" s="1378" t="s">
        <v>476</v>
      </c>
      <c r="C400" s="1109" t="s">
        <v>459</v>
      </c>
      <c r="D400" s="1124"/>
      <c r="E400" s="28"/>
      <c r="F400" s="157">
        <v>1099</v>
      </c>
      <c r="G400" s="157">
        <v>1586</v>
      </c>
      <c r="H400" s="157">
        <v>2322</v>
      </c>
      <c r="I400" s="157">
        <v>2226</v>
      </c>
      <c r="J400" s="157">
        <v>2131</v>
      </c>
      <c r="K400" s="44">
        <v>2190</v>
      </c>
      <c r="L400" s="21"/>
    </row>
    <row r="401" spans="1:12" x14ac:dyDescent="0.25">
      <c r="A401" s="1382"/>
      <c r="B401" s="1378"/>
      <c r="C401" s="1123" t="s">
        <v>436</v>
      </c>
      <c r="D401" s="1124"/>
      <c r="E401" s="96"/>
      <c r="F401" s="96">
        <v>681</v>
      </c>
      <c r="G401" s="96">
        <v>974</v>
      </c>
      <c r="H401" s="96">
        <v>1370</v>
      </c>
      <c r="I401" s="96">
        <v>1327</v>
      </c>
      <c r="J401" s="96">
        <v>1300</v>
      </c>
      <c r="K401" s="997">
        <v>1357</v>
      </c>
      <c r="L401" s="21"/>
    </row>
    <row r="402" spans="1:12" x14ac:dyDescent="0.25">
      <c r="A402" s="1382"/>
      <c r="B402" s="1378"/>
      <c r="C402" s="1123" t="s">
        <v>437</v>
      </c>
      <c r="D402" s="1124"/>
      <c r="E402" s="96"/>
      <c r="F402" s="96">
        <v>418</v>
      </c>
      <c r="G402" s="96">
        <v>612</v>
      </c>
      <c r="H402" s="96">
        <v>952</v>
      </c>
      <c r="I402" s="96">
        <v>899</v>
      </c>
      <c r="J402" s="96">
        <v>831</v>
      </c>
      <c r="K402" s="997">
        <v>833</v>
      </c>
      <c r="L402" s="21"/>
    </row>
    <row r="403" spans="1:12" ht="16.5" thickBot="1" x14ac:dyDescent="0.3">
      <c r="A403" s="1382"/>
      <c r="B403" s="1378"/>
      <c r="C403" s="1577" t="s">
        <v>270</v>
      </c>
      <c r="D403" s="1578"/>
      <c r="E403" s="360"/>
      <c r="F403" s="435">
        <f t="shared" ref="F403:H403" si="31">F402/F400*100</f>
        <v>38.034576888080075</v>
      </c>
      <c r="G403" s="435">
        <f t="shared" si="31"/>
        <v>38.587641866330394</v>
      </c>
      <c r="H403" s="435">
        <f t="shared" si="31"/>
        <v>40.999138673557276</v>
      </c>
      <c r="I403" s="435">
        <f>I402/I400*100</f>
        <v>40.386343216531898</v>
      </c>
      <c r="J403" s="435">
        <f t="shared" ref="J403:K403" si="32">J402/J400*100</f>
        <v>38.995776630689818</v>
      </c>
      <c r="K403" s="435">
        <f t="shared" si="32"/>
        <v>38.036529680365291</v>
      </c>
      <c r="L403" s="53"/>
    </row>
    <row r="404" spans="1:12" ht="14.85" customHeight="1" x14ac:dyDescent="0.25">
      <c r="A404" s="1382"/>
      <c r="B404" s="1378"/>
      <c r="C404" s="1159" t="s">
        <v>523</v>
      </c>
      <c r="D404" s="248" t="s">
        <v>251</v>
      </c>
      <c r="E404" s="249"/>
      <c r="F404" s="225">
        <v>140</v>
      </c>
      <c r="G404" s="225">
        <v>347</v>
      </c>
      <c r="H404" s="225">
        <v>442</v>
      </c>
      <c r="I404" s="225">
        <v>412</v>
      </c>
      <c r="J404" s="225">
        <v>412</v>
      </c>
      <c r="K404" s="40">
        <v>376</v>
      </c>
      <c r="L404" s="20"/>
    </row>
    <row r="405" spans="1:12" x14ac:dyDescent="0.25">
      <c r="A405" s="1382"/>
      <c r="B405" s="1378"/>
      <c r="C405" s="1160"/>
      <c r="D405" s="28" t="s">
        <v>257</v>
      </c>
      <c r="E405" s="94"/>
      <c r="F405" s="354">
        <v>49</v>
      </c>
      <c r="G405" s="354">
        <v>135</v>
      </c>
      <c r="H405" s="354">
        <v>175</v>
      </c>
      <c r="I405" s="354">
        <v>173</v>
      </c>
      <c r="J405" s="354">
        <v>189</v>
      </c>
      <c r="K405" s="956">
        <v>179</v>
      </c>
      <c r="L405" s="21"/>
    </row>
    <row r="406" spans="1:12" x14ac:dyDescent="0.25">
      <c r="A406" s="1382"/>
      <c r="B406" s="1378"/>
      <c r="C406" s="1160"/>
      <c r="D406" s="28" t="s">
        <v>263</v>
      </c>
      <c r="E406" s="94"/>
      <c r="F406" s="354">
        <v>91</v>
      </c>
      <c r="G406" s="354">
        <v>212</v>
      </c>
      <c r="H406" s="354">
        <v>267</v>
      </c>
      <c r="I406" s="354">
        <v>239</v>
      </c>
      <c r="J406" s="354">
        <v>223</v>
      </c>
      <c r="K406" s="956">
        <v>197</v>
      </c>
      <c r="L406" s="21"/>
    </row>
    <row r="407" spans="1:12" s="64" customFormat="1" ht="16.5" thickBot="1" x14ac:dyDescent="0.3">
      <c r="A407" s="1382"/>
      <c r="B407" s="1378"/>
      <c r="C407" s="1519"/>
      <c r="D407" s="336" t="s">
        <v>270</v>
      </c>
      <c r="E407" s="128"/>
      <c r="F407" s="440">
        <f t="shared" ref="F407:K407" si="33">(F406*100)/F404</f>
        <v>65</v>
      </c>
      <c r="G407" s="440">
        <f t="shared" si="33"/>
        <v>61.095100864553316</v>
      </c>
      <c r="H407" s="440">
        <f t="shared" si="33"/>
        <v>60.407239819004523</v>
      </c>
      <c r="I407" s="361">
        <f t="shared" si="33"/>
        <v>58.009708737864081</v>
      </c>
      <c r="J407" s="361">
        <f t="shared" si="33"/>
        <v>54.126213592233007</v>
      </c>
      <c r="K407" s="361">
        <f t="shared" si="33"/>
        <v>52.393617021276597</v>
      </c>
      <c r="L407" s="352"/>
    </row>
    <row r="408" spans="1:12" x14ac:dyDescent="0.25">
      <c r="A408" s="1382"/>
      <c r="B408" s="1378"/>
      <c r="C408" s="1159" t="s">
        <v>465</v>
      </c>
      <c r="D408" s="248" t="s">
        <v>251</v>
      </c>
      <c r="E408" s="249"/>
      <c r="F408" s="225">
        <v>63</v>
      </c>
      <c r="G408" s="225"/>
      <c r="H408" s="225">
        <v>122</v>
      </c>
      <c r="I408" s="225">
        <v>125</v>
      </c>
      <c r="J408" s="225">
        <v>118</v>
      </c>
      <c r="K408" s="40">
        <v>130</v>
      </c>
      <c r="L408" s="20"/>
    </row>
    <row r="409" spans="1:12" x14ac:dyDescent="0.25">
      <c r="A409" s="1382"/>
      <c r="B409" s="1378"/>
      <c r="C409" s="1160"/>
      <c r="D409" s="28" t="s">
        <v>257</v>
      </c>
      <c r="E409" s="94"/>
      <c r="F409" s="354">
        <v>14</v>
      </c>
      <c r="G409" s="354"/>
      <c r="H409" s="354">
        <v>13</v>
      </c>
      <c r="I409" s="354">
        <v>13</v>
      </c>
      <c r="J409" s="354">
        <v>21</v>
      </c>
      <c r="K409" s="956">
        <v>18</v>
      </c>
      <c r="L409" s="21"/>
    </row>
    <row r="410" spans="1:12" x14ac:dyDescent="0.25">
      <c r="A410" s="1382"/>
      <c r="B410" s="1378"/>
      <c r="C410" s="1160"/>
      <c r="D410" s="28" t="s">
        <v>263</v>
      </c>
      <c r="E410" s="94"/>
      <c r="F410" s="354">
        <v>49</v>
      </c>
      <c r="G410" s="354"/>
      <c r="H410" s="354">
        <v>109</v>
      </c>
      <c r="I410" s="354">
        <v>112</v>
      </c>
      <c r="J410" s="354">
        <v>97</v>
      </c>
      <c r="K410" s="956">
        <v>112</v>
      </c>
      <c r="L410" s="21"/>
    </row>
    <row r="411" spans="1:12" s="64" customFormat="1" ht="16.5" thickBot="1" x14ac:dyDescent="0.3">
      <c r="A411" s="1382"/>
      <c r="B411" s="1378"/>
      <c r="C411" s="1519"/>
      <c r="D411" s="336" t="s">
        <v>270</v>
      </c>
      <c r="E411" s="128"/>
      <c r="F411" s="440">
        <f>(F410*100)/F408</f>
        <v>77.777777777777771</v>
      </c>
      <c r="G411" s="423"/>
      <c r="H411" s="440">
        <f t="shared" ref="H411:K411" si="34">(H410*100)/H408</f>
        <v>89.344262295081961</v>
      </c>
      <c r="I411" s="440">
        <f t="shared" si="34"/>
        <v>89.6</v>
      </c>
      <c r="J411" s="440">
        <f t="shared" si="34"/>
        <v>82.20338983050847</v>
      </c>
      <c r="K411" s="440">
        <f t="shared" si="34"/>
        <v>86.15384615384616</v>
      </c>
      <c r="L411" s="352"/>
    </row>
    <row r="412" spans="1:12" x14ac:dyDescent="0.25">
      <c r="A412" s="1382"/>
      <c r="B412" s="1378"/>
      <c r="C412" s="1159" t="s">
        <v>532</v>
      </c>
      <c r="D412" s="248" t="s">
        <v>251</v>
      </c>
      <c r="E412" s="249"/>
      <c r="F412" s="225">
        <v>488</v>
      </c>
      <c r="G412" s="225">
        <v>589</v>
      </c>
      <c r="H412" s="225">
        <v>810</v>
      </c>
      <c r="I412" s="225">
        <v>780</v>
      </c>
      <c r="J412" s="225">
        <v>688</v>
      </c>
      <c r="K412" s="40">
        <v>593</v>
      </c>
      <c r="L412" s="20"/>
    </row>
    <row r="413" spans="1:12" x14ac:dyDescent="0.25">
      <c r="A413" s="1382"/>
      <c r="B413" s="1378"/>
      <c r="C413" s="1160"/>
      <c r="D413" s="28" t="s">
        <v>257</v>
      </c>
      <c r="E413" s="94"/>
      <c r="F413" s="354">
        <v>284</v>
      </c>
      <c r="G413" s="354">
        <v>307</v>
      </c>
      <c r="H413" s="354">
        <v>413</v>
      </c>
      <c r="I413" s="354">
        <v>413</v>
      </c>
      <c r="J413" s="354">
        <v>352</v>
      </c>
      <c r="K413" s="956">
        <v>285</v>
      </c>
      <c r="L413" s="21"/>
    </row>
    <row r="414" spans="1:12" x14ac:dyDescent="0.25">
      <c r="A414" s="1382"/>
      <c r="B414" s="1378"/>
      <c r="C414" s="1160"/>
      <c r="D414" s="28" t="s">
        <v>263</v>
      </c>
      <c r="E414" s="94"/>
      <c r="F414" s="354">
        <v>204</v>
      </c>
      <c r="G414" s="354">
        <v>282</v>
      </c>
      <c r="H414" s="354">
        <v>397</v>
      </c>
      <c r="I414" s="354">
        <v>367</v>
      </c>
      <c r="J414" s="354">
        <v>336</v>
      </c>
      <c r="K414" s="956">
        <v>308</v>
      </c>
      <c r="L414" s="21"/>
    </row>
    <row r="415" spans="1:12" s="64" customFormat="1" ht="16.5" thickBot="1" x14ac:dyDescent="0.3">
      <c r="A415" s="1382"/>
      <c r="B415" s="1378"/>
      <c r="C415" s="1519"/>
      <c r="D415" s="336" t="s">
        <v>270</v>
      </c>
      <c r="E415" s="128"/>
      <c r="F415" s="361">
        <f t="shared" ref="F415:K415" si="35">(F414*100)/F412</f>
        <v>41.803278688524593</v>
      </c>
      <c r="G415" s="361">
        <f t="shared" si="35"/>
        <v>47.877758913412563</v>
      </c>
      <c r="H415" s="361">
        <f t="shared" si="35"/>
        <v>49.012345679012348</v>
      </c>
      <c r="I415" s="361">
        <f t="shared" si="35"/>
        <v>47.051282051282051</v>
      </c>
      <c r="J415" s="361">
        <f t="shared" si="35"/>
        <v>48.837209302325583</v>
      </c>
      <c r="K415" s="361">
        <f t="shared" si="35"/>
        <v>51.939291736930862</v>
      </c>
      <c r="L415" s="352"/>
    </row>
    <row r="416" spans="1:12" ht="14.85" customHeight="1" x14ac:dyDescent="0.25">
      <c r="A416" s="1382"/>
      <c r="B416" s="1378"/>
      <c r="C416" s="1159" t="s">
        <v>531</v>
      </c>
      <c r="D416" s="248" t="s">
        <v>251</v>
      </c>
      <c r="E416" s="249"/>
      <c r="F416" s="225">
        <v>31</v>
      </c>
      <c r="G416" s="225">
        <v>31</v>
      </c>
      <c r="H416" s="225">
        <v>26</v>
      </c>
      <c r="I416" s="225">
        <v>41</v>
      </c>
      <c r="J416" s="225">
        <v>53</v>
      </c>
      <c r="K416" s="36">
        <v>51</v>
      </c>
      <c r="L416" s="20"/>
    </row>
    <row r="417" spans="1:12" x14ac:dyDescent="0.25">
      <c r="A417" s="1382"/>
      <c r="B417" s="1378"/>
      <c r="C417" s="1160"/>
      <c r="D417" s="28" t="s">
        <v>257</v>
      </c>
      <c r="E417" s="94"/>
      <c r="F417" s="354">
        <v>0</v>
      </c>
      <c r="G417" s="354">
        <v>4</v>
      </c>
      <c r="H417" s="354">
        <v>1</v>
      </c>
      <c r="I417" s="354">
        <v>3</v>
      </c>
      <c r="J417" s="354">
        <v>7</v>
      </c>
      <c r="K417" s="956">
        <v>6</v>
      </c>
      <c r="L417" s="21"/>
    </row>
    <row r="418" spans="1:12" x14ac:dyDescent="0.25">
      <c r="A418" s="1382"/>
      <c r="B418" s="1378"/>
      <c r="C418" s="1160"/>
      <c r="D418" s="28" t="s">
        <v>263</v>
      </c>
      <c r="E418" s="94"/>
      <c r="F418" s="354">
        <v>31</v>
      </c>
      <c r="G418" s="354">
        <v>27</v>
      </c>
      <c r="H418" s="354">
        <v>25</v>
      </c>
      <c r="I418" s="354">
        <v>38</v>
      </c>
      <c r="J418" s="354">
        <v>46</v>
      </c>
      <c r="K418" s="956">
        <v>45</v>
      </c>
      <c r="L418" s="21"/>
    </row>
    <row r="419" spans="1:12" s="64" customFormat="1" ht="16.5" thickBot="1" x14ac:dyDescent="0.3">
      <c r="A419" s="1382"/>
      <c r="B419" s="1378"/>
      <c r="C419" s="1519"/>
      <c r="D419" s="336" t="s">
        <v>270</v>
      </c>
      <c r="E419" s="128"/>
      <c r="F419" s="440">
        <f t="shared" ref="F419:K419" si="36">(F418*100)/F416</f>
        <v>100</v>
      </c>
      <c r="G419" s="440">
        <f t="shared" si="36"/>
        <v>87.096774193548384</v>
      </c>
      <c r="H419" s="440">
        <f t="shared" si="36"/>
        <v>96.15384615384616</v>
      </c>
      <c r="I419" s="440">
        <f t="shared" si="36"/>
        <v>92.682926829268297</v>
      </c>
      <c r="J419" s="440">
        <f t="shared" si="36"/>
        <v>86.79245283018868</v>
      </c>
      <c r="K419" s="440">
        <f t="shared" si="36"/>
        <v>88.235294117647058</v>
      </c>
      <c r="L419" s="352"/>
    </row>
    <row r="420" spans="1:12" ht="14.85" customHeight="1" x14ac:dyDescent="0.25">
      <c r="A420" s="1382"/>
      <c r="B420" s="1378"/>
      <c r="C420" s="1159" t="s">
        <v>467</v>
      </c>
      <c r="D420" s="248" t="s">
        <v>251</v>
      </c>
      <c r="E420" s="249"/>
      <c r="F420" s="225">
        <v>338</v>
      </c>
      <c r="G420" s="225">
        <v>477</v>
      </c>
      <c r="H420" s="225">
        <v>787</v>
      </c>
      <c r="I420" s="225">
        <v>777</v>
      </c>
      <c r="J420" s="225">
        <v>799</v>
      </c>
      <c r="K420" s="40">
        <v>1000</v>
      </c>
      <c r="L420" s="20"/>
    </row>
    <row r="421" spans="1:12" x14ac:dyDescent="0.25">
      <c r="A421" s="1382"/>
      <c r="B421" s="1378"/>
      <c r="C421" s="1160"/>
      <c r="D421" s="28" t="s">
        <v>257</v>
      </c>
      <c r="E421" s="94"/>
      <c r="F421" s="354">
        <v>298</v>
      </c>
      <c r="G421" s="354">
        <v>401</v>
      </c>
      <c r="H421" s="354">
        <v>669</v>
      </c>
      <c r="I421" s="354">
        <v>661</v>
      </c>
      <c r="J421" s="354">
        <v>688</v>
      </c>
      <c r="K421" s="956">
        <v>838</v>
      </c>
      <c r="L421" s="21"/>
    </row>
    <row r="422" spans="1:12" x14ac:dyDescent="0.25">
      <c r="A422" s="1382"/>
      <c r="B422" s="1378"/>
      <c r="C422" s="1160"/>
      <c r="D422" s="28" t="s">
        <v>263</v>
      </c>
      <c r="E422" s="94"/>
      <c r="F422" s="354">
        <v>40</v>
      </c>
      <c r="G422" s="354">
        <v>76</v>
      </c>
      <c r="H422" s="354">
        <v>118</v>
      </c>
      <c r="I422" s="354">
        <v>116</v>
      </c>
      <c r="J422" s="354">
        <v>111</v>
      </c>
      <c r="K422" s="956">
        <v>162</v>
      </c>
      <c r="L422" s="21"/>
    </row>
    <row r="423" spans="1:12" s="64" customFormat="1" ht="16.5" thickBot="1" x14ac:dyDescent="0.3">
      <c r="A423" s="1382"/>
      <c r="B423" s="1378"/>
      <c r="C423" s="1519"/>
      <c r="D423" s="336" t="s">
        <v>270</v>
      </c>
      <c r="E423" s="128"/>
      <c r="F423" s="442">
        <f t="shared" ref="F423:K423" si="37">(F422*100)/F420</f>
        <v>11.834319526627219</v>
      </c>
      <c r="G423" s="442">
        <f t="shared" si="37"/>
        <v>15.932914046121594</v>
      </c>
      <c r="H423" s="442">
        <f t="shared" si="37"/>
        <v>14.993646759847522</v>
      </c>
      <c r="I423" s="442">
        <f t="shared" si="37"/>
        <v>14.929214929214929</v>
      </c>
      <c r="J423" s="442">
        <f t="shared" si="37"/>
        <v>13.892365456821027</v>
      </c>
      <c r="K423" s="442">
        <f t="shared" si="37"/>
        <v>16.2</v>
      </c>
      <c r="L423" s="352"/>
    </row>
    <row r="424" spans="1:12" ht="14.85" customHeight="1" x14ac:dyDescent="0.25">
      <c r="A424" s="1382"/>
      <c r="B424" s="1378"/>
      <c r="C424" s="1159" t="s">
        <v>539</v>
      </c>
      <c r="D424" s="248" t="s">
        <v>251</v>
      </c>
      <c r="E424" s="249"/>
      <c r="F424" s="225">
        <v>39</v>
      </c>
      <c r="G424" s="225">
        <v>142</v>
      </c>
      <c r="H424" s="225">
        <v>135</v>
      </c>
      <c r="I424" s="225">
        <v>91</v>
      </c>
      <c r="J424" s="225">
        <v>61</v>
      </c>
      <c r="K424" s="40">
        <v>40</v>
      </c>
      <c r="L424" s="20"/>
    </row>
    <row r="425" spans="1:12" x14ac:dyDescent="0.25">
      <c r="A425" s="1382"/>
      <c r="B425" s="1378"/>
      <c r="C425" s="1160"/>
      <c r="D425" s="28" t="s">
        <v>257</v>
      </c>
      <c r="E425" s="94"/>
      <c r="F425" s="96">
        <v>36</v>
      </c>
      <c r="G425" s="96">
        <v>127</v>
      </c>
      <c r="H425" s="96">
        <v>99</v>
      </c>
      <c r="I425" s="96">
        <v>64</v>
      </c>
      <c r="J425" s="96">
        <v>43</v>
      </c>
      <c r="K425" s="956">
        <v>31</v>
      </c>
      <c r="L425" s="21"/>
    </row>
    <row r="426" spans="1:12" x14ac:dyDescent="0.25">
      <c r="A426" s="1382"/>
      <c r="B426" s="1378"/>
      <c r="C426" s="1160"/>
      <c r="D426" s="28" t="s">
        <v>263</v>
      </c>
      <c r="E426" s="94"/>
      <c r="F426" s="96">
        <v>3</v>
      </c>
      <c r="G426" s="96">
        <v>15</v>
      </c>
      <c r="H426" s="96">
        <v>36</v>
      </c>
      <c r="I426" s="96">
        <v>27</v>
      </c>
      <c r="J426" s="96">
        <v>18</v>
      </c>
      <c r="K426" s="956">
        <v>9</v>
      </c>
      <c r="L426" s="21"/>
    </row>
    <row r="427" spans="1:12" s="64" customFormat="1" ht="16.5" thickBot="1" x14ac:dyDescent="0.3">
      <c r="A427" s="1382"/>
      <c r="B427" s="1378"/>
      <c r="C427" s="1519"/>
      <c r="D427" s="336" t="s">
        <v>270</v>
      </c>
      <c r="E427" s="128"/>
      <c r="F427" s="442">
        <f t="shared" ref="F427:K427" si="38">(F426*100)/F424</f>
        <v>7.6923076923076925</v>
      </c>
      <c r="G427" s="442">
        <f t="shared" si="38"/>
        <v>10.56338028169014</v>
      </c>
      <c r="H427" s="442">
        <f t="shared" si="38"/>
        <v>26.666666666666668</v>
      </c>
      <c r="I427" s="442">
        <f t="shared" si="38"/>
        <v>29.670329670329672</v>
      </c>
      <c r="J427" s="442">
        <f t="shared" si="38"/>
        <v>29.508196721311474</v>
      </c>
      <c r="K427" s="442">
        <f t="shared" si="38"/>
        <v>22.5</v>
      </c>
      <c r="L427" s="352"/>
    </row>
    <row r="428" spans="1:12" s="64" customFormat="1" x14ac:dyDescent="0.25">
      <c r="A428" s="1382"/>
      <c r="B428" s="1378"/>
      <c r="C428" s="1166" t="s">
        <v>472</v>
      </c>
      <c r="D428" s="308" t="s">
        <v>473</v>
      </c>
      <c r="E428" s="612"/>
      <c r="F428" s="261">
        <f>2/6*100</f>
        <v>33.333333333333329</v>
      </c>
      <c r="G428" s="261"/>
      <c r="H428" s="261">
        <f>2/6*100</f>
        <v>33.333333333333329</v>
      </c>
      <c r="I428" s="261">
        <f>2/6*100</f>
        <v>33.333333333333329</v>
      </c>
      <c r="J428" s="261">
        <f>2/6*100</f>
        <v>33.333333333333329</v>
      </c>
      <c r="K428" s="261">
        <f>2/6*100</f>
        <v>33.333333333333329</v>
      </c>
      <c r="L428" s="325"/>
    </row>
    <row r="429" spans="1:12" x14ac:dyDescent="0.25">
      <c r="A429" s="1382"/>
      <c r="B429" s="1378"/>
      <c r="C429" s="1167"/>
      <c r="D429" s="232" t="s">
        <v>474</v>
      </c>
      <c r="E429" s="94"/>
      <c r="F429" s="234">
        <f>3/6*100</f>
        <v>50</v>
      </c>
      <c r="G429" s="234"/>
      <c r="H429" s="234">
        <f>3/6*100</f>
        <v>50</v>
      </c>
      <c r="I429" s="234">
        <v>33.333333333333329</v>
      </c>
      <c r="J429" s="234">
        <v>33.333333333333329</v>
      </c>
      <c r="K429" s="234">
        <f>2/6*100</f>
        <v>33.333333333333329</v>
      </c>
      <c r="L429" s="21"/>
    </row>
    <row r="430" spans="1:12" ht="16.5" thickBot="1" x14ac:dyDescent="0.3">
      <c r="A430" s="1382"/>
      <c r="B430" s="1378"/>
      <c r="C430" s="1168"/>
      <c r="D430" s="357" t="s">
        <v>475</v>
      </c>
      <c r="E430" s="126"/>
      <c r="F430" s="355">
        <f>1/6*100</f>
        <v>16.666666666666664</v>
      </c>
      <c r="G430" s="355">
        <f>1/6*100</f>
        <v>16.666666666666664</v>
      </c>
      <c r="H430" s="355">
        <f>1/6*100</f>
        <v>16.666666666666664</v>
      </c>
      <c r="I430" s="355">
        <v>33.333333333333329</v>
      </c>
      <c r="J430" s="355">
        <v>33.333333333333329</v>
      </c>
      <c r="K430" s="355">
        <f>2/6*100</f>
        <v>33.333333333333329</v>
      </c>
      <c r="L430" s="53"/>
    </row>
    <row r="431" spans="1:12" ht="16.5" thickBot="1" x14ac:dyDescent="0.3">
      <c r="A431" s="1382"/>
      <c r="B431" s="740" t="s">
        <v>249</v>
      </c>
      <c r="C431" s="1575"/>
      <c r="D431" s="1422"/>
      <c r="E431" s="616" t="s">
        <v>442</v>
      </c>
      <c r="F431" s="616" t="s">
        <v>443</v>
      </c>
      <c r="G431" s="616" t="s">
        <v>444</v>
      </c>
      <c r="H431" s="616" t="s">
        <v>445</v>
      </c>
      <c r="I431" s="616" t="s">
        <v>446</v>
      </c>
      <c r="J431" s="616" t="s">
        <v>447</v>
      </c>
      <c r="K431" s="616" t="s">
        <v>448</v>
      </c>
      <c r="L431" s="616" t="s">
        <v>449</v>
      </c>
    </row>
    <row r="432" spans="1:12" s="64" customFormat="1" x14ac:dyDescent="0.25">
      <c r="A432" s="1429"/>
      <c r="B432" s="1378" t="s">
        <v>219</v>
      </c>
      <c r="C432" s="1251" t="s">
        <v>459</v>
      </c>
      <c r="D432" s="1206"/>
      <c r="E432" s="40"/>
      <c r="F432" s="260"/>
      <c r="G432" s="260"/>
      <c r="H432" s="359">
        <v>88</v>
      </c>
      <c r="I432" s="359">
        <v>242</v>
      </c>
      <c r="J432" s="359">
        <v>314</v>
      </c>
      <c r="K432" s="359">
        <v>293</v>
      </c>
      <c r="L432" s="325"/>
    </row>
    <row r="433" spans="1:12" x14ac:dyDescent="0.25">
      <c r="A433" s="1429"/>
      <c r="B433" s="1378"/>
      <c r="C433" s="1123" t="s">
        <v>436</v>
      </c>
      <c r="D433" s="1124"/>
      <c r="E433" s="28"/>
      <c r="F433" s="187"/>
      <c r="G433" s="187"/>
      <c r="H433" s="358">
        <v>51</v>
      </c>
      <c r="I433" s="358">
        <v>117</v>
      </c>
      <c r="J433" s="358">
        <v>153</v>
      </c>
      <c r="K433" s="358">
        <v>157</v>
      </c>
      <c r="L433" s="21"/>
    </row>
    <row r="434" spans="1:12" x14ac:dyDescent="0.25">
      <c r="A434" s="1429"/>
      <c r="B434" s="1378"/>
      <c r="C434" s="1123" t="s">
        <v>437</v>
      </c>
      <c r="D434" s="1124"/>
      <c r="E434" s="96"/>
      <c r="F434" s="96"/>
      <c r="G434" s="96"/>
      <c r="H434" s="358">
        <v>37</v>
      </c>
      <c r="I434" s="358">
        <v>125</v>
      </c>
      <c r="J434" s="358">
        <v>161</v>
      </c>
      <c r="K434" s="358">
        <v>136</v>
      </c>
      <c r="L434" s="21"/>
    </row>
    <row r="435" spans="1:12" x14ac:dyDescent="0.25">
      <c r="A435" s="1429"/>
      <c r="B435" s="1378"/>
      <c r="C435" s="1111" t="s">
        <v>353</v>
      </c>
      <c r="D435" s="1112"/>
      <c r="E435" s="157"/>
      <c r="F435" s="157"/>
      <c r="G435" s="157"/>
      <c r="H435" s="157">
        <f>H434-H433</f>
        <v>-14</v>
      </c>
      <c r="I435" s="157">
        <f>I434-I433</f>
        <v>8</v>
      </c>
      <c r="J435" s="157">
        <f>J434-J433</f>
        <v>8</v>
      </c>
      <c r="K435" s="157">
        <f>K434-K433</f>
        <v>-21</v>
      </c>
      <c r="L435" s="21"/>
    </row>
    <row r="436" spans="1:12" ht="16.5" thickBot="1" x14ac:dyDescent="0.3">
      <c r="A436" s="1429"/>
      <c r="B436" s="1378"/>
      <c r="C436" s="1125" t="s">
        <v>270</v>
      </c>
      <c r="D436" s="1126"/>
      <c r="E436" s="190"/>
      <c r="F436" s="190"/>
      <c r="G436" s="190"/>
      <c r="H436" s="34">
        <f>H434/H432*100</f>
        <v>42.045454545454547</v>
      </c>
      <c r="I436" s="313">
        <f>I434/I432*100</f>
        <v>51.652892561983464</v>
      </c>
      <c r="J436" s="313">
        <f>J434/J432*100</f>
        <v>51.273885350318473</v>
      </c>
      <c r="K436" s="34">
        <f>K434/K432*100</f>
        <v>46.416382252559728</v>
      </c>
      <c r="L436" s="22"/>
    </row>
    <row r="437" spans="1:12" x14ac:dyDescent="0.25">
      <c r="A437" s="1429"/>
      <c r="B437" s="1378"/>
      <c r="C437" s="1406" t="s">
        <v>484</v>
      </c>
      <c r="D437" s="1405"/>
      <c r="E437" s="225"/>
      <c r="F437" s="225"/>
      <c r="G437" s="225"/>
      <c r="H437" s="261">
        <v>0</v>
      </c>
      <c r="I437" s="261">
        <f>1/6*100</f>
        <v>16.666666666666664</v>
      </c>
      <c r="J437" s="261">
        <f>2/7*100</f>
        <v>28.571428571428569</v>
      </c>
      <c r="K437" s="315">
        <v>45.454545454545453</v>
      </c>
      <c r="L437" s="20"/>
    </row>
    <row r="438" spans="1:12" x14ac:dyDescent="0.25">
      <c r="A438" s="1429"/>
      <c r="B438" s="1378"/>
      <c r="C438" s="1111" t="s">
        <v>485</v>
      </c>
      <c r="D438" s="1112"/>
      <c r="E438" s="96"/>
      <c r="F438" s="96"/>
      <c r="G438" s="96"/>
      <c r="H438" s="235">
        <v>33.333333333333329</v>
      </c>
      <c r="I438" s="235">
        <f>1/6*100</f>
        <v>16.666666666666664</v>
      </c>
      <c r="J438" s="235">
        <f>2/7*100</f>
        <v>28.571428571428569</v>
      </c>
      <c r="K438" s="237">
        <v>36.363636363636367</v>
      </c>
      <c r="L438" s="21"/>
    </row>
    <row r="439" spans="1:12" ht="16.5" thickBot="1" x14ac:dyDescent="0.3">
      <c r="A439" s="1429"/>
      <c r="B439" s="1378"/>
      <c r="C439" s="1277" t="s">
        <v>486</v>
      </c>
      <c r="D439" s="1142"/>
      <c r="E439" s="360"/>
      <c r="F439" s="360"/>
      <c r="G439" s="360"/>
      <c r="H439" s="356">
        <v>66.666666666666657</v>
      </c>
      <c r="I439" s="356">
        <f>4/6*100</f>
        <v>66.666666666666657</v>
      </c>
      <c r="J439" s="356">
        <f>3/7*100</f>
        <v>42.857142857142854</v>
      </c>
      <c r="K439" s="361">
        <v>18.181818181818183</v>
      </c>
      <c r="L439" s="53"/>
    </row>
    <row r="440" spans="1:12" ht="16.5" thickBot="1" x14ac:dyDescent="0.3">
      <c r="A440" s="683" t="s">
        <v>248</v>
      </c>
      <c r="B440" s="741" t="s">
        <v>249</v>
      </c>
      <c r="C440" s="1571"/>
      <c r="D440" s="1571"/>
      <c r="E440" s="622">
        <v>2005</v>
      </c>
      <c r="F440" s="622">
        <v>2010</v>
      </c>
      <c r="G440" s="622">
        <v>2015</v>
      </c>
      <c r="H440" s="622">
        <v>2020</v>
      </c>
      <c r="I440" s="622">
        <v>2021</v>
      </c>
      <c r="J440" s="622">
        <v>2022</v>
      </c>
      <c r="K440" s="622">
        <v>2023</v>
      </c>
      <c r="L440" s="622">
        <v>2024</v>
      </c>
    </row>
    <row r="441" spans="1:12" ht="15" customHeight="1" x14ac:dyDescent="0.25">
      <c r="A441" s="1338" t="s">
        <v>487</v>
      </c>
      <c r="B441" s="1572" t="s">
        <v>227</v>
      </c>
      <c r="C441" s="1174" t="s">
        <v>435</v>
      </c>
      <c r="D441" s="1110"/>
      <c r="E441" s="28"/>
      <c r="F441" s="28"/>
      <c r="G441" s="28"/>
      <c r="H441" s="28"/>
      <c r="I441" s="28"/>
      <c r="J441" s="28"/>
      <c r="K441" s="157">
        <v>864</v>
      </c>
      <c r="L441" s="317">
        <v>904</v>
      </c>
    </row>
    <row r="442" spans="1:12" x14ac:dyDescent="0.25">
      <c r="A442" s="1338"/>
      <c r="B442" s="1573"/>
      <c r="C442" s="1148" t="s">
        <v>533</v>
      </c>
      <c r="D442" s="1124"/>
      <c r="E442" s="28"/>
      <c r="F442" s="28"/>
      <c r="G442" s="28"/>
      <c r="H442" s="28"/>
      <c r="I442" s="28"/>
      <c r="J442" s="28"/>
      <c r="K442" s="28">
        <v>261</v>
      </c>
      <c r="L442" s="21">
        <v>275</v>
      </c>
    </row>
    <row r="443" spans="1:12" x14ac:dyDescent="0.25">
      <c r="A443" s="1338"/>
      <c r="B443" s="1573"/>
      <c r="C443" s="1148" t="s">
        <v>534</v>
      </c>
      <c r="D443" s="1124"/>
      <c r="E443" s="28"/>
      <c r="F443" s="28"/>
      <c r="G443" s="28"/>
      <c r="H443" s="28"/>
      <c r="I443" s="28"/>
      <c r="J443" s="28"/>
      <c r="K443" s="28">
        <v>603</v>
      </c>
      <c r="L443" s="21">
        <v>629</v>
      </c>
    </row>
    <row r="444" spans="1:12" x14ac:dyDescent="0.25">
      <c r="A444" s="1338"/>
      <c r="B444" s="1573"/>
      <c r="C444" s="1561" t="s">
        <v>353</v>
      </c>
      <c r="D444" s="1128"/>
      <c r="E444" s="28"/>
      <c r="F444" s="28"/>
      <c r="G444" s="28"/>
      <c r="H444" s="28"/>
      <c r="I444" s="28"/>
      <c r="J444" s="28"/>
      <c r="K444" s="262">
        <f t="shared" ref="K444" si="39">K443-K442</f>
        <v>342</v>
      </c>
      <c r="L444" s="317">
        <v>354</v>
      </c>
    </row>
    <row r="445" spans="1:12" ht="16.5" thickBot="1" x14ac:dyDescent="0.3">
      <c r="A445" s="1338"/>
      <c r="B445" s="1574"/>
      <c r="C445" s="1177" t="s">
        <v>270</v>
      </c>
      <c r="D445" s="1178"/>
      <c r="E445" s="441"/>
      <c r="F445" s="441"/>
      <c r="G445" s="441"/>
      <c r="H445" s="441"/>
      <c r="I445" s="441"/>
      <c r="J445" s="441"/>
      <c r="K445" s="165">
        <f t="shared" ref="K445" si="40">K443/K441*100</f>
        <v>69.791666666666657</v>
      </c>
      <c r="L445" s="166">
        <v>69.579646017699119</v>
      </c>
    </row>
    <row r="446" spans="1:12" x14ac:dyDescent="0.25">
      <c r="A446" s="1338"/>
      <c r="B446" s="1119" t="s">
        <v>488</v>
      </c>
      <c r="C446" s="1406" t="s">
        <v>489</v>
      </c>
      <c r="D446" s="1405"/>
      <c r="E446" s="36"/>
      <c r="F446" s="40">
        <v>52</v>
      </c>
      <c r="G446" s="40">
        <v>63</v>
      </c>
      <c r="H446" s="40">
        <v>90</v>
      </c>
      <c r="I446" s="40"/>
      <c r="J446" s="40"/>
      <c r="K446" s="40">
        <v>110</v>
      </c>
      <c r="L446" s="1070">
        <v>31</v>
      </c>
    </row>
    <row r="447" spans="1:12" x14ac:dyDescent="0.25">
      <c r="A447" s="1338"/>
      <c r="B447" s="1119"/>
      <c r="C447" s="1111" t="s">
        <v>490</v>
      </c>
      <c r="D447" s="1112"/>
      <c r="E447" s="44"/>
      <c r="F447" s="44">
        <v>2</v>
      </c>
      <c r="G447" s="44">
        <v>1</v>
      </c>
      <c r="H447" s="44">
        <v>3</v>
      </c>
      <c r="I447" s="44"/>
      <c r="J447" s="44"/>
      <c r="K447" s="44">
        <v>4</v>
      </c>
      <c r="L447" s="1070">
        <v>3</v>
      </c>
    </row>
    <row r="448" spans="1:12" x14ac:dyDescent="0.25">
      <c r="A448" s="1338"/>
      <c r="B448" s="1119"/>
      <c r="C448" s="1277" t="s">
        <v>491</v>
      </c>
      <c r="D448" s="1142"/>
      <c r="E448" s="336"/>
      <c r="F448" s="165">
        <f>F447/F446*100</f>
        <v>3.8461538461538463</v>
      </c>
      <c r="G448" s="165">
        <f t="shared" ref="G448:H448" si="41">G447/G446*100</f>
        <v>1.5873015873015872</v>
      </c>
      <c r="H448" s="165">
        <f t="shared" si="41"/>
        <v>3.3333333333333335</v>
      </c>
      <c r="I448" s="336"/>
      <c r="J448" s="336"/>
      <c r="K448" s="165">
        <f>K447/K446*100</f>
        <v>3.6363636363636362</v>
      </c>
      <c r="L448" s="1071">
        <v>9.67741935483871</v>
      </c>
    </row>
    <row r="449" spans="1:12" ht="16.5" thickBot="1" x14ac:dyDescent="0.3">
      <c r="A449" s="683" t="s">
        <v>248</v>
      </c>
      <c r="B449" s="711" t="s">
        <v>249</v>
      </c>
      <c r="C449" s="1566"/>
      <c r="D449" s="1433"/>
      <c r="E449" s="617">
        <v>2005</v>
      </c>
      <c r="F449" s="617">
        <v>2010</v>
      </c>
      <c r="G449" s="617">
        <v>2015</v>
      </c>
      <c r="H449" s="617">
        <v>2020</v>
      </c>
      <c r="I449" s="617">
        <v>2021</v>
      </c>
      <c r="J449" s="617">
        <v>2022</v>
      </c>
      <c r="K449" s="616">
        <v>2023</v>
      </c>
      <c r="L449" s="616">
        <v>2024</v>
      </c>
    </row>
    <row r="450" spans="1:12" ht="15" customHeight="1" x14ac:dyDescent="0.25">
      <c r="A450" s="1261" t="s">
        <v>492</v>
      </c>
      <c r="B450" s="1376" t="s">
        <v>493</v>
      </c>
      <c r="C450" s="1251" t="s">
        <v>459</v>
      </c>
      <c r="D450" s="1206"/>
      <c r="E450" s="40"/>
      <c r="F450" s="195">
        <v>2052</v>
      </c>
      <c r="G450" s="195">
        <v>2234</v>
      </c>
      <c r="H450" s="195">
        <v>2084</v>
      </c>
      <c r="I450" s="195">
        <v>2707</v>
      </c>
      <c r="J450" s="195">
        <v>3375</v>
      </c>
      <c r="K450" s="195">
        <v>3374</v>
      </c>
      <c r="L450" s="20">
        <v>3574</v>
      </c>
    </row>
    <row r="451" spans="1:12" x14ac:dyDescent="0.25">
      <c r="A451" s="1261"/>
      <c r="B451" s="1376"/>
      <c r="C451" s="1320" t="s">
        <v>436</v>
      </c>
      <c r="D451" s="28" t="s">
        <v>494</v>
      </c>
      <c r="E451" s="28"/>
      <c r="F451" s="96">
        <v>916</v>
      </c>
      <c r="G451" s="96">
        <v>1003</v>
      </c>
      <c r="H451" s="96">
        <v>1104</v>
      </c>
      <c r="I451" s="96">
        <v>1428</v>
      </c>
      <c r="J451" s="96">
        <v>1723</v>
      </c>
      <c r="K451" s="96">
        <v>1778</v>
      </c>
      <c r="L451" s="21">
        <v>1892</v>
      </c>
    </row>
    <row r="452" spans="1:12" x14ac:dyDescent="0.25">
      <c r="A452" s="1261"/>
      <c r="B452" s="1376"/>
      <c r="C452" s="1320"/>
      <c r="D452" s="28" t="s">
        <v>495</v>
      </c>
      <c r="E452" s="28"/>
      <c r="F452" s="96">
        <v>142</v>
      </c>
      <c r="G452" s="96">
        <v>142</v>
      </c>
      <c r="H452" s="96">
        <v>143</v>
      </c>
      <c r="I452" s="96">
        <v>160</v>
      </c>
      <c r="J452" s="96">
        <v>254</v>
      </c>
      <c r="K452" s="96">
        <v>239</v>
      </c>
      <c r="L452" s="21">
        <v>287</v>
      </c>
    </row>
    <row r="453" spans="1:12" x14ac:dyDescent="0.25">
      <c r="A453" s="1261"/>
      <c r="B453" s="1376"/>
      <c r="C453" s="1320" t="s">
        <v>437</v>
      </c>
      <c r="D453" s="28" t="s">
        <v>496</v>
      </c>
      <c r="E453" s="28"/>
      <c r="F453" s="96">
        <v>284</v>
      </c>
      <c r="G453" s="96">
        <v>370</v>
      </c>
      <c r="H453" s="96">
        <v>410</v>
      </c>
      <c r="I453" s="96">
        <v>555</v>
      </c>
      <c r="J453" s="96">
        <v>666</v>
      </c>
      <c r="K453" s="96">
        <v>672</v>
      </c>
      <c r="L453" s="21">
        <v>677</v>
      </c>
    </row>
    <row r="454" spans="1:12" ht="16.5" thickBot="1" x14ac:dyDescent="0.3">
      <c r="A454" s="1261"/>
      <c r="B454" s="1376"/>
      <c r="C454" s="1559"/>
      <c r="D454" s="110" t="s">
        <v>497</v>
      </c>
      <c r="E454" s="110"/>
      <c r="F454" s="360">
        <v>213</v>
      </c>
      <c r="G454" s="360">
        <v>227</v>
      </c>
      <c r="H454" s="360">
        <v>210</v>
      </c>
      <c r="I454" s="360">
        <v>274</v>
      </c>
      <c r="J454" s="360">
        <v>348</v>
      </c>
      <c r="K454" s="360">
        <v>395</v>
      </c>
      <c r="L454" s="53">
        <v>365</v>
      </c>
    </row>
    <row r="455" spans="1:12" x14ac:dyDescent="0.25">
      <c r="A455" s="1261"/>
      <c r="B455" s="1375"/>
      <c r="C455" s="1441" t="s">
        <v>353</v>
      </c>
      <c r="D455" s="40" t="s">
        <v>498</v>
      </c>
      <c r="E455" s="36"/>
      <c r="F455" s="81">
        <f t="shared" ref="F455:L455" si="42">+F453-F451</f>
        <v>-632</v>
      </c>
      <c r="G455" s="81">
        <f t="shared" si="42"/>
        <v>-633</v>
      </c>
      <c r="H455" s="81">
        <f t="shared" si="42"/>
        <v>-694</v>
      </c>
      <c r="I455" s="81">
        <f t="shared" si="42"/>
        <v>-873</v>
      </c>
      <c r="J455" s="81">
        <f t="shared" si="42"/>
        <v>-1057</v>
      </c>
      <c r="K455" s="81">
        <f t="shared" si="42"/>
        <v>-1106</v>
      </c>
      <c r="L455" s="81">
        <f t="shared" si="42"/>
        <v>-1215</v>
      </c>
    </row>
    <row r="456" spans="1:12" x14ac:dyDescent="0.25">
      <c r="A456" s="1261"/>
      <c r="B456" s="1375"/>
      <c r="C456" s="1560"/>
      <c r="D456" s="44" t="s">
        <v>499</v>
      </c>
      <c r="E456" s="28"/>
      <c r="F456" s="79">
        <f t="shared" ref="F456:L456" si="43">F454-F452</f>
        <v>71</v>
      </c>
      <c r="G456" s="79">
        <f t="shared" si="43"/>
        <v>85</v>
      </c>
      <c r="H456" s="79">
        <f t="shared" si="43"/>
        <v>67</v>
      </c>
      <c r="I456" s="79">
        <f t="shared" si="43"/>
        <v>114</v>
      </c>
      <c r="J456" s="79">
        <f t="shared" si="43"/>
        <v>94</v>
      </c>
      <c r="K456" s="79">
        <f t="shared" si="43"/>
        <v>156</v>
      </c>
      <c r="L456" s="79">
        <f t="shared" si="43"/>
        <v>78</v>
      </c>
    </row>
    <row r="457" spans="1:12" ht="16.5" customHeight="1" x14ac:dyDescent="0.25">
      <c r="A457" s="1261"/>
      <c r="B457" s="1375"/>
      <c r="C457" s="1560" t="s">
        <v>270</v>
      </c>
      <c r="D457" s="44" t="s">
        <v>500</v>
      </c>
      <c r="E457" s="28"/>
      <c r="F457" s="263">
        <f>+F453/(F453+F451)*100</f>
        <v>23.666666666666668</v>
      </c>
      <c r="G457" s="263">
        <f t="shared" ref="G457:L458" si="44">+G453/(G453+G451)*100</f>
        <v>26.948288419519301</v>
      </c>
      <c r="H457" s="263">
        <f t="shared" si="44"/>
        <v>27.080581241743722</v>
      </c>
      <c r="I457" s="263">
        <f t="shared" si="44"/>
        <v>27.987897125567322</v>
      </c>
      <c r="J457" s="263">
        <f t="shared" si="44"/>
        <v>27.877773126831311</v>
      </c>
      <c r="K457" s="263">
        <f t="shared" si="44"/>
        <v>27.428571428571431</v>
      </c>
      <c r="L457" s="263">
        <f t="shared" si="44"/>
        <v>26.352666407162317</v>
      </c>
    </row>
    <row r="458" spans="1:12" ht="16.5" thickBot="1" x14ac:dyDescent="0.3">
      <c r="A458" s="1262"/>
      <c r="B458" s="1582"/>
      <c r="C458" s="1421"/>
      <c r="D458" s="203" t="s">
        <v>501</v>
      </c>
      <c r="E458" s="33"/>
      <c r="F458" s="230">
        <f>+F454/(F454+F452)*100</f>
        <v>60</v>
      </c>
      <c r="G458" s="230">
        <f t="shared" si="44"/>
        <v>61.517615176151764</v>
      </c>
      <c r="H458" s="230">
        <f t="shared" si="44"/>
        <v>59.490084985835686</v>
      </c>
      <c r="I458" s="230">
        <f t="shared" si="44"/>
        <v>63.133640552995395</v>
      </c>
      <c r="J458" s="230">
        <f t="shared" si="44"/>
        <v>57.807308970099669</v>
      </c>
      <c r="K458" s="230">
        <f t="shared" si="44"/>
        <v>62.302839116719241</v>
      </c>
      <c r="L458" s="230">
        <f t="shared" si="44"/>
        <v>55.981595092024541</v>
      </c>
    </row>
  </sheetData>
  <mergeCells count="225">
    <mergeCell ref="C457:C458"/>
    <mergeCell ref="B450:B458"/>
    <mergeCell ref="A450:A458"/>
    <mergeCell ref="C360:D360"/>
    <mergeCell ref="C428:C430"/>
    <mergeCell ref="B400:B430"/>
    <mergeCell ref="C376:C379"/>
    <mergeCell ref="C380:C383"/>
    <mergeCell ref="C384:C387"/>
    <mergeCell ref="C424:C427"/>
    <mergeCell ref="C408:C411"/>
    <mergeCell ref="C412:C415"/>
    <mergeCell ref="C416:C419"/>
    <mergeCell ref="C420:C423"/>
    <mergeCell ref="C400:D400"/>
    <mergeCell ref="C401:D401"/>
    <mergeCell ref="C402:D402"/>
    <mergeCell ref="C403:D403"/>
    <mergeCell ref="C396:C398"/>
    <mergeCell ref="B372:B398"/>
    <mergeCell ref="C437:D437"/>
    <mergeCell ref="C438:D438"/>
    <mergeCell ref="C439:D439"/>
    <mergeCell ref="C361:D361"/>
    <mergeCell ref="A362:A439"/>
    <mergeCell ref="C431:D431"/>
    <mergeCell ref="B362:B370"/>
    <mergeCell ref="C362:C364"/>
    <mergeCell ref="C365:C367"/>
    <mergeCell ref="C404:C407"/>
    <mergeCell ref="C399:D399"/>
    <mergeCell ref="C372:D372"/>
    <mergeCell ref="C373:D373"/>
    <mergeCell ref="C374:D374"/>
    <mergeCell ref="C375:D375"/>
    <mergeCell ref="C432:D432"/>
    <mergeCell ref="C433:D433"/>
    <mergeCell ref="C434:D434"/>
    <mergeCell ref="C436:D436"/>
    <mergeCell ref="C435:D435"/>
    <mergeCell ref="C371:D371"/>
    <mergeCell ref="C388:C391"/>
    <mergeCell ref="C392:C395"/>
    <mergeCell ref="C450:D450"/>
    <mergeCell ref="C440:D440"/>
    <mergeCell ref="A441:A448"/>
    <mergeCell ref="B441:B445"/>
    <mergeCell ref="C441:D441"/>
    <mergeCell ref="C442:D442"/>
    <mergeCell ref="C443:D443"/>
    <mergeCell ref="C445:D445"/>
    <mergeCell ref="B446:B448"/>
    <mergeCell ref="C446:D446"/>
    <mergeCell ref="C448:D448"/>
    <mergeCell ref="C447:D447"/>
    <mergeCell ref="C451:C452"/>
    <mergeCell ref="C453:C454"/>
    <mergeCell ref="C455:C456"/>
    <mergeCell ref="C444:D444"/>
    <mergeCell ref="A317:A340"/>
    <mergeCell ref="B317:B321"/>
    <mergeCell ref="C317:D317"/>
    <mergeCell ref="C318:D318"/>
    <mergeCell ref="C319:D319"/>
    <mergeCell ref="C320:D320"/>
    <mergeCell ref="C321:D321"/>
    <mergeCell ref="C322:D322"/>
    <mergeCell ref="C449:D449"/>
    <mergeCell ref="C368:D368"/>
    <mergeCell ref="C369:D369"/>
    <mergeCell ref="C370:D370"/>
    <mergeCell ref="C341:D341"/>
    <mergeCell ref="A342:A349"/>
    <mergeCell ref="B342:B345"/>
    <mergeCell ref="C342:D342"/>
    <mergeCell ref="A351:A360"/>
    <mergeCell ref="B351:B360"/>
    <mergeCell ref="C354:C356"/>
    <mergeCell ref="B432:B439"/>
    <mergeCell ref="B62:B315"/>
    <mergeCell ref="C343:D343"/>
    <mergeCell ref="C344:D344"/>
    <mergeCell ref="C345:D345"/>
    <mergeCell ref="B346:B349"/>
    <mergeCell ref="C346:D346"/>
    <mergeCell ref="C347:D347"/>
    <mergeCell ref="C348:D348"/>
    <mergeCell ref="C349:D349"/>
    <mergeCell ref="C331:C335"/>
    <mergeCell ref="B336:B340"/>
    <mergeCell ref="C336:D336"/>
    <mergeCell ref="C337:D337"/>
    <mergeCell ref="C338:D338"/>
    <mergeCell ref="C339:D339"/>
    <mergeCell ref="C340:D340"/>
    <mergeCell ref="C93:C96"/>
    <mergeCell ref="C97:C100"/>
    <mergeCell ref="C101:C104"/>
    <mergeCell ref="C105:C108"/>
    <mergeCell ref="C109:C112"/>
    <mergeCell ref="C113:C116"/>
    <mergeCell ref="C117:C120"/>
    <mergeCell ref="C121:C124"/>
    <mergeCell ref="A3:A45"/>
    <mergeCell ref="B41:B45"/>
    <mergeCell ref="C46:D46"/>
    <mergeCell ref="B36:B40"/>
    <mergeCell ref="B322:B325"/>
    <mergeCell ref="C316:D316"/>
    <mergeCell ref="B326:B335"/>
    <mergeCell ref="C326:C330"/>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B31:B35"/>
    <mergeCell ref="C41:D41"/>
    <mergeCell ref="C42:D42"/>
    <mergeCell ref="C43:D43"/>
    <mergeCell ref="C62:C64"/>
    <mergeCell ref="C65:C68"/>
    <mergeCell ref="C69:C72"/>
    <mergeCell ref="C73:C76"/>
    <mergeCell ref="C2:D2"/>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C44:D44"/>
    <mergeCell ref="C33:D33"/>
    <mergeCell ref="C34:D34"/>
    <mergeCell ref="C35:D35"/>
    <mergeCell ref="C45:D45"/>
    <mergeCell ref="C77:C80"/>
    <mergeCell ref="C81:C84"/>
    <mergeCell ref="C85:C88"/>
    <mergeCell ref="C89:C92"/>
    <mergeCell ref="C36:D36"/>
    <mergeCell ref="C37:D37"/>
    <mergeCell ref="C38:D38"/>
    <mergeCell ref="C39:D39"/>
    <mergeCell ref="C40:D40"/>
    <mergeCell ref="C59:D59"/>
    <mergeCell ref="C60:D60"/>
    <mergeCell ref="C61:D61"/>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265:C268"/>
    <mergeCell ref="C269:C272"/>
    <mergeCell ref="C273:C276"/>
    <mergeCell ref="C277:C280"/>
    <mergeCell ref="C281:C284"/>
    <mergeCell ref="C285:C288"/>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61:C264"/>
    <mergeCell ref="C350:D350"/>
    <mergeCell ref="C358:D358"/>
    <mergeCell ref="C359:D359"/>
    <mergeCell ref="C351:C353"/>
    <mergeCell ref="C289:C292"/>
    <mergeCell ref="C293:C296"/>
    <mergeCell ref="C323:D323"/>
    <mergeCell ref="C324:D324"/>
    <mergeCell ref="C325:D325"/>
    <mergeCell ref="C297:C300"/>
    <mergeCell ref="C301:C304"/>
    <mergeCell ref="C305:C308"/>
    <mergeCell ref="C309:C312"/>
    <mergeCell ref="C313:D313"/>
    <mergeCell ref="C314:D314"/>
    <mergeCell ref="C315:D315"/>
    <mergeCell ref="C357:D357"/>
  </mergeCells>
  <conditionalFormatting sqref="E349:F349">
    <cfRule type="cellIs" dxfId="1052" priority="163" operator="lessThan">
      <formula>0</formula>
    </cfRule>
    <cfRule type="cellIs" dxfId="1051" priority="164" operator="greaterThan">
      <formula>0</formula>
    </cfRule>
  </conditionalFormatting>
  <conditionalFormatting sqref="E39:L39">
    <cfRule type="cellIs" dxfId="1050" priority="295" operator="greaterThan">
      <formula>1</formula>
    </cfRule>
    <cfRule type="cellIs" dxfId="1049" priority="294" operator="lessThan">
      <formula>1</formula>
    </cfRule>
    <cfRule type="cellIs" dxfId="1048" priority="293" operator="greaterThan">
      <formula>1</formula>
    </cfRule>
    <cfRule type="cellIs" dxfId="1047" priority="292" operator="greaterThan">
      <formula>1</formula>
    </cfRule>
  </conditionalFormatting>
  <conditionalFormatting sqref="E40:L40">
    <cfRule type="cellIs" dxfId="1046" priority="297" operator="greaterThan">
      <formula>50</formula>
    </cfRule>
    <cfRule type="cellIs" dxfId="1045" priority="296" operator="lessThan">
      <formula>50</formula>
    </cfRule>
    <cfRule type="cellIs" dxfId="1044" priority="291" operator="greaterThan">
      <formula>50</formula>
    </cfRule>
  </conditionalFormatting>
  <conditionalFormatting sqref="E44:L44">
    <cfRule type="cellIs" dxfId="1043" priority="290" operator="greaterThan">
      <formula>1</formula>
    </cfRule>
    <cfRule type="cellIs" dxfId="1042" priority="289" operator="lessThan">
      <formula>1</formula>
    </cfRule>
    <cfRule type="cellIs" dxfId="1041" priority="288" operator="greaterThan">
      <formula>1</formula>
    </cfRule>
    <cfRule type="cellIs" dxfId="1040" priority="287" operator="greaterThan">
      <formula>1</formula>
    </cfRule>
  </conditionalFormatting>
  <conditionalFormatting sqref="E45:L45">
    <cfRule type="cellIs" dxfId="1039" priority="285" operator="lessThan">
      <formula>50</formula>
    </cfRule>
    <cfRule type="cellIs" dxfId="1038" priority="286" operator="greaterThan">
      <formula>50</formula>
    </cfRule>
    <cfRule type="cellIs" dxfId="1037" priority="284" operator="greaterThan">
      <formula>50</formula>
    </cfRule>
  </conditionalFormatting>
  <conditionalFormatting sqref="E50:L50">
    <cfRule type="cellIs" dxfId="1036" priority="143" operator="lessThan">
      <formula>1</formula>
    </cfRule>
    <cfRule type="cellIs" dxfId="1035" priority="144" operator="greaterThan">
      <formula>1</formula>
    </cfRule>
    <cfRule type="cellIs" dxfId="1034" priority="145" operator="greaterThan">
      <formula>1</formula>
    </cfRule>
    <cfRule type="cellIs" dxfId="1033" priority="146" operator="lessThan">
      <formula>1</formula>
    </cfRule>
    <cfRule type="cellIs" dxfId="1032" priority="147" operator="greaterThan">
      <formula>1</formula>
    </cfRule>
  </conditionalFormatting>
  <conditionalFormatting sqref="E51:L51">
    <cfRule type="cellIs" dxfId="1031" priority="154" operator="greaterThan">
      <formula>50</formula>
    </cfRule>
    <cfRule type="cellIs" dxfId="1030" priority="155" operator="lessThan">
      <formula>50</formula>
    </cfRule>
    <cfRule type="cellIs" dxfId="1029" priority="156" operator="greaterThan">
      <formula>50</formula>
    </cfRule>
  </conditionalFormatting>
  <conditionalFormatting sqref="F370:K370">
    <cfRule type="cellIs" dxfId="1028" priority="77" operator="lessThan">
      <formula>0</formula>
    </cfRule>
  </conditionalFormatting>
  <conditionalFormatting sqref="F320:L321">
    <cfRule type="cellIs" dxfId="1027" priority="174" operator="lessThan">
      <formula>1</formula>
    </cfRule>
  </conditionalFormatting>
  <conditionalFormatting sqref="F455:L455">
    <cfRule type="cellIs" dxfId="1026" priority="15" operator="lessThan">
      <formula>0</formula>
    </cfRule>
  </conditionalFormatting>
  <conditionalFormatting sqref="F456:L458">
    <cfRule type="cellIs" dxfId="1025" priority="13" operator="greaterThan">
      <formula>0</formula>
    </cfRule>
  </conditionalFormatting>
  <conditionalFormatting sqref="F458:L458">
    <cfRule type="cellIs" dxfId="1024" priority="17" operator="greaterThan">
      <formula>0</formula>
    </cfRule>
    <cfRule type="cellIs" dxfId="1023" priority="18" operator="lessThan">
      <formula>0</formula>
    </cfRule>
  </conditionalFormatting>
  <conditionalFormatting sqref="G325:H325 J325:L325">
    <cfRule type="cellIs" dxfId="1022" priority="202" operator="greaterThan">
      <formula>0</formula>
    </cfRule>
    <cfRule type="cellIs" dxfId="1021" priority="203" operator="lessThan">
      <formula>1</formula>
    </cfRule>
  </conditionalFormatting>
  <conditionalFormatting sqref="G360:K360">
    <cfRule type="cellIs" dxfId="1020" priority="27" operator="lessThan">
      <formula>0</formula>
    </cfRule>
    <cfRule type="cellIs" dxfId="1019" priority="28" operator="greaterThan">
      <formula>0</formula>
    </cfRule>
  </conditionalFormatting>
  <conditionalFormatting sqref="H436">
    <cfRule type="cellIs" dxfId="1018" priority="4" operator="greaterThan">
      <formula>50</formula>
    </cfRule>
    <cfRule type="cellIs" dxfId="1017" priority="3" operator="lessThan">
      <formula>50</formula>
    </cfRule>
  </conditionalFormatting>
  <conditionalFormatting sqref="H435:J435">
    <cfRule type="cellIs" dxfId="1016" priority="2" operator="greaterThan">
      <formula>0</formula>
    </cfRule>
  </conditionalFormatting>
  <conditionalFormatting sqref="H59:K59">
    <cfRule type="cellIs" dxfId="1015" priority="150" operator="greaterThan">
      <formula>0</formula>
    </cfRule>
  </conditionalFormatting>
  <conditionalFormatting sqref="H60:K60">
    <cfRule type="cellIs" dxfId="1014" priority="152" operator="greaterThan">
      <formula>50</formula>
    </cfRule>
    <cfRule type="cellIs" dxfId="1013" priority="151" operator="lessThan">
      <formula>50</formula>
    </cfRule>
    <cfRule type="cellIs" dxfId="1012" priority="149" operator="greaterThan">
      <formula>50</formula>
    </cfRule>
    <cfRule type="cellIs" dxfId="1011" priority="148" operator="lessThan">
      <formula>50</formula>
    </cfRule>
  </conditionalFormatting>
  <conditionalFormatting sqref="H339:K339">
    <cfRule type="cellIs" dxfId="1010" priority="205" operator="lessThan">
      <formula>0</formula>
    </cfRule>
    <cfRule type="cellIs" dxfId="1009" priority="212" operator="greaterThan">
      <formula>0</formula>
    </cfRule>
    <cfRule type="cellIs" dxfId="1008" priority="213" operator="lessThan">
      <formula>0</formula>
    </cfRule>
    <cfRule type="cellIs" dxfId="1007" priority="214" operator="greaterThan">
      <formula>0</formula>
    </cfRule>
  </conditionalFormatting>
  <conditionalFormatting sqref="H435:K435">
    <cfRule type="cellIs" dxfId="1006" priority="1" operator="lessThan">
      <formula>0</formula>
    </cfRule>
  </conditionalFormatting>
  <conditionalFormatting sqref="H55:L55">
    <cfRule type="cellIs" dxfId="1005" priority="153" operator="greaterThan">
      <formula>0</formula>
    </cfRule>
  </conditionalFormatting>
  <conditionalFormatting sqref="I329">
    <cfRule type="cellIs" dxfId="1004" priority="198" operator="greaterThan">
      <formula>0</formula>
    </cfRule>
    <cfRule type="cellIs" dxfId="1003" priority="199" operator="lessThan">
      <formula>1</formula>
    </cfRule>
  </conditionalFormatting>
  <conditionalFormatting sqref="I330">
    <cfRule type="cellIs" dxfId="1002" priority="197" operator="greaterThan">
      <formula>50</formula>
    </cfRule>
    <cfRule type="cellIs" dxfId="1001" priority="200" operator="lessThan">
      <formula>50</formula>
    </cfRule>
  </conditionalFormatting>
  <conditionalFormatting sqref="I334:L334">
    <cfRule type="cellIs" dxfId="1000" priority="206" operator="greaterThan">
      <formula>0</formula>
    </cfRule>
    <cfRule type="cellIs" dxfId="999" priority="207" operator="lessThan">
      <formula>1</formula>
    </cfRule>
  </conditionalFormatting>
  <conditionalFormatting sqref="I335:L335">
    <cfRule type="cellIs" dxfId="998" priority="303" operator="lessThan">
      <formula>50</formula>
    </cfRule>
    <cfRule type="cellIs" dxfId="997" priority="303" operator="greaterThan">
      <formula>50</formula>
    </cfRule>
  </conditionalFormatting>
  <conditionalFormatting sqref="K436">
    <cfRule type="cellIs" dxfId="996" priority="6" operator="greaterThan">
      <formula>50</formula>
    </cfRule>
    <cfRule type="cellIs" dxfId="995" priority="5" operator="lessThan">
      <formula>50</formula>
    </cfRule>
  </conditionalFormatting>
  <conditionalFormatting sqref="K445">
    <cfRule type="cellIs" dxfId="994" priority="11" operator="lessThan">
      <formula>50</formula>
    </cfRule>
    <cfRule type="cellIs" dxfId="993" priority="12" operator="greaterThan">
      <formula>50</formula>
    </cfRule>
    <cfRule type="cellIs" dxfId="992" priority="10" operator="lessThan">
      <formula>50</formula>
    </cfRule>
  </conditionalFormatting>
  <hyperlinks>
    <hyperlink ref="M1" location="INDICADORES!A1" display="INDICADORES" xr:uid="{B702A4E7-9F34-417A-A7A2-ED49C810C760}"/>
    <hyperlink ref="O1" location="DISTRITOS!A1" display="DISTRITOS" xr:uid="{45DF5D15-1DCB-4676-8DD5-7497B30B9881}"/>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878A2-1751-4894-B4B5-CE884113EC09}">
  <sheetPr codeName="Hoja9">
    <tabColor theme="8" tint="-0.249977111117893"/>
  </sheetPr>
  <dimension ref="A1:S462"/>
  <sheetViews>
    <sheetView showGridLines="0" topLeftCell="C1" zoomScale="70" zoomScaleNormal="70" workbookViewId="0">
      <pane ySplit="2" topLeftCell="A442" activePane="bottomLeft" state="frozen"/>
      <selection activeCell="F334" sqref="F334"/>
      <selection pane="bottomLeft" activeCell="L449" sqref="L449"/>
    </sheetView>
  </sheetViews>
  <sheetFormatPr baseColWidth="10" defaultColWidth="11.42578125" defaultRowHeight="15.75" x14ac:dyDescent="0.25"/>
  <cols>
    <col min="1" max="1" width="26.5703125" style="11" customWidth="1"/>
    <col min="2" max="2" width="50.5703125" style="205" customWidth="1"/>
    <col min="3" max="4" width="30.5703125" style="11" customWidth="1"/>
    <col min="5" max="12" width="13.5703125" style="11" customWidth="1"/>
    <col min="13" max="13" width="14.5703125" style="11" customWidth="1"/>
    <col min="14" max="14" width="3.42578125" style="11" customWidth="1"/>
    <col min="15" max="15" width="14.5703125" style="11" customWidth="1"/>
    <col min="16" max="16384" width="11.42578125" style="11"/>
  </cols>
  <sheetData>
    <row r="1" spans="1:15" ht="30" customHeight="1" thickTop="1" thickBot="1" x14ac:dyDescent="0.3">
      <c r="A1" s="1020" t="s">
        <v>549</v>
      </c>
      <c r="B1" s="1020"/>
      <c r="C1" s="1020"/>
      <c r="D1" s="1020"/>
      <c r="E1" s="1020"/>
      <c r="F1" s="1020"/>
      <c r="G1" s="1020"/>
      <c r="H1" s="1020"/>
      <c r="I1" s="1020"/>
      <c r="J1" s="1020"/>
      <c r="K1" s="1020"/>
      <c r="M1" s="479" t="s">
        <v>246</v>
      </c>
      <c r="N1" s="480"/>
      <c r="O1" s="481" t="s">
        <v>247</v>
      </c>
    </row>
    <row r="2" spans="1:15" ht="18" customHeight="1" thickTop="1" thickBot="1" x14ac:dyDescent="0.3">
      <c r="A2" s="151" t="s">
        <v>248</v>
      </c>
      <c r="B2" s="736" t="s">
        <v>249</v>
      </c>
      <c r="C2" s="1536"/>
      <c r="D2" s="1536"/>
      <c r="E2" s="120">
        <v>2005</v>
      </c>
      <c r="F2" s="120">
        <v>2010</v>
      </c>
      <c r="G2" s="120">
        <v>2015</v>
      </c>
      <c r="H2" s="120">
        <v>2020</v>
      </c>
      <c r="I2" s="120">
        <v>2021</v>
      </c>
      <c r="J2" s="120">
        <v>2022</v>
      </c>
      <c r="K2" s="120">
        <v>2023</v>
      </c>
      <c r="L2" s="121">
        <v>2024</v>
      </c>
    </row>
    <row r="3" spans="1:15" s="64" customFormat="1" x14ac:dyDescent="0.25">
      <c r="A3" s="1312" t="s">
        <v>26</v>
      </c>
      <c r="B3" s="1426" t="s">
        <v>250</v>
      </c>
      <c r="C3" s="1319" t="s">
        <v>251</v>
      </c>
      <c r="D3" s="1299"/>
      <c r="E3" s="130">
        <v>150379</v>
      </c>
      <c r="F3" s="130">
        <v>157527</v>
      </c>
      <c r="G3" s="130">
        <v>150860</v>
      </c>
      <c r="H3" s="130">
        <v>161313</v>
      </c>
      <c r="I3" s="130">
        <v>159849</v>
      </c>
      <c r="J3" s="130">
        <v>157433</v>
      </c>
      <c r="K3" s="130">
        <v>160002</v>
      </c>
      <c r="L3" s="132">
        <v>166211</v>
      </c>
      <c r="M3" s="11"/>
    </row>
    <row r="4" spans="1:15" x14ac:dyDescent="0.25">
      <c r="A4" s="1312"/>
      <c r="B4" s="1195"/>
      <c r="C4" s="1304" t="s">
        <v>257</v>
      </c>
      <c r="D4" s="1213"/>
      <c r="E4" s="80">
        <v>68418</v>
      </c>
      <c r="F4" s="80">
        <v>71895</v>
      </c>
      <c r="G4" s="80">
        <v>68247</v>
      </c>
      <c r="H4" s="80">
        <v>73358</v>
      </c>
      <c r="I4" s="80">
        <v>72752</v>
      </c>
      <c r="J4" s="80">
        <v>71636</v>
      </c>
      <c r="K4" s="80">
        <v>72938</v>
      </c>
      <c r="L4" s="83">
        <v>76072</v>
      </c>
    </row>
    <row r="5" spans="1:15" x14ac:dyDescent="0.25">
      <c r="A5" s="1312"/>
      <c r="B5" s="1195"/>
      <c r="C5" s="1304" t="s">
        <v>263</v>
      </c>
      <c r="D5" s="1213"/>
      <c r="E5" s="80">
        <v>81890</v>
      </c>
      <c r="F5" s="80">
        <v>85632</v>
      </c>
      <c r="G5" s="80">
        <v>82613</v>
      </c>
      <c r="H5" s="80">
        <v>87955</v>
      </c>
      <c r="I5" s="80">
        <v>87097</v>
      </c>
      <c r="J5" s="80">
        <v>85797</v>
      </c>
      <c r="K5" s="80">
        <v>87064</v>
      </c>
      <c r="L5" s="83">
        <v>90139</v>
      </c>
    </row>
    <row r="6" spans="1:15" x14ac:dyDescent="0.25">
      <c r="A6" s="1312"/>
      <c r="B6" s="1195"/>
      <c r="C6" s="1425" t="s">
        <v>269</v>
      </c>
      <c r="D6" s="1215"/>
      <c r="E6" s="363">
        <f>+E5-E4</f>
        <v>13472</v>
      </c>
      <c r="F6" s="363">
        <f t="shared" ref="F6:L6" si="0">+F5-F4</f>
        <v>13737</v>
      </c>
      <c r="G6" s="363">
        <f t="shared" si="0"/>
        <v>14366</v>
      </c>
      <c r="H6" s="363">
        <f t="shared" si="0"/>
        <v>14597</v>
      </c>
      <c r="I6" s="363">
        <f t="shared" si="0"/>
        <v>14345</v>
      </c>
      <c r="J6" s="363">
        <f t="shared" si="0"/>
        <v>14161</v>
      </c>
      <c r="K6" s="363">
        <f t="shared" si="0"/>
        <v>14126</v>
      </c>
      <c r="L6" s="365">
        <f t="shared" si="0"/>
        <v>14067</v>
      </c>
    </row>
    <row r="7" spans="1:15" ht="16.5" thickBot="1" x14ac:dyDescent="0.3">
      <c r="A7" s="1312"/>
      <c r="B7" s="1595"/>
      <c r="C7" s="1353" t="s">
        <v>270</v>
      </c>
      <c r="D7" s="1178"/>
      <c r="E7" s="378">
        <f>E5/E3*100</f>
        <v>54.455741825653845</v>
      </c>
      <c r="F7" s="378">
        <f t="shared" ref="F7:L7" si="1">F5/F3*100</f>
        <v>54.36020491725229</v>
      </c>
      <c r="G7" s="378">
        <f t="shared" si="1"/>
        <v>54.76136815590614</v>
      </c>
      <c r="H7" s="378">
        <f t="shared" si="1"/>
        <v>54.524433864598642</v>
      </c>
      <c r="I7" s="378">
        <f t="shared" si="1"/>
        <v>54.487047150748523</v>
      </c>
      <c r="J7" s="378">
        <f t="shared" si="1"/>
        <v>54.497468764490286</v>
      </c>
      <c r="K7" s="378">
        <f t="shared" si="1"/>
        <v>54.414319821002231</v>
      </c>
      <c r="L7" s="379">
        <f t="shared" si="1"/>
        <v>54.231669384096115</v>
      </c>
    </row>
    <row r="8" spans="1:15" ht="16.5" thickBot="1" x14ac:dyDescent="0.3">
      <c r="A8" s="1312"/>
      <c r="B8" s="1198" t="s">
        <v>271</v>
      </c>
      <c r="C8" s="1300" t="s">
        <v>257</v>
      </c>
      <c r="D8" s="168" t="s">
        <v>272</v>
      </c>
      <c r="E8" s="81">
        <v>68418</v>
      </c>
      <c r="F8" s="81">
        <v>71895</v>
      </c>
      <c r="G8" s="81">
        <v>68247</v>
      </c>
      <c r="H8" s="81">
        <v>73358</v>
      </c>
      <c r="I8" s="81">
        <v>72752</v>
      </c>
      <c r="J8" s="81">
        <v>71636</v>
      </c>
      <c r="K8" s="81">
        <v>72938</v>
      </c>
      <c r="L8" s="82">
        <v>76072</v>
      </c>
    </row>
    <row r="9" spans="1:15" ht="16.5" thickBot="1" x14ac:dyDescent="0.3">
      <c r="A9" s="1312"/>
      <c r="B9" s="1199"/>
      <c r="C9" s="1301"/>
      <c r="D9" s="164" t="s">
        <v>275</v>
      </c>
      <c r="E9" s="80">
        <v>9115</v>
      </c>
      <c r="F9" s="80">
        <v>9667</v>
      </c>
      <c r="G9" s="80">
        <v>9425</v>
      </c>
      <c r="H9" s="80">
        <v>9499</v>
      </c>
      <c r="I9" s="80">
        <v>9347</v>
      </c>
      <c r="J9" s="80">
        <v>9167</v>
      </c>
      <c r="K9" s="80">
        <v>9107</v>
      </c>
      <c r="L9" s="83">
        <v>8666</v>
      </c>
    </row>
    <row r="10" spans="1:15" ht="16.5" thickBot="1" x14ac:dyDescent="0.3">
      <c r="A10" s="1312"/>
      <c r="B10" s="1199"/>
      <c r="C10" s="1301"/>
      <c r="D10" s="164" t="s">
        <v>282</v>
      </c>
      <c r="E10" s="80">
        <v>47844</v>
      </c>
      <c r="F10" s="80">
        <v>50873</v>
      </c>
      <c r="G10" s="80">
        <v>47514</v>
      </c>
      <c r="H10" s="80">
        <v>52449</v>
      </c>
      <c r="I10" s="80">
        <v>52269</v>
      </c>
      <c r="J10" s="80">
        <v>51295</v>
      </c>
      <c r="K10" s="80">
        <v>52586</v>
      </c>
      <c r="L10" s="83">
        <v>55832</v>
      </c>
    </row>
    <row r="11" spans="1:15" ht="16.5" thickBot="1" x14ac:dyDescent="0.3">
      <c r="A11" s="1312"/>
      <c r="B11" s="1199"/>
      <c r="C11" s="1301"/>
      <c r="D11" s="164" t="s">
        <v>288</v>
      </c>
      <c r="E11" s="80">
        <v>11459</v>
      </c>
      <c r="F11" s="80">
        <v>11355</v>
      </c>
      <c r="G11" s="80">
        <v>11308</v>
      </c>
      <c r="H11" s="80">
        <v>11410</v>
      </c>
      <c r="I11" s="80">
        <v>11136</v>
      </c>
      <c r="J11" s="80">
        <v>11174</v>
      </c>
      <c r="K11" s="80">
        <v>11245</v>
      </c>
      <c r="L11" s="83">
        <v>11574</v>
      </c>
    </row>
    <row r="12" spans="1:15" ht="16.5" thickBot="1" x14ac:dyDescent="0.3">
      <c r="A12" s="1312"/>
      <c r="B12" s="1199"/>
      <c r="C12" s="1301"/>
      <c r="D12" s="164" t="s">
        <v>295</v>
      </c>
      <c r="E12" s="80">
        <v>2936</v>
      </c>
      <c r="F12" s="80">
        <v>3508</v>
      </c>
      <c r="G12" s="80">
        <v>3949</v>
      </c>
      <c r="H12" s="80">
        <v>3654</v>
      </c>
      <c r="I12" s="80">
        <v>3453</v>
      </c>
      <c r="J12" s="80">
        <v>3334</v>
      </c>
      <c r="K12" s="80">
        <v>3300</v>
      </c>
      <c r="L12" s="83">
        <v>3321</v>
      </c>
    </row>
    <row r="13" spans="1:15" ht="16.5" thickBot="1" x14ac:dyDescent="0.3">
      <c r="A13" s="1312"/>
      <c r="B13" s="1199"/>
      <c r="C13" s="1538"/>
      <c r="D13" s="456" t="s">
        <v>296</v>
      </c>
      <c r="E13" s="457">
        <v>0</v>
      </c>
      <c r="F13" s="457">
        <v>0</v>
      </c>
      <c r="G13" s="372">
        <v>0</v>
      </c>
      <c r="H13" s="457">
        <v>0</v>
      </c>
      <c r="I13" s="372">
        <v>0</v>
      </c>
      <c r="J13" s="372">
        <v>0</v>
      </c>
      <c r="K13" s="372">
        <v>0</v>
      </c>
      <c r="L13" s="373">
        <v>0</v>
      </c>
    </row>
    <row r="14" spans="1:15" ht="16.5" thickBot="1" x14ac:dyDescent="0.3">
      <c r="A14" s="1312"/>
      <c r="B14" s="1199"/>
      <c r="C14" s="1303" t="s">
        <v>263</v>
      </c>
      <c r="D14" s="168" t="s">
        <v>272</v>
      </c>
      <c r="E14" s="81">
        <v>81890</v>
      </c>
      <c r="F14" s="81">
        <v>85632</v>
      </c>
      <c r="G14" s="81">
        <v>82613</v>
      </c>
      <c r="H14" s="81">
        <v>87955</v>
      </c>
      <c r="I14" s="81">
        <v>87097</v>
      </c>
      <c r="J14" s="81">
        <v>85797</v>
      </c>
      <c r="K14" s="81">
        <v>87064</v>
      </c>
      <c r="L14" s="82">
        <v>90139</v>
      </c>
    </row>
    <row r="15" spans="1:15" ht="16.5" thickBot="1" x14ac:dyDescent="0.3">
      <c r="A15" s="1312"/>
      <c r="B15" s="1199"/>
      <c r="C15" s="1304"/>
      <c r="D15" s="164" t="s">
        <v>275</v>
      </c>
      <c r="E15" s="80">
        <v>8580</v>
      </c>
      <c r="F15" s="80">
        <v>9256</v>
      </c>
      <c r="G15" s="80">
        <v>9000</v>
      </c>
      <c r="H15" s="80">
        <v>9091</v>
      </c>
      <c r="I15" s="80">
        <v>8946</v>
      </c>
      <c r="J15" s="80">
        <v>8742</v>
      </c>
      <c r="K15" s="80">
        <v>8761</v>
      </c>
      <c r="L15" s="83">
        <v>8380</v>
      </c>
    </row>
    <row r="16" spans="1:15" ht="16.5" thickBot="1" x14ac:dyDescent="0.3">
      <c r="A16" s="1312"/>
      <c r="B16" s="1199"/>
      <c r="C16" s="1304"/>
      <c r="D16" s="164" t="s">
        <v>282</v>
      </c>
      <c r="E16" s="80">
        <v>53628</v>
      </c>
      <c r="F16" s="80">
        <v>56914</v>
      </c>
      <c r="G16" s="80">
        <v>54307</v>
      </c>
      <c r="H16" s="80">
        <v>59551</v>
      </c>
      <c r="I16" s="80">
        <v>58993</v>
      </c>
      <c r="J16" s="80">
        <v>57863</v>
      </c>
      <c r="K16" s="80">
        <v>59020</v>
      </c>
      <c r="L16" s="83">
        <v>62183</v>
      </c>
    </row>
    <row r="17" spans="1:13" ht="16.5" thickBot="1" x14ac:dyDescent="0.3">
      <c r="A17" s="1312"/>
      <c r="B17" s="1199"/>
      <c r="C17" s="1304"/>
      <c r="D17" s="164" t="s">
        <v>288</v>
      </c>
      <c r="E17" s="80">
        <v>19678</v>
      </c>
      <c r="F17" s="80">
        <v>19459</v>
      </c>
      <c r="G17" s="80">
        <v>19306</v>
      </c>
      <c r="H17" s="80">
        <v>19313</v>
      </c>
      <c r="I17" s="80">
        <v>19158</v>
      </c>
      <c r="J17" s="80">
        <v>19192</v>
      </c>
      <c r="K17" s="80">
        <v>19283</v>
      </c>
      <c r="L17" s="83">
        <v>19576</v>
      </c>
    </row>
    <row r="18" spans="1:13" ht="16.5" thickBot="1" x14ac:dyDescent="0.3">
      <c r="A18" s="1312"/>
      <c r="B18" s="1199"/>
      <c r="C18" s="1304"/>
      <c r="D18" s="164" t="s">
        <v>295</v>
      </c>
      <c r="E18" s="80">
        <v>6415</v>
      </c>
      <c r="F18" s="80">
        <v>7402</v>
      </c>
      <c r="G18" s="80">
        <v>8225</v>
      </c>
      <c r="H18" s="80">
        <v>7711</v>
      </c>
      <c r="I18" s="80">
        <v>7537</v>
      </c>
      <c r="J18" s="80">
        <v>7406</v>
      </c>
      <c r="K18" s="80">
        <v>7258</v>
      </c>
      <c r="L18" s="83">
        <v>7326</v>
      </c>
    </row>
    <row r="19" spans="1:13" ht="16.5" thickBot="1" x14ac:dyDescent="0.3">
      <c r="A19" s="1312"/>
      <c r="B19" s="1199"/>
      <c r="C19" s="1539"/>
      <c r="D19" s="456" t="s">
        <v>296</v>
      </c>
      <c r="E19" s="457">
        <v>4</v>
      </c>
      <c r="F19" s="457">
        <v>3</v>
      </c>
      <c r="G19" s="372">
        <v>0</v>
      </c>
      <c r="H19" s="372">
        <v>0</v>
      </c>
      <c r="I19" s="372">
        <v>0</v>
      </c>
      <c r="J19" s="372">
        <v>0</v>
      </c>
      <c r="K19" s="372">
        <v>0</v>
      </c>
      <c r="L19" s="373">
        <v>0</v>
      </c>
    </row>
    <row r="20" spans="1:13" ht="16.5" thickBot="1" x14ac:dyDescent="0.3">
      <c r="A20" s="1312"/>
      <c r="B20" s="1199"/>
      <c r="C20" s="1306" t="s">
        <v>269</v>
      </c>
      <c r="D20" s="168" t="s">
        <v>272</v>
      </c>
      <c r="E20" s="506">
        <f>E14-E8</f>
        <v>13472</v>
      </c>
      <c r="F20" s="506">
        <f t="shared" ref="F20:L20" si="2">F14-F8</f>
        <v>13737</v>
      </c>
      <c r="G20" s="506">
        <f t="shared" si="2"/>
        <v>14366</v>
      </c>
      <c r="H20" s="506">
        <f t="shared" si="2"/>
        <v>14597</v>
      </c>
      <c r="I20" s="506">
        <f t="shared" si="2"/>
        <v>14345</v>
      </c>
      <c r="J20" s="506">
        <f t="shared" si="2"/>
        <v>14161</v>
      </c>
      <c r="K20" s="506">
        <f t="shared" si="2"/>
        <v>14126</v>
      </c>
      <c r="L20" s="507">
        <f t="shared" si="2"/>
        <v>14067</v>
      </c>
      <c r="M20" s="64"/>
    </row>
    <row r="21" spans="1:13" ht="16.5" thickBot="1" x14ac:dyDescent="0.3">
      <c r="A21" s="1312"/>
      <c r="B21" s="1199"/>
      <c r="C21" s="1307"/>
      <c r="D21" s="163" t="s">
        <v>275</v>
      </c>
      <c r="E21" s="157">
        <f>E15-E9</f>
        <v>-535</v>
      </c>
      <c r="F21" s="157">
        <f t="shared" ref="E21:L24" si="3">F15-F9</f>
        <v>-411</v>
      </c>
      <c r="G21" s="157">
        <f t="shared" si="3"/>
        <v>-425</v>
      </c>
      <c r="H21" s="157">
        <f t="shared" si="3"/>
        <v>-408</v>
      </c>
      <c r="I21" s="157">
        <f t="shared" si="3"/>
        <v>-401</v>
      </c>
      <c r="J21" s="157">
        <f t="shared" si="3"/>
        <v>-425</v>
      </c>
      <c r="K21" s="157">
        <f t="shared" si="3"/>
        <v>-346</v>
      </c>
      <c r="L21" s="160">
        <f>L15-L9</f>
        <v>-286</v>
      </c>
      <c r="M21" s="64"/>
    </row>
    <row r="22" spans="1:13" ht="16.5" thickBot="1" x14ac:dyDescent="0.3">
      <c r="A22" s="1312"/>
      <c r="B22" s="1199"/>
      <c r="C22" s="1307"/>
      <c r="D22" s="163" t="s">
        <v>282</v>
      </c>
      <c r="E22" s="363">
        <f t="shared" si="3"/>
        <v>5784</v>
      </c>
      <c r="F22" s="363">
        <f t="shared" si="3"/>
        <v>6041</v>
      </c>
      <c r="G22" s="363">
        <f t="shared" si="3"/>
        <v>6793</v>
      </c>
      <c r="H22" s="363">
        <f t="shared" si="3"/>
        <v>7102</v>
      </c>
      <c r="I22" s="363">
        <f t="shared" si="3"/>
        <v>6724</v>
      </c>
      <c r="J22" s="363">
        <f t="shared" si="3"/>
        <v>6568</v>
      </c>
      <c r="K22" s="363">
        <f t="shared" si="3"/>
        <v>6434</v>
      </c>
      <c r="L22" s="365">
        <f t="shared" si="3"/>
        <v>6351</v>
      </c>
      <c r="M22" s="64"/>
    </row>
    <row r="23" spans="1:13" ht="16.5" thickBot="1" x14ac:dyDescent="0.3">
      <c r="A23" s="1312"/>
      <c r="B23" s="1199"/>
      <c r="C23" s="1307"/>
      <c r="D23" s="163" t="s">
        <v>288</v>
      </c>
      <c r="E23" s="363">
        <f t="shared" si="3"/>
        <v>8219</v>
      </c>
      <c r="F23" s="363">
        <f t="shared" si="3"/>
        <v>8104</v>
      </c>
      <c r="G23" s="363">
        <f t="shared" si="3"/>
        <v>7998</v>
      </c>
      <c r="H23" s="363">
        <f t="shared" si="3"/>
        <v>7903</v>
      </c>
      <c r="I23" s="363">
        <f t="shared" si="3"/>
        <v>8022</v>
      </c>
      <c r="J23" s="363">
        <f t="shared" si="3"/>
        <v>8018</v>
      </c>
      <c r="K23" s="363">
        <f t="shared" si="3"/>
        <v>8038</v>
      </c>
      <c r="L23" s="365">
        <f t="shared" si="3"/>
        <v>8002</v>
      </c>
      <c r="M23" s="64"/>
    </row>
    <row r="24" spans="1:13" ht="16.5" thickBot="1" x14ac:dyDescent="0.3">
      <c r="A24" s="1312"/>
      <c r="B24" s="1199"/>
      <c r="C24" s="1540"/>
      <c r="D24" s="458" t="s">
        <v>295</v>
      </c>
      <c r="E24" s="459">
        <f t="shared" si="3"/>
        <v>3479</v>
      </c>
      <c r="F24" s="459">
        <f t="shared" si="3"/>
        <v>3894</v>
      </c>
      <c r="G24" s="459">
        <f t="shared" si="3"/>
        <v>4276</v>
      </c>
      <c r="H24" s="459">
        <f t="shared" si="3"/>
        <v>4057</v>
      </c>
      <c r="I24" s="459">
        <f t="shared" si="3"/>
        <v>4084</v>
      </c>
      <c r="J24" s="459">
        <f t="shared" si="3"/>
        <v>4072</v>
      </c>
      <c r="K24" s="459">
        <f t="shared" si="3"/>
        <v>3958</v>
      </c>
      <c r="L24" s="460">
        <f t="shared" si="3"/>
        <v>4005</v>
      </c>
      <c r="M24" s="64"/>
    </row>
    <row r="25" spans="1:13" ht="16.5" thickBot="1" x14ac:dyDescent="0.3">
      <c r="A25" s="1312"/>
      <c r="B25" s="1199"/>
      <c r="C25" s="1265" t="s">
        <v>270</v>
      </c>
      <c r="D25" s="168" t="s">
        <v>272</v>
      </c>
      <c r="E25" s="384">
        <f>E14/E3*100</f>
        <v>54.455741825653845</v>
      </c>
      <c r="F25" s="384">
        <f t="shared" ref="F25:L25" si="4">F14/F3*100</f>
        <v>54.36020491725229</v>
      </c>
      <c r="G25" s="384">
        <f t="shared" si="4"/>
        <v>54.76136815590614</v>
      </c>
      <c r="H25" s="384">
        <f t="shared" si="4"/>
        <v>54.524433864598642</v>
      </c>
      <c r="I25" s="384">
        <f t="shared" si="4"/>
        <v>54.487047150748523</v>
      </c>
      <c r="J25" s="384">
        <f t="shared" si="4"/>
        <v>54.497468764490286</v>
      </c>
      <c r="K25" s="384">
        <f t="shared" si="4"/>
        <v>54.414319821002231</v>
      </c>
      <c r="L25" s="385">
        <f t="shared" si="4"/>
        <v>54.231669384096115</v>
      </c>
      <c r="M25" s="64"/>
    </row>
    <row r="26" spans="1:13" ht="16.5" thickBot="1" x14ac:dyDescent="0.3">
      <c r="A26" s="1312"/>
      <c r="B26" s="1199"/>
      <c r="C26" s="1360"/>
      <c r="D26" s="163" t="s">
        <v>275</v>
      </c>
      <c r="E26" s="491">
        <f>(E15/(E15+E9))*100</f>
        <v>48.488273523594231</v>
      </c>
      <c r="F26" s="491">
        <f t="shared" ref="F26:L27" si="5">(F15/(F15+F9))*100</f>
        <v>48.914019975690962</v>
      </c>
      <c r="G26" s="491">
        <f t="shared" si="5"/>
        <v>48.846675712347356</v>
      </c>
      <c r="H26" s="491">
        <f t="shared" si="5"/>
        <v>48.90263582571275</v>
      </c>
      <c r="I26" s="491">
        <f t="shared" si="5"/>
        <v>48.903952331492924</v>
      </c>
      <c r="J26" s="491">
        <f t="shared" si="5"/>
        <v>48.813445753531745</v>
      </c>
      <c r="K26" s="491">
        <f t="shared" si="5"/>
        <v>49.031788672487124</v>
      </c>
      <c r="L26" s="492">
        <f t="shared" si="5"/>
        <v>49.161093511674295</v>
      </c>
      <c r="M26" s="64"/>
    </row>
    <row r="27" spans="1:13" ht="16.5" thickBot="1" x14ac:dyDescent="0.3">
      <c r="A27" s="1312"/>
      <c r="B27" s="1199"/>
      <c r="C27" s="1360"/>
      <c r="D27" s="163" t="s">
        <v>282</v>
      </c>
      <c r="E27" s="364">
        <f>(E16/(E16+E10))*100</f>
        <v>52.850047303689685</v>
      </c>
      <c r="F27" s="364">
        <f t="shared" si="5"/>
        <v>52.802285989961682</v>
      </c>
      <c r="G27" s="364">
        <f t="shared" si="5"/>
        <v>53.335755885328176</v>
      </c>
      <c r="H27" s="364">
        <f t="shared" si="5"/>
        <v>53.17053571428572</v>
      </c>
      <c r="I27" s="364">
        <f t="shared" si="5"/>
        <v>53.021696536103967</v>
      </c>
      <c r="J27" s="364">
        <f t="shared" si="5"/>
        <v>53.008483116216865</v>
      </c>
      <c r="K27" s="364">
        <f t="shared" si="5"/>
        <v>52.882461516405932</v>
      </c>
      <c r="L27" s="386">
        <f t="shared" si="5"/>
        <v>52.69075964919714</v>
      </c>
      <c r="M27" s="64"/>
    </row>
    <row r="28" spans="1:13" ht="16.5" thickBot="1" x14ac:dyDescent="0.3">
      <c r="A28" s="1312"/>
      <c r="B28" s="1199"/>
      <c r="C28" s="1360"/>
      <c r="D28" s="163" t="s">
        <v>288</v>
      </c>
      <c r="E28" s="364">
        <f t="shared" ref="E28:L29" si="6">(E17/(E17+E11))*100</f>
        <v>63.198124417895109</v>
      </c>
      <c r="F28" s="364">
        <f t="shared" si="6"/>
        <v>63.149866943597068</v>
      </c>
      <c r="G28" s="364">
        <f t="shared" si="6"/>
        <v>63.062651074671713</v>
      </c>
      <c r="H28" s="364">
        <f t="shared" si="6"/>
        <v>62.861699703804966</v>
      </c>
      <c r="I28" s="364">
        <f t="shared" si="6"/>
        <v>63.240245593186771</v>
      </c>
      <c r="J28" s="364">
        <f t="shared" si="6"/>
        <v>63.202265691892244</v>
      </c>
      <c r="K28" s="364">
        <f t="shared" si="6"/>
        <v>63.164963312368968</v>
      </c>
      <c r="L28" s="386">
        <f>(L17/(L17+L11))*100</f>
        <v>62.84430176565008</v>
      </c>
      <c r="M28" s="64"/>
    </row>
    <row r="29" spans="1:13" ht="16.5" thickBot="1" x14ac:dyDescent="0.3">
      <c r="A29" s="1312"/>
      <c r="B29" s="1201"/>
      <c r="C29" s="1419"/>
      <c r="D29" s="458" t="s">
        <v>295</v>
      </c>
      <c r="E29" s="378">
        <f t="shared" si="6"/>
        <v>68.602288525291414</v>
      </c>
      <c r="F29" s="378">
        <f t="shared" si="6"/>
        <v>67.84601283226398</v>
      </c>
      <c r="G29" s="378">
        <f t="shared" si="6"/>
        <v>67.562017414161318</v>
      </c>
      <c r="H29" s="378">
        <f t="shared" si="6"/>
        <v>67.84865816102068</v>
      </c>
      <c r="I29" s="378">
        <f t="shared" si="6"/>
        <v>68.580527752502277</v>
      </c>
      <c r="J29" s="378">
        <f t="shared" si="6"/>
        <v>68.957169459962756</v>
      </c>
      <c r="K29" s="378">
        <f t="shared" si="6"/>
        <v>68.744080318242098</v>
      </c>
      <c r="L29" s="379">
        <f t="shared" si="6"/>
        <v>68.808114961961124</v>
      </c>
      <c r="M29" s="64"/>
    </row>
    <row r="30" spans="1:13" ht="17.25" thickTop="1" thickBot="1" x14ac:dyDescent="0.3">
      <c r="A30" s="1312"/>
      <c r="B30" s="577" t="s">
        <v>249</v>
      </c>
      <c r="C30" s="1589"/>
      <c r="D30" s="1589"/>
      <c r="E30" s="615">
        <v>2005</v>
      </c>
      <c r="F30" s="615">
        <v>2010</v>
      </c>
      <c r="G30" s="615">
        <v>2015</v>
      </c>
      <c r="H30" s="615">
        <v>2020</v>
      </c>
      <c r="I30" s="615">
        <v>2021</v>
      </c>
      <c r="J30" s="615">
        <v>2022</v>
      </c>
      <c r="K30" s="615">
        <v>2023</v>
      </c>
      <c r="L30" s="615">
        <v>2024</v>
      </c>
      <c r="M30" s="482"/>
    </row>
    <row r="31" spans="1:13" ht="16.5" thickBot="1" x14ac:dyDescent="0.3">
      <c r="A31" s="1312"/>
      <c r="B31" s="1198" t="s">
        <v>550</v>
      </c>
      <c r="C31" s="1210" t="s">
        <v>272</v>
      </c>
      <c r="D31" s="1541"/>
      <c r="E31" s="81">
        <v>29432</v>
      </c>
      <c r="F31" s="81">
        <v>34994</v>
      </c>
      <c r="G31" s="81">
        <v>25188</v>
      </c>
      <c r="H31" s="81">
        <v>32346</v>
      </c>
      <c r="I31" s="81">
        <v>32647</v>
      </c>
      <c r="J31" s="81">
        <v>31858</v>
      </c>
      <c r="K31" s="81">
        <v>34325</v>
      </c>
      <c r="L31" s="82">
        <f>L32+L33</f>
        <v>38980</v>
      </c>
    </row>
    <row r="32" spans="1:13" ht="16.5" thickBot="1" x14ac:dyDescent="0.3">
      <c r="A32" s="1312"/>
      <c r="B32" s="1199"/>
      <c r="C32" s="1148" t="s">
        <v>257</v>
      </c>
      <c r="D32" s="1124"/>
      <c r="E32" s="80">
        <v>14065</v>
      </c>
      <c r="F32" s="80">
        <v>16654</v>
      </c>
      <c r="G32" s="80">
        <v>11134</v>
      </c>
      <c r="H32" s="80">
        <v>14113</v>
      </c>
      <c r="I32" s="80">
        <v>14320</v>
      </c>
      <c r="J32" s="80">
        <v>14050</v>
      </c>
      <c r="K32" s="80">
        <v>15283</v>
      </c>
      <c r="L32" s="83">
        <v>17616</v>
      </c>
    </row>
    <row r="33" spans="1:12" ht="16.5" thickBot="1" x14ac:dyDescent="0.3">
      <c r="A33" s="1312"/>
      <c r="B33" s="1199"/>
      <c r="C33" s="1148" t="s">
        <v>263</v>
      </c>
      <c r="D33" s="1124"/>
      <c r="E33" s="80">
        <v>15367</v>
      </c>
      <c r="F33" s="80">
        <v>18340</v>
      </c>
      <c r="G33" s="80">
        <v>14054</v>
      </c>
      <c r="H33" s="80">
        <v>18233</v>
      </c>
      <c r="I33" s="80">
        <v>18327</v>
      </c>
      <c r="J33" s="80">
        <v>17808</v>
      </c>
      <c r="K33" s="80">
        <v>19042</v>
      </c>
      <c r="L33" s="83">
        <v>21364</v>
      </c>
    </row>
    <row r="34" spans="1:12" ht="16.5" thickBot="1" x14ac:dyDescent="0.3">
      <c r="A34" s="1312"/>
      <c r="B34" s="1199"/>
      <c r="C34" s="1190" t="s">
        <v>269</v>
      </c>
      <c r="D34" s="1112"/>
      <c r="E34" s="363">
        <f>+E33-E32</f>
        <v>1302</v>
      </c>
      <c r="F34" s="363">
        <f t="shared" ref="F34:L34" si="7">+F33-F32</f>
        <v>1686</v>
      </c>
      <c r="G34" s="363">
        <f t="shared" si="7"/>
        <v>2920</v>
      </c>
      <c r="H34" s="363">
        <f t="shared" si="7"/>
        <v>4120</v>
      </c>
      <c r="I34" s="363">
        <f t="shared" si="7"/>
        <v>4007</v>
      </c>
      <c r="J34" s="363">
        <f t="shared" si="7"/>
        <v>3758</v>
      </c>
      <c r="K34" s="363">
        <f t="shared" si="7"/>
        <v>3759</v>
      </c>
      <c r="L34" s="365">
        <f t="shared" si="7"/>
        <v>3748</v>
      </c>
    </row>
    <row r="35" spans="1:12" ht="16.5" thickBot="1" x14ac:dyDescent="0.3">
      <c r="A35" s="1312"/>
      <c r="B35" s="1201"/>
      <c r="C35" s="1177" t="s">
        <v>270</v>
      </c>
      <c r="D35" s="1178"/>
      <c r="E35" s="378">
        <f>E33/E31*100</f>
        <v>52.211878227779287</v>
      </c>
      <c r="F35" s="378">
        <f t="shared" ref="F35:K35" si="8">F33/F31*100</f>
        <v>52.408984397325256</v>
      </c>
      <c r="G35" s="378">
        <f t="shared" si="8"/>
        <v>55.796410989360012</v>
      </c>
      <c r="H35" s="378">
        <f t="shared" si="8"/>
        <v>56.368639089841089</v>
      </c>
      <c r="I35" s="378">
        <f t="shared" si="8"/>
        <v>56.136857904248473</v>
      </c>
      <c r="J35" s="378">
        <f t="shared" si="8"/>
        <v>55.898047586163599</v>
      </c>
      <c r="K35" s="378">
        <f t="shared" si="8"/>
        <v>55.475600873998545</v>
      </c>
      <c r="L35" s="379">
        <f>L33/L31*100</f>
        <v>54.807593637762949</v>
      </c>
    </row>
    <row r="36" spans="1:12" ht="15" customHeight="1" thickBot="1" x14ac:dyDescent="0.3">
      <c r="A36" s="1312"/>
      <c r="B36" s="1592" t="s">
        <v>342</v>
      </c>
      <c r="C36" s="1306" t="s">
        <v>343</v>
      </c>
      <c r="D36" s="1147"/>
      <c r="E36" s="195">
        <f>E37+E38</f>
        <v>7756</v>
      </c>
      <c r="F36" s="195">
        <f t="shared" ref="F36:K36" si="9">F37+F38</f>
        <v>7987</v>
      </c>
      <c r="G36" s="195">
        <f t="shared" si="9"/>
        <v>8443</v>
      </c>
      <c r="H36" s="195">
        <f t="shared" si="9"/>
        <v>8640</v>
      </c>
      <c r="I36" s="195">
        <f t="shared" si="9"/>
        <v>8703</v>
      </c>
      <c r="J36" s="195">
        <f t="shared" si="9"/>
        <v>8832</v>
      </c>
      <c r="K36" s="195">
        <f t="shared" si="9"/>
        <v>8939</v>
      </c>
      <c r="L36" s="196">
        <f>L37+L38</f>
        <v>9213</v>
      </c>
    </row>
    <row r="37" spans="1:12" ht="16.5" thickBot="1" x14ac:dyDescent="0.3">
      <c r="A37" s="1312"/>
      <c r="B37" s="1593"/>
      <c r="C37" s="1123" t="s">
        <v>344</v>
      </c>
      <c r="D37" s="1124"/>
      <c r="E37" s="80">
        <v>1384</v>
      </c>
      <c r="F37" s="80">
        <v>1586</v>
      </c>
      <c r="G37" s="80">
        <v>1875</v>
      </c>
      <c r="H37" s="80">
        <v>2040</v>
      </c>
      <c r="I37" s="80">
        <v>2029</v>
      </c>
      <c r="J37" s="80">
        <v>2086</v>
      </c>
      <c r="K37" s="80">
        <v>2152</v>
      </c>
      <c r="L37" s="83">
        <v>2303</v>
      </c>
    </row>
    <row r="38" spans="1:12" ht="16.5" thickBot="1" x14ac:dyDescent="0.3">
      <c r="A38" s="1312"/>
      <c r="B38" s="1593"/>
      <c r="C38" s="1123" t="s">
        <v>345</v>
      </c>
      <c r="D38" s="1124"/>
      <c r="E38" s="80">
        <v>6372</v>
      </c>
      <c r="F38" s="80">
        <v>6401</v>
      </c>
      <c r="G38" s="80">
        <v>6568</v>
      </c>
      <c r="H38" s="80">
        <v>6600</v>
      </c>
      <c r="I38" s="80">
        <v>6674</v>
      </c>
      <c r="J38" s="80">
        <v>6746</v>
      </c>
      <c r="K38" s="80">
        <v>6787</v>
      </c>
      <c r="L38" s="83">
        <v>6910</v>
      </c>
    </row>
    <row r="39" spans="1:12" ht="16.5" thickBot="1" x14ac:dyDescent="0.3">
      <c r="A39" s="1312"/>
      <c r="B39" s="1593"/>
      <c r="C39" s="1111" t="s">
        <v>269</v>
      </c>
      <c r="D39" s="1112"/>
      <c r="E39" s="157">
        <f>E38-E37</f>
        <v>4988</v>
      </c>
      <c r="F39" s="157">
        <f t="shared" ref="F39:L39" si="10">F38-F37</f>
        <v>4815</v>
      </c>
      <c r="G39" s="157">
        <f t="shared" si="10"/>
        <v>4693</v>
      </c>
      <c r="H39" s="157">
        <f t="shared" si="10"/>
        <v>4560</v>
      </c>
      <c r="I39" s="157">
        <f t="shared" si="10"/>
        <v>4645</v>
      </c>
      <c r="J39" s="157">
        <f t="shared" si="10"/>
        <v>4660</v>
      </c>
      <c r="K39" s="157">
        <f t="shared" si="10"/>
        <v>4635</v>
      </c>
      <c r="L39" s="160">
        <f t="shared" si="10"/>
        <v>4607</v>
      </c>
    </row>
    <row r="40" spans="1:12" ht="16.5" thickBot="1" x14ac:dyDescent="0.3">
      <c r="A40" s="1312"/>
      <c r="B40" s="1594"/>
      <c r="C40" s="1353" t="s">
        <v>346</v>
      </c>
      <c r="D40" s="1178"/>
      <c r="E40" s="165">
        <f t="shared" ref="E40:L40" si="11">E38/E36*100</f>
        <v>82.155750386797322</v>
      </c>
      <c r="F40" s="165">
        <f t="shared" si="11"/>
        <v>80.142731939401529</v>
      </c>
      <c r="G40" s="165">
        <f t="shared" si="11"/>
        <v>77.792253938173644</v>
      </c>
      <c r="H40" s="165">
        <f t="shared" si="11"/>
        <v>76.388888888888886</v>
      </c>
      <c r="I40" s="165">
        <f t="shared" si="11"/>
        <v>76.686200160864075</v>
      </c>
      <c r="J40" s="165">
        <f t="shared" si="11"/>
        <v>76.381340579710141</v>
      </c>
      <c r="K40" s="165">
        <f t="shared" si="11"/>
        <v>75.925718760487754</v>
      </c>
      <c r="L40" s="166">
        <f t="shared" si="11"/>
        <v>75.002713556930416</v>
      </c>
    </row>
    <row r="41" spans="1:12" x14ac:dyDescent="0.25">
      <c r="A41" s="1312"/>
      <c r="B41" s="1590" t="s">
        <v>551</v>
      </c>
      <c r="C41" s="1251" t="s">
        <v>348</v>
      </c>
      <c r="D41" s="1206"/>
      <c r="E41" s="195">
        <f t="shared" ref="E41:K41" si="12">E42+E43</f>
        <v>1056</v>
      </c>
      <c r="F41" s="195">
        <f t="shared" si="12"/>
        <v>1264</v>
      </c>
      <c r="G41" s="195">
        <f t="shared" si="12"/>
        <v>1388</v>
      </c>
      <c r="H41" s="195">
        <f t="shared" si="12"/>
        <v>1189</v>
      </c>
      <c r="I41" s="195">
        <f t="shared" si="12"/>
        <v>1222</v>
      </c>
      <c r="J41" s="195">
        <f t="shared" si="12"/>
        <v>1296</v>
      </c>
      <c r="K41" s="195">
        <f t="shared" si="12"/>
        <v>1323</v>
      </c>
      <c r="L41" s="196">
        <f>L42+L43</f>
        <v>1367</v>
      </c>
    </row>
    <row r="42" spans="1:12" x14ac:dyDescent="0.25">
      <c r="A42" s="1312"/>
      <c r="B42" s="1591"/>
      <c r="C42" s="1123" t="s">
        <v>349</v>
      </c>
      <c r="D42" s="1124"/>
      <c r="E42" s="80">
        <v>227</v>
      </c>
      <c r="F42" s="80">
        <v>222</v>
      </c>
      <c r="G42" s="80">
        <v>224</v>
      </c>
      <c r="H42" s="80">
        <v>201</v>
      </c>
      <c r="I42" s="80">
        <v>210</v>
      </c>
      <c r="J42" s="80">
        <v>202</v>
      </c>
      <c r="K42" s="80">
        <v>222</v>
      </c>
      <c r="L42" s="83">
        <v>226</v>
      </c>
    </row>
    <row r="43" spans="1:12" x14ac:dyDescent="0.25">
      <c r="A43" s="1312"/>
      <c r="B43" s="1591"/>
      <c r="C43" s="1123" t="s">
        <v>350</v>
      </c>
      <c r="D43" s="1124"/>
      <c r="E43" s="80">
        <v>829</v>
      </c>
      <c r="F43" s="80">
        <v>1042</v>
      </c>
      <c r="G43" s="80">
        <v>1164</v>
      </c>
      <c r="H43" s="80">
        <v>988</v>
      </c>
      <c r="I43" s="80">
        <v>1012</v>
      </c>
      <c r="J43" s="80">
        <v>1094</v>
      </c>
      <c r="K43" s="80">
        <v>1101</v>
      </c>
      <c r="L43" s="83">
        <v>1141</v>
      </c>
    </row>
    <row r="44" spans="1:12" x14ac:dyDescent="0.25">
      <c r="A44" s="1312"/>
      <c r="B44" s="1591"/>
      <c r="C44" s="1111" t="s">
        <v>269</v>
      </c>
      <c r="D44" s="1112"/>
      <c r="E44" s="157">
        <f t="shared" ref="E44:L44" si="13">E43-E42</f>
        <v>602</v>
      </c>
      <c r="F44" s="157">
        <f t="shared" si="13"/>
        <v>820</v>
      </c>
      <c r="G44" s="157">
        <f t="shared" si="13"/>
        <v>940</v>
      </c>
      <c r="H44" s="157">
        <f t="shared" si="13"/>
        <v>787</v>
      </c>
      <c r="I44" s="157">
        <f t="shared" si="13"/>
        <v>802</v>
      </c>
      <c r="J44" s="157">
        <f t="shared" si="13"/>
        <v>892</v>
      </c>
      <c r="K44" s="157">
        <f t="shared" si="13"/>
        <v>879</v>
      </c>
      <c r="L44" s="160">
        <f t="shared" si="13"/>
        <v>915</v>
      </c>
    </row>
    <row r="45" spans="1:12" ht="16.5" thickBot="1" x14ac:dyDescent="0.3">
      <c r="A45" s="1312"/>
      <c r="B45" s="1591"/>
      <c r="C45" s="1353" t="s">
        <v>351</v>
      </c>
      <c r="D45" s="1178"/>
      <c r="E45" s="165">
        <f t="shared" ref="E45:L45" si="14">E43/E41*100</f>
        <v>78.503787878787875</v>
      </c>
      <c r="F45" s="165">
        <f t="shared" si="14"/>
        <v>82.436708860759495</v>
      </c>
      <c r="G45" s="165">
        <f t="shared" si="14"/>
        <v>83.861671469740628</v>
      </c>
      <c r="H45" s="165">
        <f t="shared" si="14"/>
        <v>83.095037846930197</v>
      </c>
      <c r="I45" s="165">
        <f t="shared" si="14"/>
        <v>82.815057283142394</v>
      </c>
      <c r="J45" s="165">
        <f t="shared" si="14"/>
        <v>84.413580246913583</v>
      </c>
      <c r="K45" s="165">
        <f t="shared" si="14"/>
        <v>83.21995464852607</v>
      </c>
      <c r="L45" s="166">
        <f t="shared" si="14"/>
        <v>83.467446964155073</v>
      </c>
    </row>
    <row r="46" spans="1:12" ht="16.5" thickBot="1" x14ac:dyDescent="0.3">
      <c r="A46" s="727" t="s">
        <v>248</v>
      </c>
      <c r="B46" s="738" t="s">
        <v>249</v>
      </c>
      <c r="C46" s="1422"/>
      <c r="D46" s="1422"/>
      <c r="E46" s="616">
        <v>2005</v>
      </c>
      <c r="F46" s="616">
        <v>2010</v>
      </c>
      <c r="G46" s="616">
        <v>2015</v>
      </c>
      <c r="H46" s="616">
        <v>2020</v>
      </c>
      <c r="I46" s="616">
        <v>2021</v>
      </c>
      <c r="J46" s="616">
        <v>2022</v>
      </c>
      <c r="K46" s="616">
        <v>2023</v>
      </c>
      <c r="L46" s="616">
        <v>2024</v>
      </c>
    </row>
    <row r="47" spans="1:12" s="64" customFormat="1" x14ac:dyDescent="0.25">
      <c r="A47" s="1478" t="s">
        <v>38</v>
      </c>
      <c r="B47" s="1219" t="s">
        <v>352</v>
      </c>
      <c r="C47" s="1306" t="s">
        <v>251</v>
      </c>
      <c r="D47" s="1147"/>
      <c r="E47" s="195">
        <v>4954</v>
      </c>
      <c r="F47" s="195">
        <v>10927</v>
      </c>
      <c r="G47" s="195">
        <v>10583</v>
      </c>
      <c r="H47" s="195">
        <v>9801</v>
      </c>
      <c r="I47" s="195">
        <v>10059</v>
      </c>
      <c r="J47" s="195">
        <v>6792</v>
      </c>
      <c r="K47" s="195">
        <v>6750</v>
      </c>
      <c r="L47" s="82">
        <v>6589</v>
      </c>
    </row>
    <row r="48" spans="1:12" x14ac:dyDescent="0.25">
      <c r="A48" s="1479"/>
      <c r="B48" s="1220"/>
      <c r="C48" s="1123" t="s">
        <v>257</v>
      </c>
      <c r="D48" s="1124"/>
      <c r="E48" s="96">
        <v>2126</v>
      </c>
      <c r="F48" s="96">
        <v>5596</v>
      </c>
      <c r="G48" s="96">
        <v>5100</v>
      </c>
      <c r="H48" s="96">
        <v>4321</v>
      </c>
      <c r="I48" s="96">
        <v>4391</v>
      </c>
      <c r="J48" s="96">
        <v>2896</v>
      </c>
      <c r="K48" s="96">
        <v>2828</v>
      </c>
      <c r="L48" s="83">
        <v>2833</v>
      </c>
    </row>
    <row r="49" spans="1:12" x14ac:dyDescent="0.25">
      <c r="A49" s="1479"/>
      <c r="B49" s="1220"/>
      <c r="C49" s="1123" t="s">
        <v>263</v>
      </c>
      <c r="D49" s="1124"/>
      <c r="E49" s="96">
        <v>2828</v>
      </c>
      <c r="F49" s="96">
        <v>5331</v>
      </c>
      <c r="G49" s="96">
        <v>5483</v>
      </c>
      <c r="H49" s="96">
        <v>5480</v>
      </c>
      <c r="I49" s="96">
        <v>5668</v>
      </c>
      <c r="J49" s="96">
        <v>3896</v>
      </c>
      <c r="K49" s="96">
        <v>3922</v>
      </c>
      <c r="L49" s="83">
        <v>3756</v>
      </c>
    </row>
    <row r="50" spans="1:12" x14ac:dyDescent="0.25">
      <c r="A50" s="1479"/>
      <c r="B50" s="1220"/>
      <c r="C50" s="1111" t="s">
        <v>353</v>
      </c>
      <c r="D50" s="1112"/>
      <c r="E50" s="157">
        <f t="shared" ref="E50:L50" si="15">+E49-E48</f>
        <v>702</v>
      </c>
      <c r="F50" s="363">
        <f t="shared" si="15"/>
        <v>-265</v>
      </c>
      <c r="G50" s="157">
        <f t="shared" si="15"/>
        <v>383</v>
      </c>
      <c r="H50" s="157">
        <f t="shared" si="15"/>
        <v>1159</v>
      </c>
      <c r="I50" s="157">
        <f t="shared" si="15"/>
        <v>1277</v>
      </c>
      <c r="J50" s="157">
        <f t="shared" si="15"/>
        <v>1000</v>
      </c>
      <c r="K50" s="157">
        <f t="shared" si="15"/>
        <v>1094</v>
      </c>
      <c r="L50" s="160">
        <f t="shared" si="15"/>
        <v>923</v>
      </c>
    </row>
    <row r="51" spans="1:12" ht="16.5" thickBot="1" x14ac:dyDescent="0.3">
      <c r="A51" s="1479"/>
      <c r="B51" s="1221"/>
      <c r="C51" s="1353" t="s">
        <v>270</v>
      </c>
      <c r="D51" s="1178"/>
      <c r="E51" s="165">
        <f>E49/E47*100</f>
        <v>57.085183689947513</v>
      </c>
      <c r="F51" s="165">
        <f t="shared" ref="F51:L51" si="16">F49/F47*100</f>
        <v>48.787407339617459</v>
      </c>
      <c r="G51" s="165">
        <f t="shared" si="16"/>
        <v>51.809505811206655</v>
      </c>
      <c r="H51" s="165">
        <f t="shared" si="16"/>
        <v>55.91266197326803</v>
      </c>
      <c r="I51" s="165">
        <f t="shared" si="16"/>
        <v>56.347549458196646</v>
      </c>
      <c r="J51" s="165">
        <f t="shared" si="16"/>
        <v>57.361601884570078</v>
      </c>
      <c r="K51" s="165">
        <f t="shared" si="16"/>
        <v>58.103703703703701</v>
      </c>
      <c r="L51" s="166">
        <f t="shared" si="16"/>
        <v>57.004097738655332</v>
      </c>
    </row>
    <row r="52" spans="1:12" s="64" customFormat="1" x14ac:dyDescent="0.25">
      <c r="A52" s="1480"/>
      <c r="B52" s="1313" t="s">
        <v>146</v>
      </c>
      <c r="C52" s="1306" t="s">
        <v>251</v>
      </c>
      <c r="D52" s="1147"/>
      <c r="E52" s="40"/>
      <c r="F52" s="40"/>
      <c r="G52" s="40"/>
      <c r="H52" s="40">
        <v>9.23</v>
      </c>
      <c r="I52" s="40">
        <v>7.7</v>
      </c>
      <c r="J52" s="40">
        <v>5.98</v>
      </c>
      <c r="K52" s="40">
        <v>5.68</v>
      </c>
      <c r="L52" s="38">
        <v>5.16</v>
      </c>
    </row>
    <row r="53" spans="1:12" x14ac:dyDescent="0.25">
      <c r="A53" s="1480"/>
      <c r="B53" s="1313"/>
      <c r="C53" s="1123" t="s">
        <v>257</v>
      </c>
      <c r="D53" s="1124"/>
      <c r="E53" s="28"/>
      <c r="F53" s="28"/>
      <c r="G53" s="28"/>
      <c r="H53" s="28">
        <v>8.76</v>
      </c>
      <c r="I53" s="28">
        <v>7.17</v>
      </c>
      <c r="J53" s="28">
        <v>5.45</v>
      </c>
      <c r="K53" s="28">
        <v>5.17</v>
      </c>
      <c r="L53" s="39">
        <v>4.72</v>
      </c>
    </row>
    <row r="54" spans="1:12" x14ac:dyDescent="0.25">
      <c r="A54" s="1480"/>
      <c r="B54" s="1313"/>
      <c r="C54" s="1553" t="s">
        <v>263</v>
      </c>
      <c r="D54" s="1223"/>
      <c r="E54" s="28"/>
      <c r="F54" s="28"/>
      <c r="G54" s="28"/>
      <c r="H54" s="28">
        <v>9.64</v>
      </c>
      <c r="I54" s="28">
        <v>8.18</v>
      </c>
      <c r="J54" s="28">
        <v>6.44</v>
      </c>
      <c r="K54" s="28">
        <v>6.12</v>
      </c>
      <c r="L54" s="39">
        <v>5.55</v>
      </c>
    </row>
    <row r="55" spans="1:12" s="64" customFormat="1" ht="16.5" thickBot="1" x14ac:dyDescent="0.3">
      <c r="A55" s="1480"/>
      <c r="B55" s="1596"/>
      <c r="C55" s="1277" t="s">
        <v>354</v>
      </c>
      <c r="D55" s="1142"/>
      <c r="E55" s="336"/>
      <c r="F55" s="336"/>
      <c r="G55" s="336"/>
      <c r="H55" s="423">
        <f>+H54-H53</f>
        <v>0.88000000000000078</v>
      </c>
      <c r="I55" s="423">
        <f>+I54-I53</f>
        <v>1.0099999999999998</v>
      </c>
      <c r="J55" s="423">
        <f>+J54-J53</f>
        <v>0.99000000000000021</v>
      </c>
      <c r="K55" s="423">
        <f>+K54-K53</f>
        <v>0.95000000000000018</v>
      </c>
      <c r="L55" s="212">
        <f>+L54-L53</f>
        <v>0.83000000000000007</v>
      </c>
    </row>
    <row r="56" spans="1:12" s="64" customFormat="1" x14ac:dyDescent="0.25">
      <c r="A56" s="1480"/>
      <c r="B56" s="1597" t="s">
        <v>151</v>
      </c>
      <c r="C56" s="1265" t="s">
        <v>251</v>
      </c>
      <c r="D56" s="1317"/>
      <c r="E56" s="40"/>
      <c r="F56" s="40"/>
      <c r="G56" s="40"/>
      <c r="H56" s="195">
        <v>681</v>
      </c>
      <c r="I56" s="195">
        <v>701</v>
      </c>
      <c r="J56" s="195">
        <v>1268</v>
      </c>
      <c r="K56" s="195">
        <v>784</v>
      </c>
      <c r="L56" s="325"/>
    </row>
    <row r="57" spans="1:12" x14ac:dyDescent="0.25">
      <c r="A57" s="1480"/>
      <c r="B57" s="1598"/>
      <c r="C57" s="1301" t="s">
        <v>257</v>
      </c>
      <c r="D57" s="1230"/>
      <c r="E57" s="28"/>
      <c r="F57" s="28"/>
      <c r="G57" s="28"/>
      <c r="H57" s="96">
        <v>227</v>
      </c>
      <c r="I57" s="96">
        <v>253</v>
      </c>
      <c r="J57" s="96">
        <v>359</v>
      </c>
      <c r="K57" s="96">
        <v>283</v>
      </c>
      <c r="L57" s="21"/>
    </row>
    <row r="58" spans="1:12" x14ac:dyDescent="0.25">
      <c r="A58" s="1480"/>
      <c r="B58" s="1598"/>
      <c r="C58" s="1123" t="s">
        <v>263</v>
      </c>
      <c r="D58" s="1124"/>
      <c r="E58" s="28"/>
      <c r="F58" s="28"/>
      <c r="G58" s="28"/>
      <c r="H58" s="96">
        <v>454</v>
      </c>
      <c r="I58" s="96">
        <v>448</v>
      </c>
      <c r="J58" s="96">
        <v>909</v>
      </c>
      <c r="K58" s="96">
        <v>501</v>
      </c>
      <c r="L58" s="21"/>
    </row>
    <row r="59" spans="1:12" x14ac:dyDescent="0.25">
      <c r="A59" s="1480"/>
      <c r="B59" s="1598"/>
      <c r="C59" s="1111" t="s">
        <v>353</v>
      </c>
      <c r="D59" s="1112"/>
      <c r="E59" s="28"/>
      <c r="F59" s="28"/>
      <c r="G59" s="28"/>
      <c r="H59" s="44">
        <f>+H58-H57</f>
        <v>227</v>
      </c>
      <c r="I59" s="44">
        <f>+I58-I57</f>
        <v>195</v>
      </c>
      <c r="J59" s="44">
        <f>+J58-J57</f>
        <v>550</v>
      </c>
      <c r="K59" s="44">
        <f>+K58-K57</f>
        <v>218</v>
      </c>
      <c r="L59" s="21"/>
    </row>
    <row r="60" spans="1:12" x14ac:dyDescent="0.25">
      <c r="A60" s="1480"/>
      <c r="B60" s="1599"/>
      <c r="C60" s="1353" t="s">
        <v>270</v>
      </c>
      <c r="D60" s="1178"/>
      <c r="E60" s="110"/>
      <c r="F60" s="110"/>
      <c r="G60" s="110"/>
      <c r="H60" s="165">
        <f>H58/H56*100</f>
        <v>66.666666666666657</v>
      </c>
      <c r="I60" s="165">
        <f>I58/I56*100</f>
        <v>63.908701854493579</v>
      </c>
      <c r="J60" s="165">
        <f>J58/J56*100</f>
        <v>71.687697160883275</v>
      </c>
      <c r="K60" s="165">
        <f>K58/K56*100</f>
        <v>63.903061224489797</v>
      </c>
      <c r="L60" s="53"/>
    </row>
    <row r="61" spans="1:12" ht="16.5" thickBot="1" x14ac:dyDescent="0.3">
      <c r="A61" s="1479"/>
      <c r="B61" s="463" t="s">
        <v>249</v>
      </c>
      <c r="C61" s="1422"/>
      <c r="D61" s="1422"/>
      <c r="E61" s="616"/>
      <c r="F61" s="616">
        <v>2011</v>
      </c>
      <c r="G61" s="616"/>
      <c r="H61" s="616"/>
      <c r="I61" s="616">
        <v>2021</v>
      </c>
      <c r="J61" s="616"/>
      <c r="K61" s="616"/>
      <c r="L61" s="616"/>
    </row>
    <row r="62" spans="1:12" x14ac:dyDescent="0.25">
      <c r="A62" s="1479"/>
      <c r="B62" s="1219" t="s">
        <v>156</v>
      </c>
      <c r="C62" s="1533" t="s">
        <v>355</v>
      </c>
      <c r="D62" s="207" t="s">
        <v>251</v>
      </c>
      <c r="E62" s="612"/>
      <c r="F62" s="81">
        <v>68165</v>
      </c>
      <c r="G62" s="103"/>
      <c r="H62" s="103"/>
      <c r="I62" s="81">
        <v>72018</v>
      </c>
      <c r="J62" s="36"/>
      <c r="K62" s="36"/>
      <c r="L62" s="20"/>
    </row>
    <row r="63" spans="1:12" ht="15" customHeight="1" x14ac:dyDescent="0.25">
      <c r="A63" s="1479"/>
      <c r="B63" s="1220"/>
      <c r="C63" s="1344"/>
      <c r="D63" s="28" t="s">
        <v>257</v>
      </c>
      <c r="E63" s="94"/>
      <c r="F63" s="80">
        <v>32010</v>
      </c>
      <c r="G63" s="95"/>
      <c r="H63" s="95"/>
      <c r="I63" s="80">
        <v>34893</v>
      </c>
      <c r="J63" s="28"/>
      <c r="K63" s="28"/>
      <c r="L63" s="21"/>
    </row>
    <row r="64" spans="1:12" ht="16.5" thickBot="1" x14ac:dyDescent="0.3">
      <c r="A64" s="1479"/>
      <c r="B64" s="1220"/>
      <c r="C64" s="1345"/>
      <c r="D64" s="33" t="s">
        <v>263</v>
      </c>
      <c r="E64" s="104"/>
      <c r="F64" s="267">
        <v>36155</v>
      </c>
      <c r="G64" s="468"/>
      <c r="H64" s="468"/>
      <c r="I64" s="267">
        <v>37128</v>
      </c>
      <c r="J64" s="33"/>
      <c r="K64" s="33"/>
      <c r="L64" s="22"/>
    </row>
    <row r="65" spans="1:12" hidden="1" x14ac:dyDescent="0.25">
      <c r="A65" s="1479"/>
      <c r="B65" s="1220"/>
      <c r="C65" s="1535" t="s">
        <v>356</v>
      </c>
      <c r="D65" s="241" t="s">
        <v>251</v>
      </c>
      <c r="E65" s="242"/>
      <c r="F65" s="243">
        <v>485</v>
      </c>
      <c r="G65" s="467"/>
      <c r="H65" s="467"/>
      <c r="I65" s="220"/>
      <c r="J65" s="122"/>
      <c r="K65" s="122"/>
      <c r="L65" s="122"/>
    </row>
    <row r="66" spans="1:12" hidden="1" x14ac:dyDescent="0.25">
      <c r="A66" s="1479"/>
      <c r="B66" s="1220"/>
      <c r="C66" s="1117"/>
      <c r="D66" s="28" t="s">
        <v>257</v>
      </c>
      <c r="E66" s="94"/>
      <c r="F66" s="80">
        <v>450</v>
      </c>
      <c r="G66" s="95"/>
      <c r="H66" s="95"/>
      <c r="I66" s="96"/>
      <c r="J66" s="28"/>
      <c r="K66" s="28"/>
      <c r="L66" s="28"/>
    </row>
    <row r="67" spans="1:12" hidden="1" x14ac:dyDescent="0.25">
      <c r="A67" s="1479"/>
      <c r="B67" s="1220"/>
      <c r="C67" s="1117"/>
      <c r="D67" s="28" t="s">
        <v>263</v>
      </c>
      <c r="E67" s="94"/>
      <c r="F67" s="80">
        <v>40</v>
      </c>
      <c r="G67" s="95"/>
      <c r="H67" s="95"/>
      <c r="I67" s="96"/>
      <c r="J67" s="28"/>
      <c r="K67" s="28"/>
      <c r="L67" s="28"/>
    </row>
    <row r="68" spans="1:12" hidden="1" x14ac:dyDescent="0.25">
      <c r="A68" s="1479"/>
      <c r="B68" s="1220"/>
      <c r="C68" s="1117"/>
      <c r="D68" s="28" t="s">
        <v>357</v>
      </c>
      <c r="E68" s="94"/>
      <c r="F68" s="97">
        <f>F67/F65*100</f>
        <v>8.2474226804123703</v>
      </c>
      <c r="G68" s="94"/>
      <c r="H68" s="94"/>
      <c r="I68" s="28"/>
      <c r="J68" s="28"/>
      <c r="K68" s="28"/>
      <c r="L68" s="28"/>
    </row>
    <row r="69" spans="1:12" ht="14.85" hidden="1" customHeight="1" x14ac:dyDescent="0.25">
      <c r="A69" s="1479"/>
      <c r="B69" s="1220"/>
      <c r="C69" s="1117" t="s">
        <v>358</v>
      </c>
      <c r="D69" s="144" t="s">
        <v>251</v>
      </c>
      <c r="E69" s="94"/>
      <c r="F69" s="80">
        <v>800</v>
      </c>
      <c r="G69" s="80"/>
      <c r="H69" s="80"/>
      <c r="I69" s="80">
        <v>213</v>
      </c>
      <c r="J69" s="28"/>
      <c r="K69" s="28"/>
      <c r="L69" s="28"/>
    </row>
    <row r="70" spans="1:12" hidden="1" x14ac:dyDescent="0.25">
      <c r="A70" s="1479"/>
      <c r="B70" s="1220"/>
      <c r="C70" s="1117"/>
      <c r="D70" s="28" t="s">
        <v>257</v>
      </c>
      <c r="E70" s="94"/>
      <c r="F70" s="80">
        <v>700</v>
      </c>
      <c r="G70" s="80"/>
      <c r="H70" s="80"/>
      <c r="I70" s="80">
        <v>135</v>
      </c>
      <c r="J70" s="28"/>
      <c r="K70" s="28"/>
      <c r="L70" s="28"/>
    </row>
    <row r="71" spans="1:12" hidden="1" x14ac:dyDescent="0.25">
      <c r="A71" s="1479"/>
      <c r="B71" s="1220"/>
      <c r="C71" s="1117"/>
      <c r="D71" s="28" t="s">
        <v>263</v>
      </c>
      <c r="E71" s="94"/>
      <c r="F71" s="80">
        <v>105</v>
      </c>
      <c r="G71" s="80"/>
      <c r="H71" s="80"/>
      <c r="I71" s="80">
        <v>81</v>
      </c>
      <c r="J71" s="28"/>
      <c r="K71" s="28"/>
      <c r="L71" s="28"/>
    </row>
    <row r="72" spans="1:12" hidden="1" x14ac:dyDescent="0.25">
      <c r="A72" s="1479"/>
      <c r="B72" s="1220"/>
      <c r="C72" s="1117"/>
      <c r="D72" s="28" t="s">
        <v>357</v>
      </c>
      <c r="E72" s="94"/>
      <c r="F72" s="97">
        <f>F71/F69*100</f>
        <v>13.125</v>
      </c>
      <c r="G72" s="94"/>
      <c r="H72" s="94"/>
      <c r="I72" s="97">
        <f>I71/I69*100</f>
        <v>38.028169014084504</v>
      </c>
      <c r="J72" s="28"/>
      <c r="K72" s="28"/>
      <c r="L72" s="28"/>
    </row>
    <row r="73" spans="1:12" ht="14.85" hidden="1" customHeight="1" x14ac:dyDescent="0.25">
      <c r="A73" s="1479"/>
      <c r="B73" s="1220"/>
      <c r="C73" s="1117" t="s">
        <v>359</v>
      </c>
      <c r="D73" s="144" t="s">
        <v>251</v>
      </c>
      <c r="E73" s="94"/>
      <c r="F73" s="80">
        <v>1405</v>
      </c>
      <c r="G73" s="80"/>
      <c r="H73" s="80"/>
      <c r="I73" s="80">
        <v>1734</v>
      </c>
      <c r="J73" s="28"/>
      <c r="K73" s="28"/>
      <c r="L73" s="28"/>
    </row>
    <row r="74" spans="1:12" hidden="1" x14ac:dyDescent="0.25">
      <c r="A74" s="1479"/>
      <c r="B74" s="1220"/>
      <c r="C74" s="1117"/>
      <c r="D74" s="28" t="s">
        <v>257</v>
      </c>
      <c r="E74" s="94"/>
      <c r="F74" s="80">
        <v>925</v>
      </c>
      <c r="G74" s="80"/>
      <c r="H74" s="80"/>
      <c r="I74" s="80">
        <v>1035</v>
      </c>
      <c r="J74" s="28"/>
      <c r="K74" s="28"/>
      <c r="L74" s="28"/>
    </row>
    <row r="75" spans="1:12" hidden="1" x14ac:dyDescent="0.25">
      <c r="A75" s="1479"/>
      <c r="B75" s="1220"/>
      <c r="C75" s="1117"/>
      <c r="D75" s="28" t="s">
        <v>263</v>
      </c>
      <c r="E75" s="94"/>
      <c r="F75" s="80">
        <v>480</v>
      </c>
      <c r="G75" s="80"/>
      <c r="H75" s="80"/>
      <c r="I75" s="80">
        <v>699</v>
      </c>
      <c r="J75" s="28"/>
      <c r="K75" s="28"/>
      <c r="L75" s="28"/>
    </row>
    <row r="76" spans="1:12" hidden="1" x14ac:dyDescent="0.25">
      <c r="A76" s="1479"/>
      <c r="B76" s="1220"/>
      <c r="C76" s="1117"/>
      <c r="D76" s="28" t="s">
        <v>357</v>
      </c>
      <c r="E76" s="94"/>
      <c r="F76" s="97">
        <f>F75/F73*100</f>
        <v>34.163701067615662</v>
      </c>
      <c r="G76" s="94"/>
      <c r="H76" s="94"/>
      <c r="I76" s="98">
        <f>I75/I73*100</f>
        <v>40.311418685121112</v>
      </c>
      <c r="J76" s="28"/>
      <c r="K76" s="28"/>
      <c r="L76" s="28"/>
    </row>
    <row r="77" spans="1:12" ht="14.85" hidden="1" customHeight="1" x14ac:dyDescent="0.25">
      <c r="A77" s="1479"/>
      <c r="B77" s="1220"/>
      <c r="C77" s="1117" t="s">
        <v>360</v>
      </c>
      <c r="D77" s="144" t="s">
        <v>251</v>
      </c>
      <c r="E77" s="94"/>
      <c r="F77" s="80">
        <v>1535</v>
      </c>
      <c r="G77" s="80"/>
      <c r="H77" s="80"/>
      <c r="I77" s="80">
        <v>474</v>
      </c>
      <c r="J77" s="28"/>
      <c r="K77" s="28"/>
      <c r="L77" s="28"/>
    </row>
    <row r="78" spans="1:12" hidden="1" x14ac:dyDescent="0.25">
      <c r="A78" s="1479"/>
      <c r="B78" s="1220"/>
      <c r="C78" s="1117"/>
      <c r="D78" s="28" t="s">
        <v>257</v>
      </c>
      <c r="E78" s="94"/>
      <c r="F78" s="80">
        <v>1080</v>
      </c>
      <c r="G78" s="80"/>
      <c r="H78" s="80"/>
      <c r="I78" s="80">
        <v>315</v>
      </c>
      <c r="J78" s="28"/>
      <c r="K78" s="28"/>
      <c r="L78" s="28"/>
    </row>
    <row r="79" spans="1:12" hidden="1" x14ac:dyDescent="0.25">
      <c r="A79" s="1479"/>
      <c r="B79" s="1220"/>
      <c r="C79" s="1117"/>
      <c r="D79" s="28" t="s">
        <v>263</v>
      </c>
      <c r="E79" s="94"/>
      <c r="F79" s="80">
        <v>455</v>
      </c>
      <c r="G79" s="80"/>
      <c r="H79" s="80"/>
      <c r="I79" s="80">
        <v>159</v>
      </c>
      <c r="J79" s="28"/>
      <c r="K79" s="28"/>
      <c r="L79" s="28"/>
    </row>
    <row r="80" spans="1:12" hidden="1" x14ac:dyDescent="0.25">
      <c r="A80" s="1479"/>
      <c r="B80" s="1220"/>
      <c r="C80" s="1117"/>
      <c r="D80" s="28" t="s">
        <v>357</v>
      </c>
      <c r="E80" s="94"/>
      <c r="F80" s="97">
        <f>F79/F77*100</f>
        <v>29.641693811074919</v>
      </c>
      <c r="G80" s="94"/>
      <c r="H80" s="94"/>
      <c r="I80" s="97">
        <f>I79/I77*100</f>
        <v>33.544303797468359</v>
      </c>
      <c r="J80" s="28"/>
      <c r="K80" s="28"/>
      <c r="L80" s="28"/>
    </row>
    <row r="81" spans="1:12" ht="14.85" hidden="1" customHeight="1" x14ac:dyDescent="0.25">
      <c r="A81" s="1479"/>
      <c r="B81" s="1220"/>
      <c r="C81" s="1117" t="s">
        <v>361</v>
      </c>
      <c r="D81" s="144" t="s">
        <v>251</v>
      </c>
      <c r="E81" s="94"/>
      <c r="F81" s="80">
        <v>285</v>
      </c>
      <c r="G81" s="80"/>
      <c r="H81" s="80"/>
      <c r="I81" s="80">
        <v>330</v>
      </c>
      <c r="J81" s="28"/>
      <c r="K81" s="28"/>
      <c r="L81" s="28"/>
    </row>
    <row r="82" spans="1:12" hidden="1" x14ac:dyDescent="0.25">
      <c r="A82" s="1479"/>
      <c r="B82" s="1220"/>
      <c r="C82" s="1117"/>
      <c r="D82" s="28" t="s">
        <v>257</v>
      </c>
      <c r="E82" s="94"/>
      <c r="F82" s="80">
        <v>175</v>
      </c>
      <c r="G82" s="80"/>
      <c r="H82" s="80"/>
      <c r="I82" s="80">
        <v>183</v>
      </c>
      <c r="J82" s="28"/>
      <c r="K82" s="28"/>
      <c r="L82" s="28"/>
    </row>
    <row r="83" spans="1:12" hidden="1" x14ac:dyDescent="0.25">
      <c r="A83" s="1479"/>
      <c r="B83" s="1220"/>
      <c r="C83" s="1117"/>
      <c r="D83" s="28" t="s">
        <v>263</v>
      </c>
      <c r="E83" s="94"/>
      <c r="F83" s="80">
        <v>110</v>
      </c>
      <c r="G83" s="80"/>
      <c r="H83" s="80"/>
      <c r="I83" s="80">
        <v>147</v>
      </c>
      <c r="J83" s="28"/>
      <c r="K83" s="28"/>
      <c r="L83" s="28"/>
    </row>
    <row r="84" spans="1:12" hidden="1" x14ac:dyDescent="0.25">
      <c r="A84" s="1479"/>
      <c r="B84" s="1220"/>
      <c r="C84" s="1117"/>
      <c r="D84" s="28" t="s">
        <v>357</v>
      </c>
      <c r="E84" s="94"/>
      <c r="F84" s="97">
        <f>(F83/F81)*100</f>
        <v>38.596491228070171</v>
      </c>
      <c r="G84" s="94"/>
      <c r="H84" s="94"/>
      <c r="I84" s="98">
        <f>I83/I81*100</f>
        <v>44.545454545454547</v>
      </c>
      <c r="J84" s="28"/>
      <c r="K84" s="28"/>
      <c r="L84" s="28"/>
    </row>
    <row r="85" spans="1:12" ht="14.85" hidden="1" customHeight="1" x14ac:dyDescent="0.25">
      <c r="A85" s="1479"/>
      <c r="B85" s="1220"/>
      <c r="C85" s="1117" t="s">
        <v>362</v>
      </c>
      <c r="D85" s="144" t="s">
        <v>251</v>
      </c>
      <c r="E85" s="94"/>
      <c r="F85" s="80">
        <v>190</v>
      </c>
      <c r="G85" s="80"/>
      <c r="H85" s="80"/>
      <c r="I85" s="80">
        <v>420</v>
      </c>
      <c r="J85" s="28"/>
      <c r="K85" s="28"/>
      <c r="L85" s="28"/>
    </row>
    <row r="86" spans="1:12" ht="15" hidden="1" customHeight="1" x14ac:dyDescent="0.25">
      <c r="A86" s="1479"/>
      <c r="B86" s="1220"/>
      <c r="C86" s="1117"/>
      <c r="D86" s="28" t="s">
        <v>257</v>
      </c>
      <c r="E86" s="94"/>
      <c r="F86" s="80">
        <v>65</v>
      </c>
      <c r="G86" s="80"/>
      <c r="H86" s="80"/>
      <c r="I86" s="80">
        <v>264</v>
      </c>
      <c r="J86" s="28"/>
      <c r="K86" s="28"/>
      <c r="L86" s="28"/>
    </row>
    <row r="87" spans="1:12" hidden="1" x14ac:dyDescent="0.25">
      <c r="A87" s="1479"/>
      <c r="B87" s="1220"/>
      <c r="C87" s="1117"/>
      <c r="D87" s="28" t="s">
        <v>263</v>
      </c>
      <c r="E87" s="94"/>
      <c r="F87" s="80">
        <v>125</v>
      </c>
      <c r="G87" s="80"/>
      <c r="H87" s="80"/>
      <c r="I87" s="80">
        <v>156</v>
      </c>
      <c r="J87" s="28"/>
      <c r="K87" s="28"/>
      <c r="L87" s="28"/>
    </row>
    <row r="88" spans="1:12" hidden="1" x14ac:dyDescent="0.25">
      <c r="A88" s="1479"/>
      <c r="B88" s="1220"/>
      <c r="C88" s="1117"/>
      <c r="D88" s="28" t="s">
        <v>357</v>
      </c>
      <c r="E88" s="94"/>
      <c r="F88" s="99">
        <f>(F87/F85)*100</f>
        <v>65.789473684210535</v>
      </c>
      <c r="G88" s="94"/>
      <c r="H88" s="94"/>
      <c r="I88" s="97">
        <f>I87/I85*100</f>
        <v>37.142857142857146</v>
      </c>
      <c r="J88" s="28"/>
      <c r="K88" s="28"/>
      <c r="L88" s="28"/>
    </row>
    <row r="89" spans="1:12" hidden="1" x14ac:dyDescent="0.25">
      <c r="A89" s="1479"/>
      <c r="B89" s="1220"/>
      <c r="C89" s="1117" t="s">
        <v>363</v>
      </c>
      <c r="D89" s="144" t="s">
        <v>251</v>
      </c>
      <c r="E89" s="94"/>
      <c r="F89" s="80">
        <v>3105</v>
      </c>
      <c r="G89" s="80"/>
      <c r="H89" s="80"/>
      <c r="I89" s="80">
        <v>3069</v>
      </c>
      <c r="J89" s="28"/>
      <c r="K89" s="28"/>
      <c r="L89" s="28"/>
    </row>
    <row r="90" spans="1:12" hidden="1" x14ac:dyDescent="0.25">
      <c r="A90" s="1479"/>
      <c r="B90" s="1220"/>
      <c r="C90" s="1117"/>
      <c r="D90" s="28" t="s">
        <v>257</v>
      </c>
      <c r="E90" s="94"/>
      <c r="F90" s="80">
        <v>825</v>
      </c>
      <c r="G90" s="80"/>
      <c r="H90" s="80"/>
      <c r="I90" s="80">
        <v>822</v>
      </c>
      <c r="J90" s="28"/>
      <c r="K90" s="28"/>
      <c r="L90" s="28"/>
    </row>
    <row r="91" spans="1:12" hidden="1" x14ac:dyDescent="0.25">
      <c r="A91" s="1479"/>
      <c r="B91" s="1220"/>
      <c r="C91" s="1117"/>
      <c r="D91" s="28" t="s">
        <v>263</v>
      </c>
      <c r="E91" s="94"/>
      <c r="F91" s="80">
        <v>2280</v>
      </c>
      <c r="G91" s="80"/>
      <c r="H91" s="80"/>
      <c r="I91" s="80">
        <v>2247</v>
      </c>
      <c r="J91" s="28"/>
      <c r="K91" s="28"/>
      <c r="L91" s="28"/>
    </row>
    <row r="92" spans="1:12" hidden="1" x14ac:dyDescent="0.25">
      <c r="A92" s="1479"/>
      <c r="B92" s="1220"/>
      <c r="C92" s="1117"/>
      <c r="D92" s="28" t="s">
        <v>357</v>
      </c>
      <c r="E92" s="94"/>
      <c r="F92" s="99">
        <f>(F91/F89)*100</f>
        <v>73.429951690821255</v>
      </c>
      <c r="G92" s="94"/>
      <c r="H92" s="94"/>
      <c r="I92" s="99">
        <f>I91/I89*100</f>
        <v>73.216031280547412</v>
      </c>
      <c r="J92" s="28"/>
      <c r="K92" s="28"/>
      <c r="L92" s="28"/>
    </row>
    <row r="93" spans="1:12" ht="14.85" hidden="1" customHeight="1" x14ac:dyDescent="0.25">
      <c r="A93" s="1479"/>
      <c r="B93" s="1220"/>
      <c r="C93" s="1117" t="s">
        <v>364</v>
      </c>
      <c r="D93" s="144" t="s">
        <v>251</v>
      </c>
      <c r="E93" s="94"/>
      <c r="F93" s="80">
        <v>3215</v>
      </c>
      <c r="G93" s="80"/>
      <c r="H93" s="80"/>
      <c r="I93" s="80">
        <v>3213</v>
      </c>
      <c r="J93" s="28"/>
      <c r="K93" s="28"/>
      <c r="L93" s="28"/>
    </row>
    <row r="94" spans="1:12" ht="14.85" hidden="1" customHeight="1" x14ac:dyDescent="0.25">
      <c r="A94" s="1479"/>
      <c r="B94" s="1220"/>
      <c r="C94" s="1117"/>
      <c r="D94" s="28" t="s">
        <v>257</v>
      </c>
      <c r="E94" s="94"/>
      <c r="F94" s="80">
        <v>1310</v>
      </c>
      <c r="G94" s="80"/>
      <c r="H94" s="80"/>
      <c r="I94" s="80">
        <v>1164</v>
      </c>
      <c r="J94" s="28"/>
      <c r="K94" s="28"/>
      <c r="L94" s="28"/>
    </row>
    <row r="95" spans="1:12" hidden="1" x14ac:dyDescent="0.25">
      <c r="A95" s="1479"/>
      <c r="B95" s="1220"/>
      <c r="C95" s="1117"/>
      <c r="D95" s="28" t="s">
        <v>263</v>
      </c>
      <c r="E95" s="94"/>
      <c r="F95" s="80">
        <v>1905</v>
      </c>
      <c r="G95" s="80"/>
      <c r="H95" s="80"/>
      <c r="I95" s="80">
        <v>2049</v>
      </c>
      <c r="J95" s="28"/>
      <c r="K95" s="28"/>
      <c r="L95" s="28"/>
    </row>
    <row r="96" spans="1:12" hidden="1" x14ac:dyDescent="0.25">
      <c r="A96" s="1479"/>
      <c r="B96" s="1220"/>
      <c r="C96" s="1117"/>
      <c r="D96" s="28" t="s">
        <v>357</v>
      </c>
      <c r="E96" s="94"/>
      <c r="F96" s="98">
        <f>(F95/F93)*100</f>
        <v>59.253499222395021</v>
      </c>
      <c r="G96" s="94"/>
      <c r="H96" s="94"/>
      <c r="I96" s="99">
        <f>I95/I93*100</f>
        <v>63.772175536881413</v>
      </c>
      <c r="J96" s="28"/>
      <c r="K96" s="28"/>
      <c r="L96" s="28"/>
    </row>
    <row r="97" spans="1:12" ht="14.85" hidden="1" customHeight="1" x14ac:dyDescent="0.25">
      <c r="A97" s="1479"/>
      <c r="B97" s="1220"/>
      <c r="C97" s="1117" t="s">
        <v>365</v>
      </c>
      <c r="D97" s="144" t="s">
        <v>251</v>
      </c>
      <c r="E97" s="94"/>
      <c r="F97" s="80">
        <v>815</v>
      </c>
      <c r="G97" s="80"/>
      <c r="H97" s="80"/>
      <c r="I97" s="80">
        <v>966</v>
      </c>
      <c r="J97" s="28"/>
      <c r="K97" s="28"/>
      <c r="L97" s="28"/>
    </row>
    <row r="98" spans="1:12" hidden="1" x14ac:dyDescent="0.25">
      <c r="A98" s="1479"/>
      <c r="B98" s="1220"/>
      <c r="C98" s="1117"/>
      <c r="D98" s="28" t="s">
        <v>257</v>
      </c>
      <c r="E98" s="94"/>
      <c r="F98" s="80">
        <v>290</v>
      </c>
      <c r="G98" s="80"/>
      <c r="H98" s="80"/>
      <c r="I98" s="80">
        <v>384</v>
      </c>
      <c r="J98" s="28"/>
      <c r="K98" s="28"/>
      <c r="L98" s="28"/>
    </row>
    <row r="99" spans="1:12" hidden="1" x14ac:dyDescent="0.25">
      <c r="A99" s="1479"/>
      <c r="B99" s="1220"/>
      <c r="C99" s="1117"/>
      <c r="D99" s="28" t="s">
        <v>263</v>
      </c>
      <c r="E99" s="94"/>
      <c r="F99" s="80">
        <v>525</v>
      </c>
      <c r="G99" s="80"/>
      <c r="H99" s="80"/>
      <c r="I99" s="80">
        <v>585</v>
      </c>
      <c r="J99" s="28"/>
      <c r="K99" s="28"/>
      <c r="L99" s="28"/>
    </row>
    <row r="100" spans="1:12" hidden="1" x14ac:dyDescent="0.25">
      <c r="A100" s="1479"/>
      <c r="B100" s="1220"/>
      <c r="C100" s="1117"/>
      <c r="D100" s="28" t="s">
        <v>357</v>
      </c>
      <c r="E100" s="94"/>
      <c r="F100" s="99">
        <f>(F99/F97)*100</f>
        <v>64.417177914110425</v>
      </c>
      <c r="G100" s="94"/>
      <c r="H100" s="94"/>
      <c r="I100" s="99">
        <f>I99/I97*100</f>
        <v>60.559006211180119</v>
      </c>
      <c r="J100" s="28"/>
      <c r="K100" s="28"/>
      <c r="L100" s="28"/>
    </row>
    <row r="101" spans="1:12" ht="14.85" hidden="1" customHeight="1" x14ac:dyDescent="0.25">
      <c r="A101" s="1479"/>
      <c r="B101" s="1220"/>
      <c r="C101" s="1117" t="s">
        <v>366</v>
      </c>
      <c r="D101" s="144" t="s">
        <v>251</v>
      </c>
      <c r="E101" s="94"/>
      <c r="F101" s="80">
        <v>5295</v>
      </c>
      <c r="G101" s="80"/>
      <c r="H101" s="80"/>
      <c r="I101" s="80">
        <v>3837</v>
      </c>
      <c r="J101" s="28"/>
      <c r="K101" s="28"/>
      <c r="L101" s="28"/>
    </row>
    <row r="102" spans="1:12" hidden="1" x14ac:dyDescent="0.25">
      <c r="A102" s="1479"/>
      <c r="B102" s="1220"/>
      <c r="C102" s="1117"/>
      <c r="D102" s="28" t="s">
        <v>257</v>
      </c>
      <c r="E102" s="94"/>
      <c r="F102" s="80">
        <v>3450</v>
      </c>
      <c r="G102" s="80"/>
      <c r="H102" s="80"/>
      <c r="I102" s="80">
        <v>2412</v>
      </c>
      <c r="J102" s="28"/>
      <c r="K102" s="28"/>
      <c r="L102" s="28"/>
    </row>
    <row r="103" spans="1:12" hidden="1" x14ac:dyDescent="0.25">
      <c r="A103" s="1479"/>
      <c r="B103" s="1220"/>
      <c r="C103" s="1117"/>
      <c r="D103" s="28" t="s">
        <v>263</v>
      </c>
      <c r="E103" s="94"/>
      <c r="F103" s="80">
        <v>1845</v>
      </c>
      <c r="G103" s="80"/>
      <c r="H103" s="80"/>
      <c r="I103" s="80">
        <v>1428</v>
      </c>
      <c r="J103" s="28"/>
      <c r="K103" s="28"/>
      <c r="L103" s="28"/>
    </row>
    <row r="104" spans="1:12" hidden="1" x14ac:dyDescent="0.25">
      <c r="A104" s="1479"/>
      <c r="B104" s="1220"/>
      <c r="C104" s="1117"/>
      <c r="D104" s="28" t="s">
        <v>357</v>
      </c>
      <c r="E104" s="94"/>
      <c r="F104" s="97">
        <f>(F103/F101)*100</f>
        <v>34.844192634560905</v>
      </c>
      <c r="G104" s="94"/>
      <c r="H104" s="94"/>
      <c r="I104" s="97">
        <f>I103/I101*100</f>
        <v>37.21657544956998</v>
      </c>
      <c r="J104" s="28"/>
      <c r="K104" s="28"/>
      <c r="L104" s="28"/>
    </row>
    <row r="105" spans="1:12" hidden="1" x14ac:dyDescent="0.25">
      <c r="A105" s="1479"/>
      <c r="B105" s="1220"/>
      <c r="C105" s="1117" t="s">
        <v>367</v>
      </c>
      <c r="D105" s="144" t="s">
        <v>251</v>
      </c>
      <c r="E105" s="94"/>
      <c r="F105" s="80">
        <v>1455</v>
      </c>
      <c r="G105" s="80"/>
      <c r="H105" s="80"/>
      <c r="I105" s="80">
        <v>1656</v>
      </c>
      <c r="J105" s="96"/>
      <c r="K105" s="28"/>
      <c r="L105" s="28"/>
    </row>
    <row r="106" spans="1:12" hidden="1" x14ac:dyDescent="0.25">
      <c r="A106" s="1479"/>
      <c r="B106" s="1220"/>
      <c r="C106" s="1117"/>
      <c r="D106" s="28" t="s">
        <v>257</v>
      </c>
      <c r="E106" s="94"/>
      <c r="F106" s="80">
        <v>700</v>
      </c>
      <c r="G106" s="80"/>
      <c r="H106" s="80"/>
      <c r="I106" s="80">
        <v>771</v>
      </c>
      <c r="J106" s="96"/>
      <c r="K106" s="28"/>
      <c r="L106" s="28"/>
    </row>
    <row r="107" spans="1:12" hidden="1" x14ac:dyDescent="0.25">
      <c r="A107" s="1479"/>
      <c r="B107" s="1220"/>
      <c r="C107" s="1117"/>
      <c r="D107" s="28" t="s">
        <v>263</v>
      </c>
      <c r="E107" s="94"/>
      <c r="F107" s="80">
        <v>755</v>
      </c>
      <c r="G107" s="80"/>
      <c r="H107" s="80"/>
      <c r="I107" s="80">
        <v>882</v>
      </c>
      <c r="J107" s="96"/>
      <c r="K107" s="28"/>
      <c r="L107" s="28"/>
    </row>
    <row r="108" spans="1:12" hidden="1" x14ac:dyDescent="0.25">
      <c r="A108" s="1479"/>
      <c r="B108" s="1220"/>
      <c r="C108" s="1117"/>
      <c r="D108" s="28" t="s">
        <v>357</v>
      </c>
      <c r="E108" s="94"/>
      <c r="F108" s="98">
        <f>(F107/F105)*100</f>
        <v>51.890034364261176</v>
      </c>
      <c r="G108" s="94"/>
      <c r="H108" s="94"/>
      <c r="I108" s="98">
        <f>I107/I105*100</f>
        <v>53.260869565217398</v>
      </c>
      <c r="J108" s="96"/>
      <c r="K108" s="28"/>
      <c r="L108" s="28"/>
    </row>
    <row r="109" spans="1:12" ht="14.85" hidden="1" customHeight="1" x14ac:dyDescent="0.25">
      <c r="A109" s="1479"/>
      <c r="B109" s="1220"/>
      <c r="C109" s="1117" t="s">
        <v>368</v>
      </c>
      <c r="D109" s="144" t="s">
        <v>251</v>
      </c>
      <c r="E109" s="94"/>
      <c r="F109" s="80">
        <v>3060</v>
      </c>
      <c r="G109" s="80"/>
      <c r="H109" s="80"/>
      <c r="I109" s="80">
        <v>4551</v>
      </c>
      <c r="J109" s="96"/>
      <c r="K109" s="28"/>
      <c r="L109" s="28"/>
    </row>
    <row r="110" spans="1:12" hidden="1" x14ac:dyDescent="0.25">
      <c r="A110" s="1479"/>
      <c r="B110" s="1220"/>
      <c r="C110" s="1117"/>
      <c r="D110" s="28" t="s">
        <v>257</v>
      </c>
      <c r="E110" s="94"/>
      <c r="F110" s="80">
        <v>1245</v>
      </c>
      <c r="G110" s="80"/>
      <c r="H110" s="80"/>
      <c r="I110" s="80">
        <v>2151</v>
      </c>
      <c r="J110" s="96"/>
      <c r="K110" s="28"/>
      <c r="L110" s="28"/>
    </row>
    <row r="111" spans="1:12" hidden="1" x14ac:dyDescent="0.25">
      <c r="A111" s="1479"/>
      <c r="B111" s="1220"/>
      <c r="C111" s="1117"/>
      <c r="D111" s="28" t="s">
        <v>263</v>
      </c>
      <c r="E111" s="94"/>
      <c r="F111" s="80">
        <v>1815</v>
      </c>
      <c r="G111" s="80"/>
      <c r="H111" s="80"/>
      <c r="I111" s="80">
        <v>2400</v>
      </c>
      <c r="J111" s="96"/>
      <c r="K111" s="28"/>
      <c r="L111" s="28"/>
    </row>
    <row r="112" spans="1:12" hidden="1" x14ac:dyDescent="0.25">
      <c r="A112" s="1479"/>
      <c r="B112" s="1220"/>
      <c r="C112" s="1117"/>
      <c r="D112" s="28" t="s">
        <v>357</v>
      </c>
      <c r="E112" s="94"/>
      <c r="F112" s="98">
        <f>(F111/F109)*100</f>
        <v>59.313725490196077</v>
      </c>
      <c r="G112" s="94"/>
      <c r="H112" s="94"/>
      <c r="I112" s="98">
        <f>I111/I109*100</f>
        <v>52.735662491760053</v>
      </c>
      <c r="J112" s="96"/>
      <c r="K112" s="28"/>
      <c r="L112" s="28"/>
    </row>
    <row r="113" spans="1:12" ht="14.85" hidden="1" customHeight="1" x14ac:dyDescent="0.25">
      <c r="A113" s="1479"/>
      <c r="B113" s="1220"/>
      <c r="C113" s="1117" t="s">
        <v>369</v>
      </c>
      <c r="D113" s="144" t="s">
        <v>251</v>
      </c>
      <c r="E113" s="94"/>
      <c r="F113" s="80">
        <v>1760</v>
      </c>
      <c r="G113" s="80"/>
      <c r="H113" s="80"/>
      <c r="I113" s="80">
        <v>2352</v>
      </c>
      <c r="J113" s="96"/>
      <c r="K113" s="28"/>
      <c r="L113" s="28"/>
    </row>
    <row r="114" spans="1:12" hidden="1" x14ac:dyDescent="0.25">
      <c r="A114" s="1479"/>
      <c r="B114" s="1220"/>
      <c r="C114" s="1117"/>
      <c r="D114" s="28" t="s">
        <v>257</v>
      </c>
      <c r="E114" s="94"/>
      <c r="F114" s="80">
        <v>1100</v>
      </c>
      <c r="G114" s="80"/>
      <c r="H114" s="80"/>
      <c r="I114" s="80">
        <v>1674</v>
      </c>
      <c r="J114" s="96"/>
      <c r="K114" s="28"/>
      <c r="L114" s="28"/>
    </row>
    <row r="115" spans="1:12" hidden="1" x14ac:dyDescent="0.25">
      <c r="A115" s="1479"/>
      <c r="B115" s="1220"/>
      <c r="C115" s="1117"/>
      <c r="D115" s="28" t="s">
        <v>263</v>
      </c>
      <c r="E115" s="94"/>
      <c r="F115" s="80">
        <v>660</v>
      </c>
      <c r="G115" s="80"/>
      <c r="H115" s="80"/>
      <c r="I115" s="80">
        <v>678</v>
      </c>
      <c r="J115" s="96"/>
      <c r="K115" s="28"/>
      <c r="L115" s="28"/>
    </row>
    <row r="116" spans="1:12" hidden="1" x14ac:dyDescent="0.25">
      <c r="A116" s="1479"/>
      <c r="B116" s="1220"/>
      <c r="C116" s="1117"/>
      <c r="D116" s="28" t="s">
        <v>357</v>
      </c>
      <c r="E116" s="94"/>
      <c r="F116" s="97">
        <f>(F115/F113)*100</f>
        <v>37.5</v>
      </c>
      <c r="G116" s="94"/>
      <c r="H116" s="94"/>
      <c r="I116" s="97">
        <f>I115/I113*100</f>
        <v>28.826530612244898</v>
      </c>
      <c r="J116" s="96"/>
      <c r="K116" s="28"/>
      <c r="L116" s="28"/>
    </row>
    <row r="117" spans="1:12" ht="14.85" hidden="1" customHeight="1" x14ac:dyDescent="0.25">
      <c r="A117" s="1479"/>
      <c r="B117" s="1220"/>
      <c r="C117" s="1117" t="s">
        <v>370</v>
      </c>
      <c r="D117" s="144" t="s">
        <v>251</v>
      </c>
      <c r="E117" s="94"/>
      <c r="F117" s="80">
        <v>1715</v>
      </c>
      <c r="G117" s="80"/>
      <c r="H117" s="80"/>
      <c r="I117" s="80">
        <v>954</v>
      </c>
      <c r="J117" s="96"/>
      <c r="K117" s="28"/>
      <c r="L117" s="28"/>
    </row>
    <row r="118" spans="1:12" hidden="1" x14ac:dyDescent="0.25">
      <c r="A118" s="1479"/>
      <c r="B118" s="1220"/>
      <c r="C118" s="1117"/>
      <c r="D118" s="28" t="s">
        <v>257</v>
      </c>
      <c r="E118" s="94"/>
      <c r="F118" s="80">
        <v>790</v>
      </c>
      <c r="G118" s="80"/>
      <c r="H118" s="80"/>
      <c r="I118" s="80">
        <v>306</v>
      </c>
      <c r="J118" s="96"/>
      <c r="K118" s="28"/>
      <c r="L118" s="28"/>
    </row>
    <row r="119" spans="1:12" hidden="1" x14ac:dyDescent="0.25">
      <c r="A119" s="1479"/>
      <c r="B119" s="1220"/>
      <c r="C119" s="1117"/>
      <c r="D119" s="28" t="s">
        <v>263</v>
      </c>
      <c r="E119" s="94"/>
      <c r="F119" s="80">
        <v>930</v>
      </c>
      <c r="G119" s="80"/>
      <c r="H119" s="80"/>
      <c r="I119" s="80">
        <v>648</v>
      </c>
      <c r="J119" s="96"/>
      <c r="K119" s="28"/>
      <c r="L119" s="28"/>
    </row>
    <row r="120" spans="1:12" hidden="1" x14ac:dyDescent="0.25">
      <c r="A120" s="1479"/>
      <c r="B120" s="1220"/>
      <c r="C120" s="1117"/>
      <c r="D120" s="28" t="s">
        <v>357</v>
      </c>
      <c r="E120" s="94"/>
      <c r="F120" s="98">
        <f>(F119/F117)*100</f>
        <v>54.227405247813408</v>
      </c>
      <c r="G120" s="94"/>
      <c r="H120" s="94"/>
      <c r="I120" s="99">
        <f>I119/I117*100</f>
        <v>67.924528301886795</v>
      </c>
      <c r="J120" s="96"/>
      <c r="K120" s="28"/>
      <c r="L120" s="28"/>
    </row>
    <row r="121" spans="1:12" ht="14.85" hidden="1" customHeight="1" x14ac:dyDescent="0.25">
      <c r="A121" s="1479"/>
      <c r="B121" s="1220"/>
      <c r="C121" s="1117" t="s">
        <v>371</v>
      </c>
      <c r="D121" s="144" t="s">
        <v>251</v>
      </c>
      <c r="E121" s="94"/>
      <c r="F121" s="80">
        <v>80</v>
      </c>
      <c r="G121" s="80"/>
      <c r="H121" s="80"/>
      <c r="I121" s="80">
        <v>1239</v>
      </c>
      <c r="J121" s="96"/>
      <c r="K121" s="28"/>
      <c r="L121" s="28"/>
    </row>
    <row r="122" spans="1:12" hidden="1" x14ac:dyDescent="0.25">
      <c r="A122" s="1479"/>
      <c r="B122" s="1220"/>
      <c r="C122" s="1117"/>
      <c r="D122" s="28" t="s">
        <v>257</v>
      </c>
      <c r="E122" s="94"/>
      <c r="F122" s="80">
        <v>35</v>
      </c>
      <c r="G122" s="80"/>
      <c r="H122" s="80"/>
      <c r="I122" s="80">
        <v>591</v>
      </c>
      <c r="J122" s="96"/>
      <c r="K122" s="28"/>
      <c r="L122" s="28"/>
    </row>
    <row r="123" spans="1:12" hidden="1" x14ac:dyDescent="0.25">
      <c r="A123" s="1479"/>
      <c r="B123" s="1220"/>
      <c r="C123" s="1117"/>
      <c r="D123" s="28" t="s">
        <v>263</v>
      </c>
      <c r="E123" s="94"/>
      <c r="F123" s="80">
        <v>40</v>
      </c>
      <c r="G123" s="80"/>
      <c r="H123" s="80"/>
      <c r="I123" s="80">
        <v>648</v>
      </c>
      <c r="J123" s="96"/>
      <c r="K123" s="28"/>
      <c r="L123" s="28"/>
    </row>
    <row r="124" spans="1:12" hidden="1" x14ac:dyDescent="0.25">
      <c r="A124" s="1479"/>
      <c r="B124" s="1220"/>
      <c r="C124" s="1117"/>
      <c r="D124" s="28" t="s">
        <v>357</v>
      </c>
      <c r="E124" s="94"/>
      <c r="F124" s="98">
        <f>(F123/F121)*100</f>
        <v>50</v>
      </c>
      <c r="G124" s="94"/>
      <c r="H124" s="94"/>
      <c r="I124" s="98">
        <f>I123/I121*100</f>
        <v>52.300242130750604</v>
      </c>
      <c r="J124" s="96"/>
      <c r="K124" s="28"/>
      <c r="L124" s="28"/>
    </row>
    <row r="125" spans="1:12" ht="14.85" hidden="1" customHeight="1" x14ac:dyDescent="0.25">
      <c r="A125" s="1479"/>
      <c r="B125" s="1220"/>
      <c r="C125" s="1117" t="s">
        <v>372</v>
      </c>
      <c r="D125" s="144" t="s">
        <v>251</v>
      </c>
      <c r="E125" s="94"/>
      <c r="F125" s="80">
        <v>1640</v>
      </c>
      <c r="G125" s="80"/>
      <c r="H125" s="80"/>
      <c r="I125" s="80">
        <v>1080</v>
      </c>
      <c r="J125" s="96"/>
      <c r="K125" s="28"/>
      <c r="L125" s="28"/>
    </row>
    <row r="126" spans="1:12" ht="14.85" hidden="1" customHeight="1" x14ac:dyDescent="0.25">
      <c r="A126" s="1479"/>
      <c r="B126" s="1220"/>
      <c r="C126" s="1117"/>
      <c r="D126" s="28" t="s">
        <v>257</v>
      </c>
      <c r="E126" s="94"/>
      <c r="F126" s="80">
        <v>1200</v>
      </c>
      <c r="G126" s="80"/>
      <c r="H126" s="80"/>
      <c r="I126" s="80">
        <v>690</v>
      </c>
      <c r="J126" s="96"/>
      <c r="K126" s="28"/>
      <c r="L126" s="28"/>
    </row>
    <row r="127" spans="1:12" hidden="1" x14ac:dyDescent="0.25">
      <c r="A127" s="1479"/>
      <c r="B127" s="1220"/>
      <c r="C127" s="1117"/>
      <c r="D127" s="28" t="s">
        <v>263</v>
      </c>
      <c r="E127" s="94"/>
      <c r="F127" s="80">
        <v>440</v>
      </c>
      <c r="G127" s="80"/>
      <c r="H127" s="80"/>
      <c r="I127" s="80">
        <v>387</v>
      </c>
      <c r="J127" s="96"/>
      <c r="K127" s="28"/>
      <c r="L127" s="28"/>
    </row>
    <row r="128" spans="1:12" hidden="1" x14ac:dyDescent="0.25">
      <c r="A128" s="1479"/>
      <c r="B128" s="1220"/>
      <c r="C128" s="1117"/>
      <c r="D128" s="28" t="s">
        <v>357</v>
      </c>
      <c r="E128" s="94"/>
      <c r="F128" s="97">
        <f>(F127/F125)*100</f>
        <v>26.829268292682929</v>
      </c>
      <c r="G128" s="94"/>
      <c r="H128" s="94"/>
      <c r="I128" s="97">
        <f>I127/I125*100</f>
        <v>35.833333333333336</v>
      </c>
      <c r="J128" s="96"/>
      <c r="K128" s="28"/>
      <c r="L128" s="28"/>
    </row>
    <row r="129" spans="1:12" ht="14.85" hidden="1" customHeight="1" x14ac:dyDescent="0.25">
      <c r="A129" s="1479"/>
      <c r="B129" s="1220"/>
      <c r="C129" s="1117" t="s">
        <v>373</v>
      </c>
      <c r="D129" s="144" t="s">
        <v>251</v>
      </c>
      <c r="E129" s="94"/>
      <c r="F129" s="80">
        <v>330</v>
      </c>
      <c r="G129" s="80"/>
      <c r="H129" s="80"/>
      <c r="I129" s="80">
        <v>156</v>
      </c>
      <c r="J129" s="96"/>
      <c r="K129" s="28"/>
      <c r="L129" s="28"/>
    </row>
    <row r="130" spans="1:12" hidden="1" x14ac:dyDescent="0.25">
      <c r="A130" s="1479"/>
      <c r="B130" s="1220"/>
      <c r="C130" s="1117"/>
      <c r="D130" s="28" t="s">
        <v>257</v>
      </c>
      <c r="E130" s="94"/>
      <c r="F130" s="80">
        <v>220</v>
      </c>
      <c r="G130" s="80"/>
      <c r="H130" s="80"/>
      <c r="I130" s="80">
        <v>126</v>
      </c>
      <c r="J130" s="96"/>
      <c r="K130" s="28"/>
      <c r="L130" s="28"/>
    </row>
    <row r="131" spans="1:12" hidden="1" x14ac:dyDescent="0.25">
      <c r="A131" s="1479"/>
      <c r="B131" s="1220"/>
      <c r="C131" s="1117"/>
      <c r="D131" s="28" t="s">
        <v>263</v>
      </c>
      <c r="E131" s="94"/>
      <c r="F131" s="80">
        <v>110</v>
      </c>
      <c r="G131" s="80"/>
      <c r="H131" s="80"/>
      <c r="I131" s="80">
        <v>33</v>
      </c>
      <c r="J131" s="96"/>
      <c r="K131" s="28"/>
      <c r="L131" s="28"/>
    </row>
    <row r="132" spans="1:12" hidden="1" x14ac:dyDescent="0.25">
      <c r="A132" s="1479"/>
      <c r="B132" s="1220"/>
      <c r="C132" s="1117"/>
      <c r="D132" s="28" t="s">
        <v>357</v>
      </c>
      <c r="E132" s="94"/>
      <c r="F132" s="97">
        <f>(F131/F129)*100</f>
        <v>33.333333333333329</v>
      </c>
      <c r="G132" s="94"/>
      <c r="H132" s="94"/>
      <c r="I132" s="97">
        <f>I131/I129*100</f>
        <v>21.153846153846153</v>
      </c>
      <c r="J132" s="96"/>
      <c r="K132" s="28"/>
      <c r="L132" s="28"/>
    </row>
    <row r="133" spans="1:12" ht="14.85" hidden="1" customHeight="1" x14ac:dyDescent="0.25">
      <c r="A133" s="1479"/>
      <c r="B133" s="1220"/>
      <c r="C133" s="1117" t="s">
        <v>374</v>
      </c>
      <c r="D133" s="144" t="s">
        <v>251</v>
      </c>
      <c r="E133" s="94"/>
      <c r="F133" s="80">
        <v>280</v>
      </c>
      <c r="G133" s="80"/>
      <c r="H133" s="80"/>
      <c r="I133" s="80">
        <v>408</v>
      </c>
      <c r="J133" s="96"/>
      <c r="K133" s="28"/>
      <c r="L133" s="28"/>
    </row>
    <row r="134" spans="1:12" hidden="1" x14ac:dyDescent="0.25">
      <c r="A134" s="1479"/>
      <c r="B134" s="1220"/>
      <c r="C134" s="1117"/>
      <c r="D134" s="28" t="s">
        <v>257</v>
      </c>
      <c r="E134" s="94"/>
      <c r="F134" s="80">
        <v>65</v>
      </c>
      <c r="G134" s="80"/>
      <c r="H134" s="80"/>
      <c r="I134" s="80">
        <v>135</v>
      </c>
      <c r="J134" s="96"/>
      <c r="K134" s="28"/>
      <c r="L134" s="28"/>
    </row>
    <row r="135" spans="1:12" hidden="1" x14ac:dyDescent="0.25">
      <c r="A135" s="1479"/>
      <c r="B135" s="1220"/>
      <c r="C135" s="1117"/>
      <c r="D135" s="28" t="s">
        <v>263</v>
      </c>
      <c r="E135" s="94"/>
      <c r="F135" s="80">
        <v>215</v>
      </c>
      <c r="G135" s="80"/>
      <c r="H135" s="80"/>
      <c r="I135" s="80">
        <v>270</v>
      </c>
      <c r="J135" s="96"/>
      <c r="K135" s="28"/>
      <c r="L135" s="28"/>
    </row>
    <row r="136" spans="1:12" hidden="1" x14ac:dyDescent="0.25">
      <c r="A136" s="1479"/>
      <c r="B136" s="1220"/>
      <c r="C136" s="1117"/>
      <c r="D136" s="28" t="s">
        <v>357</v>
      </c>
      <c r="E136" s="94"/>
      <c r="F136" s="99">
        <f>(F135/F133)*100</f>
        <v>76.785714285714292</v>
      </c>
      <c r="G136" s="94"/>
      <c r="H136" s="94"/>
      <c r="I136" s="99">
        <f>I135/I133*100</f>
        <v>66.17647058823529</v>
      </c>
      <c r="J136" s="96"/>
      <c r="K136" s="28"/>
      <c r="L136" s="28"/>
    </row>
    <row r="137" spans="1:12" ht="14.85" hidden="1" customHeight="1" x14ac:dyDescent="0.25">
      <c r="A137" s="1479"/>
      <c r="B137" s="1220"/>
      <c r="C137" s="1117" t="s">
        <v>375</v>
      </c>
      <c r="D137" s="144" t="s">
        <v>251</v>
      </c>
      <c r="E137" s="94"/>
      <c r="F137" s="80">
        <v>125</v>
      </c>
      <c r="G137" s="80"/>
      <c r="H137" s="80"/>
      <c r="I137" s="80">
        <v>126</v>
      </c>
      <c r="J137" s="96"/>
      <c r="K137" s="28"/>
      <c r="L137" s="28"/>
    </row>
    <row r="138" spans="1:12" ht="14.85" hidden="1" customHeight="1" x14ac:dyDescent="0.25">
      <c r="A138" s="1479"/>
      <c r="B138" s="1220"/>
      <c r="C138" s="1117"/>
      <c r="D138" s="28" t="s">
        <v>257</v>
      </c>
      <c r="E138" s="94"/>
      <c r="F138" s="80">
        <v>45</v>
      </c>
      <c r="G138" s="80"/>
      <c r="H138" s="80"/>
      <c r="I138" s="80">
        <v>63</v>
      </c>
      <c r="J138" s="96"/>
      <c r="K138" s="28"/>
      <c r="L138" s="28"/>
    </row>
    <row r="139" spans="1:12" hidden="1" x14ac:dyDescent="0.25">
      <c r="A139" s="1479"/>
      <c r="B139" s="1220"/>
      <c r="C139" s="1117"/>
      <c r="D139" s="28" t="s">
        <v>263</v>
      </c>
      <c r="E139" s="94"/>
      <c r="F139" s="80">
        <v>80</v>
      </c>
      <c r="G139" s="80"/>
      <c r="H139" s="80"/>
      <c r="I139" s="80">
        <v>60</v>
      </c>
      <c r="J139" s="96"/>
      <c r="K139" s="28"/>
      <c r="L139" s="28"/>
    </row>
    <row r="140" spans="1:12" hidden="1" x14ac:dyDescent="0.25">
      <c r="A140" s="1479"/>
      <c r="B140" s="1220"/>
      <c r="C140" s="1117"/>
      <c r="D140" s="28" t="s">
        <v>357</v>
      </c>
      <c r="E140" s="94"/>
      <c r="F140" s="99">
        <f>(F139/F137)*100</f>
        <v>64</v>
      </c>
      <c r="G140" s="94"/>
      <c r="H140" s="94"/>
      <c r="I140" s="98">
        <f>I139/I137*100</f>
        <v>47.619047619047613</v>
      </c>
      <c r="J140" s="96"/>
      <c r="K140" s="28"/>
      <c r="L140" s="28"/>
    </row>
    <row r="141" spans="1:12" ht="14.85" hidden="1" customHeight="1" x14ac:dyDescent="0.25">
      <c r="A141" s="1479"/>
      <c r="B141" s="1220"/>
      <c r="C141" s="1117" t="s">
        <v>376</v>
      </c>
      <c r="D141" s="144" t="s">
        <v>251</v>
      </c>
      <c r="E141" s="94"/>
      <c r="F141" s="80">
        <v>1000</v>
      </c>
      <c r="G141" s="80"/>
      <c r="H141" s="80"/>
      <c r="I141" s="80">
        <v>1983</v>
      </c>
      <c r="J141" s="96"/>
      <c r="K141" s="28"/>
      <c r="L141" s="28"/>
    </row>
    <row r="142" spans="1:12" ht="14.85" hidden="1" customHeight="1" x14ac:dyDescent="0.25">
      <c r="A142" s="1479"/>
      <c r="B142" s="1220"/>
      <c r="C142" s="1117"/>
      <c r="D142" s="28" t="s">
        <v>257</v>
      </c>
      <c r="E142" s="94"/>
      <c r="F142" s="80">
        <v>535</v>
      </c>
      <c r="G142" s="80"/>
      <c r="H142" s="80"/>
      <c r="I142" s="80">
        <v>1116</v>
      </c>
      <c r="J142" s="96"/>
      <c r="K142" s="28"/>
      <c r="L142" s="28"/>
    </row>
    <row r="143" spans="1:12" hidden="1" x14ac:dyDescent="0.25">
      <c r="A143" s="1479"/>
      <c r="B143" s="1220"/>
      <c r="C143" s="1117"/>
      <c r="D143" s="28" t="s">
        <v>263</v>
      </c>
      <c r="E143" s="94"/>
      <c r="F143" s="80">
        <v>465</v>
      </c>
      <c r="G143" s="80"/>
      <c r="H143" s="80"/>
      <c r="I143" s="80">
        <v>867</v>
      </c>
      <c r="J143" s="96"/>
      <c r="K143" s="28"/>
      <c r="L143" s="28"/>
    </row>
    <row r="144" spans="1:12" hidden="1" x14ac:dyDescent="0.25">
      <c r="A144" s="1479"/>
      <c r="B144" s="1220"/>
      <c r="C144" s="1117"/>
      <c r="D144" s="28" t="s">
        <v>357</v>
      </c>
      <c r="E144" s="94"/>
      <c r="F144" s="98">
        <f>(F143/F141)*100</f>
        <v>46.5</v>
      </c>
      <c r="G144" s="94"/>
      <c r="H144" s="94"/>
      <c r="I144" s="98">
        <f>I143/I141*100</f>
        <v>43.721633888048409</v>
      </c>
      <c r="J144" s="96"/>
      <c r="K144" s="28"/>
      <c r="L144" s="28"/>
    </row>
    <row r="145" spans="1:12" ht="14.85" hidden="1" customHeight="1" x14ac:dyDescent="0.25">
      <c r="A145" s="1479"/>
      <c r="B145" s="1220"/>
      <c r="C145" s="1117" t="s">
        <v>377</v>
      </c>
      <c r="D145" s="144" t="s">
        <v>251</v>
      </c>
      <c r="E145" s="94"/>
      <c r="F145" s="80">
        <v>2055</v>
      </c>
      <c r="G145" s="80"/>
      <c r="H145" s="80"/>
      <c r="I145" s="80">
        <v>1419</v>
      </c>
      <c r="J145" s="96"/>
      <c r="K145" s="28"/>
      <c r="L145" s="28"/>
    </row>
    <row r="146" spans="1:12" hidden="1" x14ac:dyDescent="0.25">
      <c r="A146" s="1479"/>
      <c r="B146" s="1220"/>
      <c r="C146" s="1117"/>
      <c r="D146" s="28" t="s">
        <v>257</v>
      </c>
      <c r="E146" s="94"/>
      <c r="F146" s="80">
        <v>315</v>
      </c>
      <c r="G146" s="80"/>
      <c r="H146" s="80"/>
      <c r="I146" s="80">
        <v>444</v>
      </c>
      <c r="J146" s="96"/>
      <c r="K146" s="28"/>
      <c r="L146" s="28"/>
    </row>
    <row r="147" spans="1:12" hidden="1" x14ac:dyDescent="0.25">
      <c r="A147" s="1479"/>
      <c r="B147" s="1220"/>
      <c r="C147" s="1117"/>
      <c r="D147" s="28" t="s">
        <v>263</v>
      </c>
      <c r="E147" s="94"/>
      <c r="F147" s="80">
        <v>1740</v>
      </c>
      <c r="G147" s="80"/>
      <c r="H147" s="80"/>
      <c r="I147" s="80">
        <v>978</v>
      </c>
      <c r="J147" s="96"/>
      <c r="K147" s="28"/>
      <c r="L147" s="28"/>
    </row>
    <row r="148" spans="1:12" hidden="1" x14ac:dyDescent="0.25">
      <c r="A148" s="1479"/>
      <c r="B148" s="1220"/>
      <c r="C148" s="1117"/>
      <c r="D148" s="28" t="s">
        <v>357</v>
      </c>
      <c r="E148" s="94"/>
      <c r="F148" s="99">
        <f>(F147/F145)*100</f>
        <v>84.671532846715323</v>
      </c>
      <c r="G148" s="94"/>
      <c r="H148" s="94"/>
      <c r="I148" s="99">
        <f>I147/I145*100</f>
        <v>68.921775898520082</v>
      </c>
      <c r="J148" s="96"/>
      <c r="K148" s="28"/>
      <c r="L148" s="28"/>
    </row>
    <row r="149" spans="1:12" ht="14.85" hidden="1" customHeight="1" x14ac:dyDescent="0.25">
      <c r="A149" s="1479"/>
      <c r="B149" s="1220"/>
      <c r="C149" s="1117" t="s">
        <v>378</v>
      </c>
      <c r="D149" s="144" t="s">
        <v>251</v>
      </c>
      <c r="E149" s="94"/>
      <c r="F149" s="80">
        <v>750</v>
      </c>
      <c r="G149" s="80"/>
      <c r="H149" s="80"/>
      <c r="I149" s="80">
        <v>957</v>
      </c>
      <c r="J149" s="96"/>
      <c r="K149" s="28"/>
      <c r="L149" s="28"/>
    </row>
    <row r="150" spans="1:12" hidden="1" x14ac:dyDescent="0.25">
      <c r="A150" s="1479"/>
      <c r="B150" s="1220"/>
      <c r="C150" s="1117"/>
      <c r="D150" s="28" t="s">
        <v>257</v>
      </c>
      <c r="E150" s="94"/>
      <c r="F150" s="80">
        <v>375</v>
      </c>
      <c r="G150" s="80"/>
      <c r="H150" s="80"/>
      <c r="I150" s="80">
        <v>504</v>
      </c>
      <c r="J150" s="96"/>
      <c r="K150" s="28"/>
      <c r="L150" s="28"/>
    </row>
    <row r="151" spans="1:12" hidden="1" x14ac:dyDescent="0.25">
      <c r="A151" s="1479"/>
      <c r="B151" s="1220"/>
      <c r="C151" s="1117"/>
      <c r="D151" s="28" t="s">
        <v>263</v>
      </c>
      <c r="E151" s="94"/>
      <c r="F151" s="80">
        <v>375</v>
      </c>
      <c r="G151" s="80"/>
      <c r="H151" s="80"/>
      <c r="I151" s="80">
        <v>456</v>
      </c>
      <c r="J151" s="96"/>
      <c r="K151" s="28"/>
      <c r="L151" s="28"/>
    </row>
    <row r="152" spans="1:12" hidden="1" x14ac:dyDescent="0.25">
      <c r="A152" s="1479"/>
      <c r="B152" s="1220"/>
      <c r="C152" s="1117"/>
      <c r="D152" s="28" t="s">
        <v>357</v>
      </c>
      <c r="E152" s="94"/>
      <c r="F152" s="98">
        <f>(F151/F149)*100</f>
        <v>50</v>
      </c>
      <c r="G152" s="94"/>
      <c r="H152" s="94"/>
      <c r="I152" s="98">
        <f>I151/I149*100</f>
        <v>47.648902821316611</v>
      </c>
      <c r="J152" s="96"/>
      <c r="K152" s="28"/>
      <c r="L152" s="28"/>
    </row>
    <row r="153" spans="1:12" ht="14.85" hidden="1" customHeight="1" x14ac:dyDescent="0.25">
      <c r="A153" s="1479"/>
      <c r="B153" s="1220"/>
      <c r="C153" s="1117" t="s">
        <v>379</v>
      </c>
      <c r="D153" s="144" t="s">
        <v>251</v>
      </c>
      <c r="E153" s="94"/>
      <c r="F153" s="80">
        <v>2020</v>
      </c>
      <c r="G153" s="80"/>
      <c r="H153" s="80"/>
      <c r="I153" s="80">
        <v>1914</v>
      </c>
      <c r="J153" s="96"/>
      <c r="K153" s="28"/>
      <c r="L153" s="28"/>
    </row>
    <row r="154" spans="1:12" hidden="1" x14ac:dyDescent="0.25">
      <c r="A154" s="1479"/>
      <c r="B154" s="1220"/>
      <c r="C154" s="1117"/>
      <c r="D154" s="28" t="s">
        <v>257</v>
      </c>
      <c r="E154" s="94"/>
      <c r="F154" s="80">
        <v>1365</v>
      </c>
      <c r="G154" s="80"/>
      <c r="H154" s="80"/>
      <c r="I154" s="80">
        <v>1344</v>
      </c>
      <c r="J154" s="96"/>
      <c r="K154" s="28"/>
      <c r="L154" s="28"/>
    </row>
    <row r="155" spans="1:12" hidden="1" x14ac:dyDescent="0.25">
      <c r="A155" s="1479"/>
      <c r="B155" s="1220"/>
      <c r="C155" s="1117"/>
      <c r="D155" s="28" t="s">
        <v>263</v>
      </c>
      <c r="E155" s="94"/>
      <c r="F155" s="80">
        <v>655</v>
      </c>
      <c r="G155" s="80"/>
      <c r="H155" s="80"/>
      <c r="I155" s="80">
        <v>570</v>
      </c>
      <c r="J155" s="96"/>
      <c r="K155" s="28"/>
      <c r="L155" s="28"/>
    </row>
    <row r="156" spans="1:12" hidden="1" x14ac:dyDescent="0.25">
      <c r="A156" s="1479"/>
      <c r="B156" s="1220"/>
      <c r="C156" s="1117"/>
      <c r="D156" s="28" t="s">
        <v>357</v>
      </c>
      <c r="E156" s="94"/>
      <c r="F156" s="97">
        <f>(F155/F153)*100</f>
        <v>32.425742574257427</v>
      </c>
      <c r="G156" s="94"/>
      <c r="H156" s="94"/>
      <c r="I156" s="97">
        <f>I155/I153*100</f>
        <v>29.780564263322884</v>
      </c>
      <c r="J156" s="96"/>
      <c r="K156" s="28"/>
      <c r="L156" s="28"/>
    </row>
    <row r="157" spans="1:12" ht="14.85" hidden="1" customHeight="1" x14ac:dyDescent="0.25">
      <c r="A157" s="1479"/>
      <c r="B157" s="1220"/>
      <c r="C157" s="1117" t="s">
        <v>380</v>
      </c>
      <c r="D157" s="144" t="s">
        <v>251</v>
      </c>
      <c r="E157" s="94"/>
      <c r="F157" s="80">
        <v>2710</v>
      </c>
      <c r="G157" s="80"/>
      <c r="H157" s="80"/>
      <c r="I157" s="80">
        <v>1827</v>
      </c>
      <c r="J157" s="96"/>
      <c r="K157" s="28"/>
      <c r="L157" s="28"/>
    </row>
    <row r="158" spans="1:12" hidden="1" x14ac:dyDescent="0.25">
      <c r="A158" s="1479"/>
      <c r="B158" s="1220"/>
      <c r="C158" s="1117"/>
      <c r="D158" s="28" t="s">
        <v>257</v>
      </c>
      <c r="E158" s="94"/>
      <c r="F158" s="80">
        <v>990</v>
      </c>
      <c r="G158" s="80"/>
      <c r="H158" s="80"/>
      <c r="I158" s="80">
        <v>927</v>
      </c>
      <c r="J158" s="96"/>
      <c r="K158" s="28"/>
      <c r="L158" s="28"/>
    </row>
    <row r="159" spans="1:12" hidden="1" x14ac:dyDescent="0.25">
      <c r="A159" s="1479"/>
      <c r="B159" s="1220"/>
      <c r="C159" s="1117"/>
      <c r="D159" s="28" t="s">
        <v>263</v>
      </c>
      <c r="E159" s="94"/>
      <c r="F159" s="80">
        <v>1725</v>
      </c>
      <c r="G159" s="80"/>
      <c r="H159" s="80"/>
      <c r="I159" s="80">
        <v>900</v>
      </c>
      <c r="J159" s="96"/>
      <c r="K159" s="28"/>
      <c r="L159" s="28"/>
    </row>
    <row r="160" spans="1:12" hidden="1" x14ac:dyDescent="0.25">
      <c r="A160" s="1479"/>
      <c r="B160" s="1220"/>
      <c r="C160" s="1117"/>
      <c r="D160" s="28" t="s">
        <v>357</v>
      </c>
      <c r="E160" s="94"/>
      <c r="F160" s="99">
        <f>(F159/F157)*100</f>
        <v>63.65313653136532</v>
      </c>
      <c r="G160" s="94"/>
      <c r="H160" s="94"/>
      <c r="I160" s="98">
        <f>I159/I157*100</f>
        <v>49.261083743842363</v>
      </c>
      <c r="J160" s="96"/>
      <c r="K160" s="28"/>
      <c r="L160" s="28"/>
    </row>
    <row r="161" spans="1:12" ht="14.85" hidden="1" customHeight="1" x14ac:dyDescent="0.25">
      <c r="A161" s="1479"/>
      <c r="B161" s="1220"/>
      <c r="C161" s="1117" t="s">
        <v>381</v>
      </c>
      <c r="D161" s="144" t="s">
        <v>251</v>
      </c>
      <c r="E161" s="94"/>
      <c r="F161" s="80">
        <v>225</v>
      </c>
      <c r="G161" s="80"/>
      <c r="H161" s="80"/>
      <c r="I161" s="80">
        <v>303</v>
      </c>
      <c r="J161" s="28"/>
      <c r="K161" s="28"/>
      <c r="L161" s="28"/>
    </row>
    <row r="162" spans="1:12" ht="14.85" hidden="1" customHeight="1" x14ac:dyDescent="0.25">
      <c r="A162" s="1479"/>
      <c r="B162" s="1220"/>
      <c r="C162" s="1117"/>
      <c r="D162" s="28" t="s">
        <v>257</v>
      </c>
      <c r="E162" s="94"/>
      <c r="F162" s="80">
        <v>110</v>
      </c>
      <c r="G162" s="80"/>
      <c r="H162" s="80"/>
      <c r="I162" s="80">
        <v>177</v>
      </c>
      <c r="J162" s="28"/>
      <c r="K162" s="28"/>
      <c r="L162" s="28"/>
    </row>
    <row r="163" spans="1:12" hidden="1" x14ac:dyDescent="0.25">
      <c r="A163" s="1479"/>
      <c r="B163" s="1220"/>
      <c r="C163" s="1117"/>
      <c r="D163" s="28" t="s">
        <v>263</v>
      </c>
      <c r="E163" s="94"/>
      <c r="F163" s="80">
        <v>115</v>
      </c>
      <c r="G163" s="80"/>
      <c r="H163" s="80"/>
      <c r="I163" s="80">
        <v>123</v>
      </c>
      <c r="J163" s="28"/>
      <c r="K163" s="28"/>
      <c r="L163" s="28"/>
    </row>
    <row r="164" spans="1:12" hidden="1" x14ac:dyDescent="0.25">
      <c r="A164" s="1479"/>
      <c r="B164" s="1220"/>
      <c r="C164" s="1117"/>
      <c r="D164" s="28" t="s">
        <v>357</v>
      </c>
      <c r="E164" s="94"/>
      <c r="F164" s="98">
        <f>(F163/F161)*100</f>
        <v>51.111111111111107</v>
      </c>
      <c r="G164" s="94"/>
      <c r="H164" s="94"/>
      <c r="I164" s="98">
        <f>I163/I161*100</f>
        <v>40.594059405940598</v>
      </c>
      <c r="J164" s="28"/>
      <c r="K164" s="28"/>
      <c r="L164" s="28"/>
    </row>
    <row r="165" spans="1:12" ht="14.85" hidden="1" customHeight="1" x14ac:dyDescent="0.25">
      <c r="A165" s="1479"/>
      <c r="B165" s="1220"/>
      <c r="C165" s="1218" t="s">
        <v>382</v>
      </c>
      <c r="D165" s="145" t="s">
        <v>251</v>
      </c>
      <c r="E165" s="95"/>
      <c r="F165" s="80">
        <v>3360</v>
      </c>
      <c r="G165" s="80"/>
      <c r="H165" s="80"/>
      <c r="I165" s="80">
        <v>2748</v>
      </c>
      <c r="J165" s="96"/>
      <c r="K165" s="96"/>
      <c r="L165" s="96"/>
    </row>
    <row r="166" spans="1:12" hidden="1" x14ac:dyDescent="0.25">
      <c r="A166" s="1479"/>
      <c r="B166" s="1220"/>
      <c r="C166" s="1218"/>
      <c r="D166" s="96" t="s">
        <v>257</v>
      </c>
      <c r="E166" s="95"/>
      <c r="F166" s="80">
        <v>970</v>
      </c>
      <c r="G166" s="80"/>
      <c r="H166" s="80"/>
      <c r="I166" s="80">
        <v>933</v>
      </c>
      <c r="J166" s="96"/>
      <c r="K166" s="96"/>
      <c r="L166" s="96"/>
    </row>
    <row r="167" spans="1:12" hidden="1" x14ac:dyDescent="0.25">
      <c r="A167" s="1479"/>
      <c r="B167" s="1220"/>
      <c r="C167" s="1218"/>
      <c r="D167" s="96" t="s">
        <v>263</v>
      </c>
      <c r="E167" s="95"/>
      <c r="F167" s="80">
        <v>2390</v>
      </c>
      <c r="G167" s="80"/>
      <c r="H167" s="80"/>
      <c r="I167" s="80">
        <v>1815</v>
      </c>
      <c r="J167" s="96"/>
      <c r="K167" s="96"/>
      <c r="L167" s="96"/>
    </row>
    <row r="168" spans="1:12" hidden="1" x14ac:dyDescent="0.25">
      <c r="A168" s="1479"/>
      <c r="B168" s="1220"/>
      <c r="C168" s="1218"/>
      <c r="D168" s="96" t="s">
        <v>357</v>
      </c>
      <c r="E168" s="95"/>
      <c r="F168" s="99">
        <f>(F167/F165)*100</f>
        <v>71.13095238095238</v>
      </c>
      <c r="G168" s="94"/>
      <c r="H168" s="94"/>
      <c r="I168" s="99">
        <f>I167/I165*100</f>
        <v>66.048034934497807</v>
      </c>
      <c r="J168" s="96"/>
      <c r="K168" s="96"/>
      <c r="L168" s="96"/>
    </row>
    <row r="169" spans="1:12" ht="14.85" hidden="1" customHeight="1" x14ac:dyDescent="0.25">
      <c r="A169" s="1479"/>
      <c r="B169" s="1220"/>
      <c r="C169" s="1218" t="s">
        <v>383</v>
      </c>
      <c r="D169" s="145" t="s">
        <v>251</v>
      </c>
      <c r="E169" s="95"/>
      <c r="F169" s="80">
        <v>1885</v>
      </c>
      <c r="G169" s="80"/>
      <c r="H169" s="80"/>
      <c r="I169" s="80">
        <v>1743</v>
      </c>
      <c r="J169" s="96"/>
      <c r="K169" s="96"/>
      <c r="L169" s="96"/>
    </row>
    <row r="170" spans="1:12" hidden="1" x14ac:dyDescent="0.25">
      <c r="A170" s="1479"/>
      <c r="B170" s="1220"/>
      <c r="C170" s="1218"/>
      <c r="D170" s="96" t="s">
        <v>257</v>
      </c>
      <c r="E170" s="95"/>
      <c r="F170" s="80">
        <v>665</v>
      </c>
      <c r="G170" s="80"/>
      <c r="H170" s="80"/>
      <c r="I170" s="80">
        <v>606</v>
      </c>
      <c r="J170" s="96"/>
      <c r="K170" s="96"/>
      <c r="L170" s="96"/>
    </row>
    <row r="171" spans="1:12" hidden="1" x14ac:dyDescent="0.25">
      <c r="A171" s="1479"/>
      <c r="B171" s="1220"/>
      <c r="C171" s="1218"/>
      <c r="D171" s="96" t="s">
        <v>263</v>
      </c>
      <c r="E171" s="95"/>
      <c r="F171" s="80">
        <v>1220</v>
      </c>
      <c r="G171" s="80"/>
      <c r="H171" s="80"/>
      <c r="I171" s="80">
        <v>1140</v>
      </c>
      <c r="J171" s="96"/>
      <c r="K171" s="96"/>
      <c r="L171" s="96"/>
    </row>
    <row r="172" spans="1:12" hidden="1" x14ac:dyDescent="0.25">
      <c r="A172" s="1479"/>
      <c r="B172" s="1220"/>
      <c r="C172" s="1218"/>
      <c r="D172" s="96" t="s">
        <v>357</v>
      </c>
      <c r="E172" s="95"/>
      <c r="F172" s="99">
        <f>(F171/F169)*100</f>
        <v>64.721485411140591</v>
      </c>
      <c r="G172" s="94"/>
      <c r="H172" s="94"/>
      <c r="I172" s="99">
        <f>I171/I169*100</f>
        <v>65.404475043029265</v>
      </c>
      <c r="J172" s="96"/>
      <c r="K172" s="96"/>
      <c r="L172" s="96"/>
    </row>
    <row r="173" spans="1:12" ht="14.85" hidden="1" customHeight="1" x14ac:dyDescent="0.25">
      <c r="A173" s="1479"/>
      <c r="B173" s="1220"/>
      <c r="C173" s="1218" t="s">
        <v>384</v>
      </c>
      <c r="D173" s="145" t="s">
        <v>251</v>
      </c>
      <c r="E173" s="95"/>
      <c r="F173" s="508">
        <v>2355</v>
      </c>
      <c r="G173" s="80"/>
      <c r="H173" s="80"/>
      <c r="I173" s="80">
        <v>1581</v>
      </c>
      <c r="J173" s="96"/>
      <c r="K173" s="96"/>
      <c r="L173" s="96"/>
    </row>
    <row r="174" spans="1:12" hidden="1" x14ac:dyDescent="0.25">
      <c r="A174" s="1479"/>
      <c r="B174" s="1220"/>
      <c r="C174" s="1218"/>
      <c r="D174" s="96" t="s">
        <v>257</v>
      </c>
      <c r="E174" s="95"/>
      <c r="F174" s="80">
        <v>710</v>
      </c>
      <c r="G174" s="80"/>
      <c r="H174" s="80"/>
      <c r="I174" s="80">
        <v>477</v>
      </c>
      <c r="J174" s="96"/>
      <c r="K174" s="96"/>
      <c r="L174" s="96"/>
    </row>
    <row r="175" spans="1:12" hidden="1" x14ac:dyDescent="0.25">
      <c r="A175" s="1479"/>
      <c r="B175" s="1220"/>
      <c r="C175" s="1218"/>
      <c r="D175" s="96" t="s">
        <v>263</v>
      </c>
      <c r="E175" s="95"/>
      <c r="F175" s="80">
        <v>1645</v>
      </c>
      <c r="G175" s="80"/>
      <c r="H175" s="80"/>
      <c r="I175" s="80">
        <v>1107</v>
      </c>
      <c r="J175" s="96"/>
      <c r="K175" s="96"/>
      <c r="L175" s="96"/>
    </row>
    <row r="176" spans="1:12" hidden="1" x14ac:dyDescent="0.25">
      <c r="A176" s="1479"/>
      <c r="B176" s="1220"/>
      <c r="C176" s="1218"/>
      <c r="D176" s="96" t="s">
        <v>357</v>
      </c>
      <c r="E176" s="95"/>
      <c r="F176" s="99">
        <f>(F175/F173)*100</f>
        <v>69.851380042462836</v>
      </c>
      <c r="G176" s="94"/>
      <c r="H176" s="94"/>
      <c r="I176" s="99">
        <f>I175/I173*100</f>
        <v>70.018975332068308</v>
      </c>
      <c r="J176" s="96"/>
      <c r="K176" s="96"/>
      <c r="L176" s="96"/>
    </row>
    <row r="177" spans="1:12" ht="14.85" hidden="1" customHeight="1" x14ac:dyDescent="0.25">
      <c r="A177" s="1479"/>
      <c r="B177" s="1220"/>
      <c r="C177" s="1218" t="s">
        <v>385</v>
      </c>
      <c r="D177" s="145" t="s">
        <v>251</v>
      </c>
      <c r="E177" s="95"/>
      <c r="F177" s="80">
        <v>285</v>
      </c>
      <c r="G177" s="80"/>
      <c r="H177" s="80"/>
      <c r="I177" s="80">
        <v>609</v>
      </c>
      <c r="J177" s="96"/>
      <c r="K177" s="96"/>
      <c r="L177" s="96"/>
    </row>
    <row r="178" spans="1:12" ht="14.85" hidden="1" customHeight="1" x14ac:dyDescent="0.25">
      <c r="A178" s="1479"/>
      <c r="B178" s="1220"/>
      <c r="C178" s="1218"/>
      <c r="D178" s="96" t="s">
        <v>257</v>
      </c>
      <c r="E178" s="95"/>
      <c r="F178" s="80">
        <v>220</v>
      </c>
      <c r="G178" s="80"/>
      <c r="H178" s="80"/>
      <c r="I178" s="80">
        <v>381</v>
      </c>
      <c r="J178" s="96"/>
      <c r="K178" s="96"/>
      <c r="L178" s="96"/>
    </row>
    <row r="179" spans="1:12" hidden="1" x14ac:dyDescent="0.25">
      <c r="A179" s="1479"/>
      <c r="B179" s="1220"/>
      <c r="C179" s="1218"/>
      <c r="D179" s="96" t="s">
        <v>263</v>
      </c>
      <c r="E179" s="95"/>
      <c r="F179" s="80">
        <v>60</v>
      </c>
      <c r="G179" s="80"/>
      <c r="H179" s="80"/>
      <c r="I179" s="80">
        <v>225</v>
      </c>
      <c r="J179" s="96"/>
      <c r="K179" s="96"/>
      <c r="L179" s="96"/>
    </row>
    <row r="180" spans="1:12" hidden="1" x14ac:dyDescent="0.25">
      <c r="A180" s="1479"/>
      <c r="B180" s="1220"/>
      <c r="C180" s="1218"/>
      <c r="D180" s="96" t="s">
        <v>357</v>
      </c>
      <c r="E180" s="95"/>
      <c r="F180" s="206">
        <f>(F179/F177)*100</f>
        <v>21.052631578947366</v>
      </c>
      <c r="G180" s="94"/>
      <c r="H180" s="94"/>
      <c r="I180" s="97">
        <f>I179/I177*100</f>
        <v>36.945812807881772</v>
      </c>
      <c r="J180" s="96"/>
      <c r="K180" s="96"/>
      <c r="L180" s="96"/>
    </row>
    <row r="181" spans="1:12" ht="14.85" hidden="1" customHeight="1" x14ac:dyDescent="0.25">
      <c r="A181" s="1479"/>
      <c r="B181" s="1220"/>
      <c r="C181" s="1218" t="s">
        <v>386</v>
      </c>
      <c r="D181" s="145" t="s">
        <v>251</v>
      </c>
      <c r="E181" s="95"/>
      <c r="F181" s="80">
        <v>2680</v>
      </c>
      <c r="G181" s="80"/>
      <c r="H181" s="80"/>
      <c r="I181" s="80">
        <v>3990</v>
      </c>
      <c r="J181" s="96"/>
      <c r="K181" s="96"/>
      <c r="L181" s="96"/>
    </row>
    <row r="182" spans="1:12" hidden="1" x14ac:dyDescent="0.25">
      <c r="A182" s="1479"/>
      <c r="B182" s="1220"/>
      <c r="C182" s="1218"/>
      <c r="D182" s="96" t="s">
        <v>257</v>
      </c>
      <c r="E182" s="95"/>
      <c r="F182" s="80">
        <v>1490</v>
      </c>
      <c r="G182" s="80"/>
      <c r="H182" s="80"/>
      <c r="I182" s="80">
        <v>2271</v>
      </c>
      <c r="J182" s="96"/>
      <c r="K182" s="96"/>
      <c r="L182" s="96"/>
    </row>
    <row r="183" spans="1:12" hidden="1" x14ac:dyDescent="0.25">
      <c r="A183" s="1479"/>
      <c r="B183" s="1220"/>
      <c r="C183" s="1218"/>
      <c r="D183" s="96" t="s">
        <v>263</v>
      </c>
      <c r="E183" s="95"/>
      <c r="F183" s="80">
        <v>1185</v>
      </c>
      <c r="G183" s="80"/>
      <c r="H183" s="80"/>
      <c r="I183" s="80">
        <v>1722</v>
      </c>
      <c r="J183" s="96"/>
      <c r="K183" s="96"/>
      <c r="L183" s="96"/>
    </row>
    <row r="184" spans="1:12" hidden="1" x14ac:dyDescent="0.25">
      <c r="A184" s="1479"/>
      <c r="B184" s="1220"/>
      <c r="C184" s="1218"/>
      <c r="D184" s="96" t="s">
        <v>357</v>
      </c>
      <c r="E184" s="95"/>
      <c r="F184" s="98">
        <f>(F183/F181)*100</f>
        <v>44.216417910447767</v>
      </c>
      <c r="G184" s="94"/>
      <c r="H184" s="94"/>
      <c r="I184" s="98">
        <f>I183/I181*100</f>
        <v>43.15789473684211</v>
      </c>
      <c r="J184" s="96"/>
      <c r="K184" s="96"/>
      <c r="L184" s="96"/>
    </row>
    <row r="185" spans="1:12" ht="14.85" hidden="1" customHeight="1" x14ac:dyDescent="0.25">
      <c r="A185" s="1479"/>
      <c r="B185" s="1220"/>
      <c r="C185" s="1218" t="s">
        <v>387</v>
      </c>
      <c r="D185" s="145" t="s">
        <v>251</v>
      </c>
      <c r="E185" s="95"/>
      <c r="F185" s="80">
        <v>3090</v>
      </c>
      <c r="G185" s="80"/>
      <c r="H185" s="80"/>
      <c r="I185" s="80">
        <v>2703</v>
      </c>
      <c r="J185" s="96"/>
      <c r="K185" s="96"/>
      <c r="L185" s="96"/>
    </row>
    <row r="186" spans="1:12" hidden="1" x14ac:dyDescent="0.25">
      <c r="A186" s="1479"/>
      <c r="B186" s="1220"/>
      <c r="C186" s="1218"/>
      <c r="D186" s="96" t="s">
        <v>257</v>
      </c>
      <c r="E186" s="95"/>
      <c r="F186" s="80">
        <v>1230</v>
      </c>
      <c r="G186" s="80"/>
      <c r="H186" s="80"/>
      <c r="I186" s="80">
        <v>1224</v>
      </c>
      <c r="J186" s="96"/>
      <c r="K186" s="96"/>
      <c r="L186" s="96"/>
    </row>
    <row r="187" spans="1:12" hidden="1" x14ac:dyDescent="0.25">
      <c r="A187" s="1479"/>
      <c r="B187" s="1220"/>
      <c r="C187" s="1218"/>
      <c r="D187" s="96" t="s">
        <v>263</v>
      </c>
      <c r="E187" s="95"/>
      <c r="F187" s="80">
        <v>1860</v>
      </c>
      <c r="G187" s="80"/>
      <c r="H187" s="80"/>
      <c r="I187" s="80">
        <v>1476</v>
      </c>
      <c r="J187" s="96"/>
      <c r="K187" s="96"/>
      <c r="L187" s="96"/>
    </row>
    <row r="188" spans="1:12" hidden="1" x14ac:dyDescent="0.25">
      <c r="A188" s="1479"/>
      <c r="B188" s="1220"/>
      <c r="C188" s="1218"/>
      <c r="D188" s="96" t="s">
        <v>357</v>
      </c>
      <c r="E188" s="95"/>
      <c r="F188" s="99">
        <f>(F187/F185)*100</f>
        <v>60.194174757281552</v>
      </c>
      <c r="G188" s="94"/>
      <c r="H188" s="94"/>
      <c r="I188" s="98">
        <f>I187/I185*100</f>
        <v>54.605993340732518</v>
      </c>
      <c r="J188" s="96"/>
      <c r="K188" s="96"/>
      <c r="L188" s="96"/>
    </row>
    <row r="189" spans="1:12" ht="14.85" hidden="1" customHeight="1" x14ac:dyDescent="0.25">
      <c r="A189" s="1479"/>
      <c r="B189" s="1220"/>
      <c r="C189" s="1218" t="s">
        <v>388</v>
      </c>
      <c r="D189" s="145" t="s">
        <v>251</v>
      </c>
      <c r="E189" s="95"/>
      <c r="F189" s="80"/>
      <c r="G189" s="80"/>
      <c r="H189" s="80"/>
      <c r="I189" s="80">
        <v>792</v>
      </c>
      <c r="J189" s="96"/>
      <c r="K189" s="96"/>
      <c r="L189" s="96"/>
    </row>
    <row r="190" spans="1:12" hidden="1" x14ac:dyDescent="0.25">
      <c r="A190" s="1479"/>
      <c r="B190" s="1220"/>
      <c r="C190" s="1218"/>
      <c r="D190" s="96" t="s">
        <v>257</v>
      </c>
      <c r="E190" s="95"/>
      <c r="F190" s="80"/>
      <c r="G190" s="80"/>
      <c r="H190" s="80"/>
      <c r="I190" s="80">
        <v>459</v>
      </c>
      <c r="J190" s="96"/>
      <c r="K190" s="96"/>
      <c r="L190" s="96"/>
    </row>
    <row r="191" spans="1:12" hidden="1" x14ac:dyDescent="0.25">
      <c r="A191" s="1479"/>
      <c r="B191" s="1220"/>
      <c r="C191" s="1218"/>
      <c r="D191" s="96" t="s">
        <v>263</v>
      </c>
      <c r="E191" s="95"/>
      <c r="F191" s="80"/>
      <c r="G191" s="80"/>
      <c r="H191" s="80"/>
      <c r="I191" s="80">
        <v>330</v>
      </c>
      <c r="J191" s="96"/>
      <c r="K191" s="96"/>
      <c r="L191" s="96"/>
    </row>
    <row r="192" spans="1:12" hidden="1" x14ac:dyDescent="0.25">
      <c r="A192" s="1479"/>
      <c r="B192" s="1220"/>
      <c r="C192" s="1218"/>
      <c r="D192" s="96" t="s">
        <v>357</v>
      </c>
      <c r="E192" s="95"/>
      <c r="F192" s="94"/>
      <c r="G192" s="94"/>
      <c r="H192" s="94"/>
      <c r="I192" s="98">
        <f>I191/I189*100</f>
        <v>41.666666666666671</v>
      </c>
      <c r="J192" s="96"/>
      <c r="K192" s="96"/>
      <c r="L192" s="96"/>
    </row>
    <row r="193" spans="1:12" ht="14.85" hidden="1" customHeight="1" x14ac:dyDescent="0.25">
      <c r="A193" s="1479"/>
      <c r="B193" s="1220"/>
      <c r="C193" s="1117" t="s">
        <v>389</v>
      </c>
      <c r="D193" s="144" t="s">
        <v>251</v>
      </c>
      <c r="E193" s="94"/>
      <c r="F193" s="80">
        <v>340</v>
      </c>
      <c r="G193" s="80"/>
      <c r="H193" s="80"/>
      <c r="I193" s="80">
        <v>492</v>
      </c>
      <c r="J193" s="28"/>
      <c r="K193" s="28"/>
      <c r="L193" s="28"/>
    </row>
    <row r="194" spans="1:12" hidden="1" x14ac:dyDescent="0.25">
      <c r="A194" s="1479"/>
      <c r="B194" s="1220"/>
      <c r="C194" s="1117"/>
      <c r="D194" s="28" t="s">
        <v>257</v>
      </c>
      <c r="E194" s="94"/>
      <c r="F194" s="80">
        <v>90</v>
      </c>
      <c r="G194" s="80"/>
      <c r="H194" s="80"/>
      <c r="I194" s="80">
        <v>228</v>
      </c>
      <c r="J194" s="28"/>
      <c r="K194" s="28"/>
      <c r="L194" s="28"/>
    </row>
    <row r="195" spans="1:12" hidden="1" x14ac:dyDescent="0.25">
      <c r="A195" s="1479"/>
      <c r="B195" s="1220"/>
      <c r="C195" s="1117"/>
      <c r="D195" s="28" t="s">
        <v>263</v>
      </c>
      <c r="E195" s="94"/>
      <c r="F195" s="80">
        <v>250</v>
      </c>
      <c r="G195" s="80"/>
      <c r="H195" s="80"/>
      <c r="I195" s="80">
        <v>264</v>
      </c>
      <c r="J195" s="28"/>
      <c r="K195" s="28"/>
      <c r="L195" s="28"/>
    </row>
    <row r="196" spans="1:12" hidden="1" x14ac:dyDescent="0.25">
      <c r="A196" s="1479"/>
      <c r="B196" s="1220"/>
      <c r="C196" s="1117"/>
      <c r="D196" s="28" t="s">
        <v>357</v>
      </c>
      <c r="E196" s="94"/>
      <c r="F196" s="99">
        <f>(F195/F193)*100</f>
        <v>73.529411764705884</v>
      </c>
      <c r="G196" s="94"/>
      <c r="H196" s="94"/>
      <c r="I196" s="98">
        <f>I195/I193*100</f>
        <v>53.658536585365859</v>
      </c>
      <c r="J196" s="28"/>
      <c r="K196" s="28"/>
      <c r="L196" s="28"/>
    </row>
    <row r="197" spans="1:12" ht="14.85" hidden="1" customHeight="1" x14ac:dyDescent="0.25">
      <c r="A197" s="1479"/>
      <c r="B197" s="1220"/>
      <c r="C197" s="1117" t="s">
        <v>390</v>
      </c>
      <c r="D197" s="144" t="s">
        <v>251</v>
      </c>
      <c r="E197" s="94"/>
      <c r="F197" s="80">
        <v>320</v>
      </c>
      <c r="G197" s="80"/>
      <c r="H197" s="80"/>
      <c r="I197" s="80">
        <v>369</v>
      </c>
      <c r="J197" s="28"/>
      <c r="K197" s="28"/>
      <c r="L197" s="28"/>
    </row>
    <row r="198" spans="1:12" ht="14.85" hidden="1" customHeight="1" x14ac:dyDescent="0.25">
      <c r="A198" s="1479"/>
      <c r="B198" s="1220"/>
      <c r="C198" s="1117"/>
      <c r="D198" s="28" t="s">
        <v>257</v>
      </c>
      <c r="E198" s="94"/>
      <c r="F198" s="80">
        <v>90</v>
      </c>
      <c r="G198" s="80"/>
      <c r="H198" s="80"/>
      <c r="I198" s="80">
        <v>120</v>
      </c>
      <c r="J198" s="28"/>
      <c r="K198" s="28"/>
      <c r="L198" s="28"/>
    </row>
    <row r="199" spans="1:12" hidden="1" x14ac:dyDescent="0.25">
      <c r="A199" s="1479"/>
      <c r="B199" s="1220"/>
      <c r="C199" s="1117"/>
      <c r="D199" s="28" t="s">
        <v>263</v>
      </c>
      <c r="E199" s="94"/>
      <c r="F199" s="80">
        <v>230</v>
      </c>
      <c r="G199" s="80"/>
      <c r="H199" s="80"/>
      <c r="I199" s="80">
        <v>249</v>
      </c>
      <c r="J199" s="28"/>
      <c r="K199" s="28"/>
      <c r="L199" s="28"/>
    </row>
    <row r="200" spans="1:12" hidden="1" x14ac:dyDescent="0.25">
      <c r="A200" s="1479"/>
      <c r="B200" s="1220"/>
      <c r="C200" s="1117"/>
      <c r="D200" s="28" t="s">
        <v>357</v>
      </c>
      <c r="E200" s="94"/>
      <c r="F200" s="99">
        <f>(F199/F197)*100</f>
        <v>71.875</v>
      </c>
      <c r="G200" s="94"/>
      <c r="H200" s="94"/>
      <c r="I200" s="99">
        <f>I199/I197*100</f>
        <v>67.479674796747972</v>
      </c>
      <c r="J200" s="28"/>
      <c r="K200" s="28"/>
      <c r="L200" s="28"/>
    </row>
    <row r="201" spans="1:12" ht="14.85" hidden="1" customHeight="1" x14ac:dyDescent="0.25">
      <c r="A201" s="1479"/>
      <c r="B201" s="1220"/>
      <c r="C201" s="1117" t="s">
        <v>391</v>
      </c>
      <c r="D201" s="144" t="s">
        <v>251</v>
      </c>
      <c r="E201" s="94"/>
      <c r="F201" s="80">
        <v>915</v>
      </c>
      <c r="G201" s="80"/>
      <c r="H201" s="80"/>
      <c r="I201" s="80">
        <v>837</v>
      </c>
      <c r="J201" s="28"/>
      <c r="K201" s="28"/>
      <c r="L201" s="28"/>
    </row>
    <row r="202" spans="1:12" hidden="1" x14ac:dyDescent="0.25">
      <c r="A202" s="1479"/>
      <c r="B202" s="1220"/>
      <c r="C202" s="1117"/>
      <c r="D202" s="28" t="s">
        <v>257</v>
      </c>
      <c r="E202" s="94"/>
      <c r="F202" s="80">
        <v>190</v>
      </c>
      <c r="G202" s="80"/>
      <c r="H202" s="80"/>
      <c r="I202" s="80">
        <v>153</v>
      </c>
      <c r="J202" s="28"/>
      <c r="K202" s="28"/>
      <c r="L202" s="28"/>
    </row>
    <row r="203" spans="1:12" hidden="1" x14ac:dyDescent="0.25">
      <c r="A203" s="1479"/>
      <c r="B203" s="1220"/>
      <c r="C203" s="1117"/>
      <c r="D203" s="28" t="s">
        <v>263</v>
      </c>
      <c r="E203" s="94"/>
      <c r="F203" s="80">
        <v>725</v>
      </c>
      <c r="G203" s="80"/>
      <c r="H203" s="80"/>
      <c r="I203" s="80">
        <v>684</v>
      </c>
      <c r="J203" s="28"/>
      <c r="K203" s="28"/>
      <c r="L203" s="28"/>
    </row>
    <row r="204" spans="1:12" hidden="1" x14ac:dyDescent="0.25">
      <c r="A204" s="1479"/>
      <c r="B204" s="1220"/>
      <c r="C204" s="1117"/>
      <c r="D204" s="28" t="s">
        <v>357</v>
      </c>
      <c r="E204" s="94"/>
      <c r="F204" s="99">
        <f>(F203/F201)*100</f>
        <v>79.234972677595621</v>
      </c>
      <c r="G204" s="94"/>
      <c r="H204" s="94"/>
      <c r="I204" s="99">
        <f>I203/I201*100</f>
        <v>81.72043010752688</v>
      </c>
      <c r="J204" s="28"/>
      <c r="K204" s="28"/>
      <c r="L204" s="28"/>
    </row>
    <row r="205" spans="1:12" ht="14.85" hidden="1" customHeight="1" x14ac:dyDescent="0.25">
      <c r="A205" s="1479"/>
      <c r="B205" s="1220"/>
      <c r="C205" s="1117" t="s">
        <v>392</v>
      </c>
      <c r="D205" s="144" t="s">
        <v>251</v>
      </c>
      <c r="E205" s="94"/>
      <c r="F205" s="80">
        <v>1045</v>
      </c>
      <c r="G205" s="80"/>
      <c r="H205" s="80"/>
      <c r="I205" s="80">
        <v>477</v>
      </c>
      <c r="J205" s="28"/>
      <c r="K205" s="28"/>
      <c r="L205" s="28"/>
    </row>
    <row r="206" spans="1:12" hidden="1" x14ac:dyDescent="0.25">
      <c r="A206" s="1479"/>
      <c r="B206" s="1220"/>
      <c r="C206" s="1117"/>
      <c r="D206" s="28" t="s">
        <v>257</v>
      </c>
      <c r="E206" s="94"/>
      <c r="F206" s="80" t="s">
        <v>544</v>
      </c>
      <c r="G206" s="80"/>
      <c r="H206" s="80"/>
      <c r="I206" s="80">
        <v>63</v>
      </c>
      <c r="J206" s="28"/>
      <c r="K206" s="28"/>
      <c r="L206" s="28"/>
    </row>
    <row r="207" spans="1:12" hidden="1" x14ac:dyDescent="0.25">
      <c r="A207" s="1479"/>
      <c r="B207" s="1220"/>
      <c r="C207" s="1117"/>
      <c r="D207" s="28" t="s">
        <v>263</v>
      </c>
      <c r="E207" s="94"/>
      <c r="F207" s="80">
        <v>1020</v>
      </c>
      <c r="G207" s="80"/>
      <c r="H207" s="80"/>
      <c r="I207" s="80">
        <v>414</v>
      </c>
      <c r="J207" s="28"/>
      <c r="K207" s="28"/>
      <c r="L207" s="28"/>
    </row>
    <row r="208" spans="1:12" hidden="1" x14ac:dyDescent="0.25">
      <c r="A208" s="1479"/>
      <c r="B208" s="1220"/>
      <c r="C208" s="1117"/>
      <c r="D208" s="28" t="s">
        <v>357</v>
      </c>
      <c r="E208" s="94"/>
      <c r="F208" s="99">
        <f>(F207/F205)*100</f>
        <v>97.607655502392348</v>
      </c>
      <c r="G208" s="94"/>
      <c r="H208" s="94"/>
      <c r="I208" s="99">
        <f>I207/I205*100</f>
        <v>86.79245283018868</v>
      </c>
      <c r="J208" s="28"/>
      <c r="K208" s="28"/>
      <c r="L208" s="28"/>
    </row>
    <row r="209" spans="1:12" ht="14.85" hidden="1" customHeight="1" x14ac:dyDescent="0.25">
      <c r="A209" s="1479"/>
      <c r="B209" s="1220"/>
      <c r="C209" s="1117" t="s">
        <v>393</v>
      </c>
      <c r="D209" s="144" t="s">
        <v>251</v>
      </c>
      <c r="E209" s="94"/>
      <c r="F209" s="80">
        <v>1830</v>
      </c>
      <c r="G209" s="80"/>
      <c r="H209" s="80"/>
      <c r="I209" s="80">
        <v>1911</v>
      </c>
      <c r="J209" s="28"/>
      <c r="K209" s="28"/>
      <c r="L209" s="28"/>
    </row>
    <row r="210" spans="1:12" hidden="1" x14ac:dyDescent="0.25">
      <c r="A210" s="1479"/>
      <c r="B210" s="1220"/>
      <c r="C210" s="1117"/>
      <c r="D210" s="28" t="s">
        <v>257</v>
      </c>
      <c r="E210" s="94"/>
      <c r="F210" s="80">
        <v>965</v>
      </c>
      <c r="G210" s="80"/>
      <c r="H210" s="80"/>
      <c r="I210" s="80">
        <v>993</v>
      </c>
      <c r="J210" s="28"/>
      <c r="K210" s="28"/>
      <c r="L210" s="28"/>
    </row>
    <row r="211" spans="1:12" hidden="1" x14ac:dyDescent="0.25">
      <c r="A211" s="1479"/>
      <c r="B211" s="1220"/>
      <c r="C211" s="1117"/>
      <c r="D211" s="28" t="s">
        <v>263</v>
      </c>
      <c r="E211" s="94"/>
      <c r="F211" s="80">
        <v>865</v>
      </c>
      <c r="G211" s="80"/>
      <c r="H211" s="80"/>
      <c r="I211" s="80">
        <v>915</v>
      </c>
      <c r="J211" s="28"/>
      <c r="K211" s="28"/>
      <c r="L211" s="28"/>
    </row>
    <row r="212" spans="1:12" hidden="1" x14ac:dyDescent="0.25">
      <c r="A212" s="1479"/>
      <c r="B212" s="1220"/>
      <c r="C212" s="1117"/>
      <c r="D212" s="28" t="s">
        <v>357</v>
      </c>
      <c r="E212" s="94"/>
      <c r="F212" s="98">
        <f>(F211/F209)*100</f>
        <v>47.267759562841533</v>
      </c>
      <c r="G212" s="94"/>
      <c r="H212" s="94"/>
      <c r="I212" s="98">
        <f>I211/I209*100</f>
        <v>47.880690737833596</v>
      </c>
      <c r="J212" s="28"/>
      <c r="K212" s="28"/>
      <c r="L212" s="28"/>
    </row>
    <row r="213" spans="1:12" ht="14.85" hidden="1" customHeight="1" x14ac:dyDescent="0.25">
      <c r="A213" s="1479"/>
      <c r="B213" s="1220"/>
      <c r="C213" s="1117" t="s">
        <v>394</v>
      </c>
      <c r="D213" s="144" t="s">
        <v>251</v>
      </c>
      <c r="E213" s="94"/>
      <c r="F213" s="80">
        <v>1250</v>
      </c>
      <c r="G213" s="80"/>
      <c r="H213" s="80"/>
      <c r="I213" s="80">
        <v>1200</v>
      </c>
      <c r="J213" s="28"/>
      <c r="K213" s="28"/>
      <c r="L213" s="28"/>
    </row>
    <row r="214" spans="1:12" hidden="1" x14ac:dyDescent="0.25">
      <c r="A214" s="1479"/>
      <c r="B214" s="1220"/>
      <c r="C214" s="1117"/>
      <c r="D214" s="28" t="s">
        <v>257</v>
      </c>
      <c r="E214" s="94"/>
      <c r="F214" s="80">
        <v>1040</v>
      </c>
      <c r="G214" s="80"/>
      <c r="H214" s="80"/>
      <c r="I214" s="80">
        <v>936</v>
      </c>
      <c r="J214" s="28"/>
      <c r="K214" s="28"/>
      <c r="L214" s="28"/>
    </row>
    <row r="215" spans="1:12" hidden="1" x14ac:dyDescent="0.25">
      <c r="A215" s="1479"/>
      <c r="B215" s="1220"/>
      <c r="C215" s="1117"/>
      <c r="D215" s="28" t="s">
        <v>263</v>
      </c>
      <c r="E215" s="94"/>
      <c r="F215" s="80">
        <v>210</v>
      </c>
      <c r="G215" s="80"/>
      <c r="H215" s="80"/>
      <c r="I215" s="80">
        <v>264</v>
      </c>
      <c r="J215" s="28"/>
      <c r="K215" s="28"/>
      <c r="L215" s="28"/>
    </row>
    <row r="216" spans="1:12" hidden="1" x14ac:dyDescent="0.25">
      <c r="A216" s="1479"/>
      <c r="B216" s="1220"/>
      <c r="C216" s="1117"/>
      <c r="D216" s="28" t="s">
        <v>357</v>
      </c>
      <c r="E216" s="94"/>
      <c r="F216" s="97">
        <f>(F215/F213)*100</f>
        <v>16.8</v>
      </c>
      <c r="G216" s="94"/>
      <c r="H216" s="94"/>
      <c r="I216" s="97">
        <f>I215/I213*100</f>
        <v>22</v>
      </c>
      <c r="J216" s="28"/>
      <c r="K216" s="28"/>
      <c r="L216" s="28"/>
    </row>
    <row r="217" spans="1:12" ht="14.85" hidden="1" customHeight="1" x14ac:dyDescent="0.25">
      <c r="A217" s="1479"/>
      <c r="B217" s="1220"/>
      <c r="C217" s="1117" t="s">
        <v>395</v>
      </c>
      <c r="D217" s="144" t="s">
        <v>251</v>
      </c>
      <c r="E217" s="94"/>
      <c r="F217" s="80">
        <v>365</v>
      </c>
      <c r="G217" s="80"/>
      <c r="H217" s="80"/>
      <c r="I217" s="80">
        <v>144</v>
      </c>
      <c r="J217" s="94"/>
      <c r="K217" s="28"/>
      <c r="L217" s="28"/>
    </row>
    <row r="218" spans="1:12" ht="14.85" hidden="1" customHeight="1" x14ac:dyDescent="0.25">
      <c r="A218" s="1479"/>
      <c r="B218" s="1220"/>
      <c r="C218" s="1117"/>
      <c r="D218" s="28" t="s">
        <v>257</v>
      </c>
      <c r="E218" s="94"/>
      <c r="F218" s="80">
        <v>255</v>
      </c>
      <c r="G218" s="80"/>
      <c r="H218" s="80"/>
      <c r="I218" s="80">
        <v>99</v>
      </c>
      <c r="J218" s="94"/>
      <c r="K218" s="28"/>
      <c r="L218" s="28"/>
    </row>
    <row r="219" spans="1:12" hidden="1" x14ac:dyDescent="0.25">
      <c r="A219" s="1479"/>
      <c r="B219" s="1220"/>
      <c r="C219" s="1117"/>
      <c r="D219" s="28" t="s">
        <v>263</v>
      </c>
      <c r="E219" s="94"/>
      <c r="F219" s="80">
        <v>110</v>
      </c>
      <c r="G219" s="80"/>
      <c r="H219" s="80"/>
      <c r="I219" s="80">
        <v>45</v>
      </c>
      <c r="J219" s="94"/>
      <c r="K219" s="28"/>
      <c r="L219" s="28"/>
    </row>
    <row r="220" spans="1:12" hidden="1" x14ac:dyDescent="0.25">
      <c r="A220" s="1479"/>
      <c r="B220" s="1220"/>
      <c r="C220" s="1117"/>
      <c r="D220" s="28" t="s">
        <v>357</v>
      </c>
      <c r="E220" s="94"/>
      <c r="F220" s="97">
        <f>(F219/F217)*100</f>
        <v>30.136986301369863</v>
      </c>
      <c r="G220" s="94"/>
      <c r="H220" s="94"/>
      <c r="I220" s="97">
        <f>I219/I217*100</f>
        <v>31.25</v>
      </c>
      <c r="J220" s="94"/>
      <c r="K220" s="28"/>
      <c r="L220" s="28"/>
    </row>
    <row r="221" spans="1:12" ht="14.85" hidden="1" customHeight="1" x14ac:dyDescent="0.25">
      <c r="A221" s="1479"/>
      <c r="B221" s="1220"/>
      <c r="C221" s="1117" t="s">
        <v>396</v>
      </c>
      <c r="D221" s="144" t="s">
        <v>251</v>
      </c>
      <c r="E221" s="94"/>
      <c r="F221" s="80">
        <v>90</v>
      </c>
      <c r="G221" s="80"/>
      <c r="H221" s="80"/>
      <c r="I221" s="80">
        <v>9</v>
      </c>
      <c r="J221" s="94"/>
      <c r="K221" s="28"/>
      <c r="L221" s="28"/>
    </row>
    <row r="222" spans="1:12" hidden="1" x14ac:dyDescent="0.25">
      <c r="A222" s="1479"/>
      <c r="B222" s="1220"/>
      <c r="C222" s="1117"/>
      <c r="D222" s="28" t="s">
        <v>257</v>
      </c>
      <c r="E222" s="94"/>
      <c r="F222" s="80">
        <v>10</v>
      </c>
      <c r="G222" s="80"/>
      <c r="H222" s="80"/>
      <c r="I222" s="80">
        <v>3</v>
      </c>
      <c r="J222" s="94"/>
      <c r="K222" s="28"/>
      <c r="L222" s="28"/>
    </row>
    <row r="223" spans="1:12" hidden="1" x14ac:dyDescent="0.25">
      <c r="A223" s="1479"/>
      <c r="B223" s="1220"/>
      <c r="C223" s="1117"/>
      <c r="D223" s="28" t="s">
        <v>263</v>
      </c>
      <c r="E223" s="94"/>
      <c r="F223" s="80">
        <v>75</v>
      </c>
      <c r="G223" s="80"/>
      <c r="H223" s="80"/>
      <c r="I223" s="80">
        <v>6</v>
      </c>
      <c r="J223" s="94"/>
      <c r="K223" s="28"/>
      <c r="L223" s="28"/>
    </row>
    <row r="224" spans="1:12" hidden="1" x14ac:dyDescent="0.25">
      <c r="A224" s="1479"/>
      <c r="B224" s="1220"/>
      <c r="C224" s="1117"/>
      <c r="D224" s="28" t="s">
        <v>357</v>
      </c>
      <c r="E224" s="94"/>
      <c r="F224" s="99">
        <f>(F223/F221)*100</f>
        <v>83.333333333333343</v>
      </c>
      <c r="G224" s="94"/>
      <c r="H224" s="94"/>
      <c r="I224" s="99">
        <f>I223/I221*100</f>
        <v>66.666666666666657</v>
      </c>
      <c r="J224" s="94"/>
      <c r="K224" s="28"/>
      <c r="L224" s="28"/>
    </row>
    <row r="225" spans="1:12" ht="14.85" hidden="1" customHeight="1" x14ac:dyDescent="0.25">
      <c r="A225" s="1479"/>
      <c r="B225" s="1220"/>
      <c r="C225" s="1117" t="s">
        <v>397</v>
      </c>
      <c r="D225" s="144" t="s">
        <v>251</v>
      </c>
      <c r="E225" s="94"/>
      <c r="F225" s="80"/>
      <c r="G225" s="80"/>
      <c r="H225" s="80"/>
      <c r="I225" s="80">
        <v>6</v>
      </c>
      <c r="J225" s="94"/>
      <c r="K225" s="28"/>
      <c r="L225" s="28"/>
    </row>
    <row r="226" spans="1:12" hidden="1" x14ac:dyDescent="0.25">
      <c r="A226" s="1479"/>
      <c r="B226" s="1220"/>
      <c r="C226" s="1117"/>
      <c r="D226" s="28" t="s">
        <v>257</v>
      </c>
      <c r="E226" s="94"/>
      <c r="F226" s="80"/>
      <c r="G226" s="80"/>
      <c r="H226" s="80"/>
      <c r="I226" s="80">
        <v>3</v>
      </c>
      <c r="J226" s="94"/>
      <c r="K226" s="28"/>
      <c r="L226" s="28"/>
    </row>
    <row r="227" spans="1:12" hidden="1" x14ac:dyDescent="0.25">
      <c r="A227" s="1479"/>
      <c r="B227" s="1220"/>
      <c r="C227" s="1117"/>
      <c r="D227" s="28" t="s">
        <v>263</v>
      </c>
      <c r="E227" s="94"/>
      <c r="F227" s="80"/>
      <c r="G227" s="80"/>
      <c r="H227" s="80"/>
      <c r="I227" s="80">
        <v>3</v>
      </c>
      <c r="J227" s="94"/>
      <c r="K227" s="28"/>
      <c r="L227" s="28"/>
    </row>
    <row r="228" spans="1:12" hidden="1" x14ac:dyDescent="0.25">
      <c r="A228" s="1479"/>
      <c r="B228" s="1220"/>
      <c r="C228" s="1117"/>
      <c r="D228" s="28" t="s">
        <v>357</v>
      </c>
      <c r="E228" s="94"/>
      <c r="F228" s="94"/>
      <c r="G228" s="94"/>
      <c r="H228" s="94"/>
      <c r="I228" s="98">
        <f>I227/I225*100</f>
        <v>50</v>
      </c>
      <c r="J228" s="94"/>
      <c r="K228" s="28"/>
      <c r="L228" s="28"/>
    </row>
    <row r="229" spans="1:12" ht="14.85" hidden="1" customHeight="1" x14ac:dyDescent="0.25">
      <c r="A229" s="1479"/>
      <c r="B229" s="1220"/>
      <c r="C229" s="1117" t="s">
        <v>398</v>
      </c>
      <c r="D229" s="144" t="s">
        <v>251</v>
      </c>
      <c r="E229" s="94"/>
      <c r="F229" s="80">
        <v>20</v>
      </c>
      <c r="G229" s="80"/>
      <c r="H229" s="80"/>
      <c r="I229" s="80">
        <v>9</v>
      </c>
      <c r="J229" s="94"/>
      <c r="K229" s="28"/>
      <c r="L229" s="28"/>
    </row>
    <row r="230" spans="1:12" ht="14.85" hidden="1" customHeight="1" x14ac:dyDescent="0.25">
      <c r="A230" s="1479"/>
      <c r="B230" s="1220"/>
      <c r="C230" s="1117"/>
      <c r="D230" s="28" t="s">
        <v>257</v>
      </c>
      <c r="E230" s="94"/>
      <c r="F230" s="80">
        <v>20</v>
      </c>
      <c r="G230" s="80"/>
      <c r="H230" s="80"/>
      <c r="I230" s="80">
        <v>6</v>
      </c>
      <c r="J230" s="94"/>
      <c r="K230" s="28"/>
      <c r="L230" s="28"/>
    </row>
    <row r="231" spans="1:12" hidden="1" x14ac:dyDescent="0.25">
      <c r="A231" s="1479"/>
      <c r="B231" s="1220"/>
      <c r="C231" s="1117"/>
      <c r="D231" s="28" t="s">
        <v>263</v>
      </c>
      <c r="E231" s="94"/>
      <c r="F231" s="80">
        <v>0</v>
      </c>
      <c r="G231" s="80"/>
      <c r="H231" s="80"/>
      <c r="I231" s="80">
        <v>3</v>
      </c>
      <c r="J231" s="94"/>
      <c r="K231" s="28"/>
      <c r="L231" s="28"/>
    </row>
    <row r="232" spans="1:12" hidden="1" x14ac:dyDescent="0.25">
      <c r="A232" s="1479"/>
      <c r="B232" s="1220"/>
      <c r="C232" s="1117"/>
      <c r="D232" s="28" t="s">
        <v>357</v>
      </c>
      <c r="E232" s="94"/>
      <c r="F232" s="97">
        <f>(F231/F229)*100</f>
        <v>0</v>
      </c>
      <c r="G232" s="94"/>
      <c r="H232" s="94"/>
      <c r="I232" s="97">
        <f>I231/I229*100</f>
        <v>33.333333333333329</v>
      </c>
      <c r="J232" s="94"/>
      <c r="K232" s="28"/>
      <c r="L232" s="28"/>
    </row>
    <row r="233" spans="1:12" ht="14.85" hidden="1" customHeight="1" x14ac:dyDescent="0.25">
      <c r="A233" s="1479"/>
      <c r="B233" s="1220"/>
      <c r="C233" s="1117" t="s">
        <v>399</v>
      </c>
      <c r="D233" s="144" t="s">
        <v>251</v>
      </c>
      <c r="E233" s="94"/>
      <c r="F233" s="80">
        <v>450</v>
      </c>
      <c r="G233" s="80"/>
      <c r="H233" s="80"/>
      <c r="I233" s="80">
        <v>945</v>
      </c>
      <c r="J233" s="94"/>
      <c r="K233" s="28"/>
      <c r="L233" s="28"/>
    </row>
    <row r="234" spans="1:12" ht="14.85" hidden="1" customHeight="1" x14ac:dyDescent="0.25">
      <c r="A234" s="1479"/>
      <c r="B234" s="1220"/>
      <c r="C234" s="1117"/>
      <c r="D234" s="28" t="s">
        <v>257</v>
      </c>
      <c r="E234" s="94"/>
      <c r="F234" s="80">
        <v>385</v>
      </c>
      <c r="G234" s="80"/>
      <c r="H234" s="80"/>
      <c r="I234" s="80">
        <v>882</v>
      </c>
      <c r="J234" s="94"/>
      <c r="K234" s="28"/>
      <c r="L234" s="28"/>
    </row>
    <row r="235" spans="1:12" hidden="1" x14ac:dyDescent="0.25">
      <c r="A235" s="1479"/>
      <c r="B235" s="1220"/>
      <c r="C235" s="1117"/>
      <c r="D235" s="28" t="s">
        <v>263</v>
      </c>
      <c r="E235" s="94"/>
      <c r="F235" s="80">
        <v>65</v>
      </c>
      <c r="G235" s="80"/>
      <c r="H235" s="80"/>
      <c r="I235" s="80">
        <v>60</v>
      </c>
      <c r="J235" s="94"/>
      <c r="K235" s="28"/>
      <c r="L235" s="28"/>
    </row>
    <row r="236" spans="1:12" hidden="1" x14ac:dyDescent="0.25">
      <c r="A236" s="1479"/>
      <c r="B236" s="1220"/>
      <c r="C236" s="1117"/>
      <c r="D236" s="28" t="s">
        <v>357</v>
      </c>
      <c r="E236" s="94"/>
      <c r="F236" s="97">
        <f>(F235/F233)*100</f>
        <v>14.444444444444443</v>
      </c>
      <c r="G236" s="94"/>
      <c r="H236" s="94"/>
      <c r="I236" s="97">
        <f>I235/I233*100</f>
        <v>6.3492063492063489</v>
      </c>
      <c r="J236" s="94"/>
      <c r="K236" s="28"/>
      <c r="L236" s="28"/>
    </row>
    <row r="237" spans="1:12" ht="14.85" hidden="1" customHeight="1" x14ac:dyDescent="0.25">
      <c r="A237" s="1479"/>
      <c r="B237" s="1220"/>
      <c r="C237" s="1117" t="s">
        <v>400</v>
      </c>
      <c r="D237" s="144" t="s">
        <v>251</v>
      </c>
      <c r="E237" s="94"/>
      <c r="F237" s="80">
        <v>765</v>
      </c>
      <c r="G237" s="80"/>
      <c r="H237" s="80"/>
      <c r="I237" s="80">
        <v>408</v>
      </c>
      <c r="J237" s="94"/>
      <c r="K237" s="28"/>
      <c r="L237" s="28"/>
    </row>
    <row r="238" spans="1:12" hidden="1" x14ac:dyDescent="0.25">
      <c r="A238" s="1479"/>
      <c r="B238" s="1220"/>
      <c r="C238" s="1117"/>
      <c r="D238" s="28" t="s">
        <v>257</v>
      </c>
      <c r="E238" s="94"/>
      <c r="F238" s="80">
        <v>590</v>
      </c>
      <c r="G238" s="80"/>
      <c r="H238" s="80"/>
      <c r="I238" s="80">
        <v>375</v>
      </c>
      <c r="J238" s="94"/>
      <c r="K238" s="28"/>
      <c r="L238" s="28"/>
    </row>
    <row r="239" spans="1:12" hidden="1" x14ac:dyDescent="0.25">
      <c r="A239" s="1479"/>
      <c r="B239" s="1220"/>
      <c r="C239" s="1117"/>
      <c r="D239" s="28" t="s">
        <v>263</v>
      </c>
      <c r="E239" s="94"/>
      <c r="F239" s="80">
        <v>175</v>
      </c>
      <c r="G239" s="80"/>
      <c r="H239" s="80"/>
      <c r="I239" s="80">
        <v>36</v>
      </c>
      <c r="J239" s="94"/>
      <c r="K239" s="28"/>
      <c r="L239" s="28"/>
    </row>
    <row r="240" spans="1:12" hidden="1" x14ac:dyDescent="0.25">
      <c r="A240" s="1479"/>
      <c r="B240" s="1220"/>
      <c r="C240" s="1117"/>
      <c r="D240" s="28" t="s">
        <v>357</v>
      </c>
      <c r="E240" s="94"/>
      <c r="F240" s="97">
        <f>(F239/F237)*100</f>
        <v>22.875816993464053</v>
      </c>
      <c r="G240" s="94"/>
      <c r="H240" s="94"/>
      <c r="I240" s="97">
        <f>I239/I237*100</f>
        <v>8.8235294117647065</v>
      </c>
      <c r="J240" s="94"/>
      <c r="K240" s="28"/>
      <c r="L240" s="28"/>
    </row>
    <row r="241" spans="1:12" ht="14.85" hidden="1" customHeight="1" x14ac:dyDescent="0.25">
      <c r="A241" s="1479"/>
      <c r="B241" s="1220"/>
      <c r="C241" s="1117" t="s">
        <v>401</v>
      </c>
      <c r="D241" s="144" t="s">
        <v>251</v>
      </c>
      <c r="E241" s="94"/>
      <c r="F241" s="80">
        <v>285</v>
      </c>
      <c r="G241" s="80"/>
      <c r="H241" s="80"/>
      <c r="I241" s="80">
        <v>186</v>
      </c>
      <c r="J241" s="94"/>
      <c r="K241" s="28"/>
      <c r="L241" s="28"/>
    </row>
    <row r="242" spans="1:12" hidden="1" x14ac:dyDescent="0.25">
      <c r="A242" s="1479"/>
      <c r="B242" s="1220"/>
      <c r="C242" s="1117"/>
      <c r="D242" s="28" t="s">
        <v>257</v>
      </c>
      <c r="E242" s="94"/>
      <c r="F242" s="80">
        <v>275</v>
      </c>
      <c r="G242" s="80"/>
      <c r="H242" s="80"/>
      <c r="I242" s="80">
        <v>177</v>
      </c>
      <c r="J242" s="94"/>
      <c r="K242" s="28"/>
      <c r="L242" s="28"/>
    </row>
    <row r="243" spans="1:12" hidden="1" x14ac:dyDescent="0.25">
      <c r="A243" s="1479"/>
      <c r="B243" s="1220"/>
      <c r="C243" s="1117"/>
      <c r="D243" s="28" t="s">
        <v>263</v>
      </c>
      <c r="E243" s="94"/>
      <c r="F243" s="80">
        <v>15</v>
      </c>
      <c r="G243" s="80"/>
      <c r="H243" s="80"/>
      <c r="I243" s="80">
        <v>9</v>
      </c>
      <c r="J243" s="94"/>
      <c r="K243" s="28"/>
      <c r="L243" s="28"/>
    </row>
    <row r="244" spans="1:12" hidden="1" x14ac:dyDescent="0.25">
      <c r="A244" s="1479"/>
      <c r="B244" s="1220"/>
      <c r="C244" s="1117"/>
      <c r="D244" s="28" t="s">
        <v>357</v>
      </c>
      <c r="E244" s="94"/>
      <c r="F244" s="97">
        <f>(F243/F241)*100</f>
        <v>5.2631578947368416</v>
      </c>
      <c r="G244" s="94"/>
      <c r="H244" s="94"/>
      <c r="I244" s="97">
        <f>I243/I241*100</f>
        <v>4.838709677419355</v>
      </c>
      <c r="J244" s="94"/>
      <c r="K244" s="28"/>
      <c r="L244" s="28"/>
    </row>
    <row r="245" spans="1:12" ht="14.85" hidden="1" customHeight="1" x14ac:dyDescent="0.25">
      <c r="A245" s="1479"/>
      <c r="B245" s="1220"/>
      <c r="C245" s="1117" t="s">
        <v>402</v>
      </c>
      <c r="D245" s="144" t="s">
        <v>251</v>
      </c>
      <c r="E245" s="94"/>
      <c r="F245" s="80">
        <v>205</v>
      </c>
      <c r="G245" s="80"/>
      <c r="H245" s="80"/>
      <c r="I245" s="80">
        <v>372</v>
      </c>
      <c r="J245" s="94"/>
      <c r="K245" s="28"/>
      <c r="L245" s="28"/>
    </row>
    <row r="246" spans="1:12" hidden="1" x14ac:dyDescent="0.25">
      <c r="A246" s="1479"/>
      <c r="B246" s="1220"/>
      <c r="C246" s="1117"/>
      <c r="D246" s="28" t="s">
        <v>257</v>
      </c>
      <c r="E246" s="94"/>
      <c r="F246" s="80">
        <v>195</v>
      </c>
      <c r="G246" s="80"/>
      <c r="H246" s="80"/>
      <c r="I246" s="80">
        <v>351</v>
      </c>
      <c r="J246" s="94"/>
      <c r="K246" s="28"/>
      <c r="L246" s="28"/>
    </row>
    <row r="247" spans="1:12" hidden="1" x14ac:dyDescent="0.25">
      <c r="A247" s="1479"/>
      <c r="B247" s="1220"/>
      <c r="C247" s="1117"/>
      <c r="D247" s="28" t="s">
        <v>263</v>
      </c>
      <c r="E247" s="94"/>
      <c r="F247" s="80">
        <v>10</v>
      </c>
      <c r="G247" s="80"/>
      <c r="H247" s="80"/>
      <c r="I247" s="80">
        <v>18</v>
      </c>
      <c r="J247" s="94"/>
      <c r="K247" s="28"/>
      <c r="L247" s="28"/>
    </row>
    <row r="248" spans="1:12" hidden="1" x14ac:dyDescent="0.25">
      <c r="A248" s="1479"/>
      <c r="B248" s="1220"/>
      <c r="C248" s="1117"/>
      <c r="D248" s="28" t="s">
        <v>357</v>
      </c>
      <c r="E248" s="94"/>
      <c r="F248" s="97">
        <f>(F247/F245)*100</f>
        <v>4.8780487804878048</v>
      </c>
      <c r="G248" s="94"/>
      <c r="H248" s="94"/>
      <c r="I248" s="97">
        <f>I247/I245*100</f>
        <v>4.838709677419355</v>
      </c>
      <c r="J248" s="94"/>
      <c r="K248" s="28"/>
      <c r="L248" s="28"/>
    </row>
    <row r="249" spans="1:12" ht="14.85" hidden="1" customHeight="1" x14ac:dyDescent="0.25">
      <c r="A249" s="1479"/>
      <c r="B249" s="1220"/>
      <c r="C249" s="1117" t="s">
        <v>403</v>
      </c>
      <c r="D249" s="144" t="s">
        <v>251</v>
      </c>
      <c r="E249" s="94"/>
      <c r="F249" s="80">
        <v>610</v>
      </c>
      <c r="G249" s="80"/>
      <c r="H249" s="80"/>
      <c r="I249" s="80">
        <v>495</v>
      </c>
      <c r="J249" s="94"/>
      <c r="K249" s="28"/>
      <c r="L249" s="28"/>
    </row>
    <row r="250" spans="1:12" hidden="1" x14ac:dyDescent="0.25">
      <c r="A250" s="1479"/>
      <c r="B250" s="1220"/>
      <c r="C250" s="1117"/>
      <c r="D250" s="28" t="s">
        <v>257</v>
      </c>
      <c r="E250" s="94"/>
      <c r="F250" s="80">
        <v>410</v>
      </c>
      <c r="G250" s="80"/>
      <c r="H250" s="80"/>
      <c r="I250" s="80">
        <v>444</v>
      </c>
      <c r="J250" s="94"/>
      <c r="K250" s="28"/>
      <c r="L250" s="28"/>
    </row>
    <row r="251" spans="1:12" hidden="1" x14ac:dyDescent="0.25">
      <c r="A251" s="1479"/>
      <c r="B251" s="1220"/>
      <c r="C251" s="1117"/>
      <c r="D251" s="28" t="s">
        <v>263</v>
      </c>
      <c r="E251" s="94"/>
      <c r="F251" s="80">
        <v>200</v>
      </c>
      <c r="G251" s="80"/>
      <c r="H251" s="80"/>
      <c r="I251" s="80">
        <v>48</v>
      </c>
      <c r="J251" s="94"/>
      <c r="K251" s="28"/>
      <c r="L251" s="28"/>
    </row>
    <row r="252" spans="1:12" hidden="1" x14ac:dyDescent="0.25">
      <c r="A252" s="1479"/>
      <c r="B252" s="1220"/>
      <c r="C252" s="1117"/>
      <c r="D252" s="28" t="s">
        <v>357</v>
      </c>
      <c r="E252" s="94"/>
      <c r="F252" s="97">
        <f>(F251/F249)*100</f>
        <v>32.786885245901637</v>
      </c>
      <c r="G252" s="94"/>
      <c r="H252" s="94"/>
      <c r="I252" s="97">
        <f>I251/I249*100</f>
        <v>9.6969696969696972</v>
      </c>
      <c r="J252" s="94"/>
      <c r="K252" s="28"/>
      <c r="L252" s="28"/>
    </row>
    <row r="253" spans="1:12" ht="14.85" hidden="1" customHeight="1" x14ac:dyDescent="0.25">
      <c r="A253" s="1479"/>
      <c r="B253" s="1220"/>
      <c r="C253" s="1117" t="s">
        <v>404</v>
      </c>
      <c r="D253" s="144" t="s">
        <v>251</v>
      </c>
      <c r="E253" s="94"/>
      <c r="F253" s="80">
        <v>260</v>
      </c>
      <c r="G253" s="80"/>
      <c r="H253" s="80"/>
      <c r="I253" s="80">
        <v>93</v>
      </c>
      <c r="J253" s="94"/>
      <c r="K253" s="28"/>
      <c r="L253" s="28"/>
    </row>
    <row r="254" spans="1:12" ht="14.85" hidden="1" customHeight="1" x14ac:dyDescent="0.25">
      <c r="A254" s="1479"/>
      <c r="B254" s="1220"/>
      <c r="C254" s="1117"/>
      <c r="D254" s="28" t="s">
        <v>257</v>
      </c>
      <c r="E254" s="94"/>
      <c r="F254" s="80">
        <v>165</v>
      </c>
      <c r="G254" s="80"/>
      <c r="H254" s="80"/>
      <c r="I254" s="80">
        <v>72</v>
      </c>
      <c r="J254" s="94"/>
      <c r="K254" s="28"/>
      <c r="L254" s="28"/>
    </row>
    <row r="255" spans="1:12" hidden="1" x14ac:dyDescent="0.25">
      <c r="A255" s="1479"/>
      <c r="B255" s="1220"/>
      <c r="C255" s="1117"/>
      <c r="D255" s="28" t="s">
        <v>263</v>
      </c>
      <c r="E255" s="94"/>
      <c r="F255" s="80">
        <v>95</v>
      </c>
      <c r="G255" s="80"/>
      <c r="H255" s="80"/>
      <c r="I255" s="80">
        <v>21</v>
      </c>
      <c r="J255" s="94"/>
      <c r="K255" s="28"/>
      <c r="L255" s="28"/>
    </row>
    <row r="256" spans="1:12" hidden="1" x14ac:dyDescent="0.25">
      <c r="A256" s="1479"/>
      <c r="B256" s="1220"/>
      <c r="C256" s="1117"/>
      <c r="D256" s="28" t="s">
        <v>357</v>
      </c>
      <c r="E256" s="94"/>
      <c r="F256" s="97">
        <f>(F255/F253)*100</f>
        <v>36.538461538461533</v>
      </c>
      <c r="G256" s="94"/>
      <c r="H256" s="94"/>
      <c r="I256" s="97">
        <f>I255/I253*100</f>
        <v>22.58064516129032</v>
      </c>
      <c r="J256" s="94"/>
      <c r="K256" s="28"/>
      <c r="L256" s="28"/>
    </row>
    <row r="257" spans="1:12" ht="14.85" hidden="1" customHeight="1" x14ac:dyDescent="0.25">
      <c r="A257" s="1479"/>
      <c r="B257" s="1220"/>
      <c r="C257" s="1117" t="s">
        <v>405</v>
      </c>
      <c r="D257" s="144" t="s">
        <v>251</v>
      </c>
      <c r="E257" s="94"/>
      <c r="F257" s="80">
        <v>285</v>
      </c>
      <c r="G257" s="80"/>
      <c r="H257" s="80"/>
      <c r="I257" s="80">
        <v>120</v>
      </c>
      <c r="J257" s="94"/>
      <c r="K257" s="28"/>
      <c r="L257" s="28"/>
    </row>
    <row r="258" spans="1:12" hidden="1" x14ac:dyDescent="0.25">
      <c r="A258" s="1479"/>
      <c r="B258" s="1220"/>
      <c r="C258" s="1117"/>
      <c r="D258" s="28" t="s">
        <v>257</v>
      </c>
      <c r="E258" s="94"/>
      <c r="F258" s="80">
        <v>240</v>
      </c>
      <c r="G258" s="80"/>
      <c r="H258" s="80"/>
      <c r="I258" s="80">
        <v>81</v>
      </c>
      <c r="J258" s="94"/>
      <c r="K258" s="28"/>
      <c r="L258" s="28"/>
    </row>
    <row r="259" spans="1:12" hidden="1" x14ac:dyDescent="0.25">
      <c r="A259" s="1479"/>
      <c r="B259" s="1220"/>
      <c r="C259" s="1117"/>
      <c r="D259" s="28" t="s">
        <v>263</v>
      </c>
      <c r="E259" s="94"/>
      <c r="F259" s="80">
        <v>45</v>
      </c>
      <c r="G259" s="80"/>
      <c r="H259" s="80"/>
      <c r="I259" s="80">
        <v>36</v>
      </c>
      <c r="J259" s="94"/>
      <c r="K259" s="28"/>
      <c r="L259" s="28"/>
    </row>
    <row r="260" spans="1:12" hidden="1" x14ac:dyDescent="0.25">
      <c r="A260" s="1479"/>
      <c r="B260" s="1220"/>
      <c r="C260" s="1117"/>
      <c r="D260" s="28" t="s">
        <v>357</v>
      </c>
      <c r="E260" s="94"/>
      <c r="F260" s="97">
        <f>(F259/F257)*100</f>
        <v>15.789473684210526</v>
      </c>
      <c r="G260" s="94"/>
      <c r="H260" s="94"/>
      <c r="I260" s="97">
        <f>I259/I257*100</f>
        <v>30</v>
      </c>
      <c r="J260" s="94"/>
      <c r="K260" s="28"/>
      <c r="L260" s="28"/>
    </row>
    <row r="261" spans="1:12" ht="14.85" hidden="1" customHeight="1" x14ac:dyDescent="0.25">
      <c r="A261" s="1479"/>
      <c r="B261" s="1220"/>
      <c r="C261" s="1117" t="s">
        <v>406</v>
      </c>
      <c r="D261" s="144" t="s">
        <v>251</v>
      </c>
      <c r="E261" s="94"/>
      <c r="F261" s="80">
        <v>215</v>
      </c>
      <c r="G261" s="80"/>
      <c r="H261" s="80"/>
      <c r="I261" s="80">
        <v>243</v>
      </c>
      <c r="J261" s="94"/>
      <c r="K261" s="28"/>
      <c r="L261" s="28"/>
    </row>
    <row r="262" spans="1:12" hidden="1" x14ac:dyDescent="0.25">
      <c r="A262" s="1479"/>
      <c r="B262" s="1220"/>
      <c r="C262" s="1117"/>
      <c r="D262" s="28" t="s">
        <v>257</v>
      </c>
      <c r="E262" s="94"/>
      <c r="F262" s="80">
        <v>120</v>
      </c>
      <c r="G262" s="80"/>
      <c r="H262" s="80"/>
      <c r="I262" s="80">
        <v>174</v>
      </c>
      <c r="J262" s="94"/>
      <c r="K262" s="28"/>
      <c r="L262" s="28"/>
    </row>
    <row r="263" spans="1:12" hidden="1" x14ac:dyDescent="0.25">
      <c r="A263" s="1479"/>
      <c r="B263" s="1220"/>
      <c r="C263" s="1117"/>
      <c r="D263" s="28" t="s">
        <v>263</v>
      </c>
      <c r="E263" s="94"/>
      <c r="F263" s="80">
        <v>90</v>
      </c>
      <c r="G263" s="80"/>
      <c r="H263" s="80"/>
      <c r="I263" s="80">
        <v>69</v>
      </c>
      <c r="J263" s="94"/>
      <c r="K263" s="28"/>
      <c r="L263" s="28"/>
    </row>
    <row r="264" spans="1:12" hidden="1" x14ac:dyDescent="0.25">
      <c r="A264" s="1479"/>
      <c r="B264" s="1220"/>
      <c r="C264" s="1117"/>
      <c r="D264" s="28" t="s">
        <v>357</v>
      </c>
      <c r="E264" s="94"/>
      <c r="F264" s="98">
        <f>(F263/F261)*100</f>
        <v>41.860465116279073</v>
      </c>
      <c r="G264" s="94"/>
      <c r="H264" s="94"/>
      <c r="I264" s="97">
        <f>I263/I261*100</f>
        <v>28.39506172839506</v>
      </c>
      <c r="J264" s="94"/>
      <c r="K264" s="28"/>
      <c r="L264" s="28"/>
    </row>
    <row r="265" spans="1:12" ht="14.85" hidden="1" customHeight="1" x14ac:dyDescent="0.25">
      <c r="A265" s="1479"/>
      <c r="B265" s="1220"/>
      <c r="C265" s="1117" t="s">
        <v>407</v>
      </c>
      <c r="D265" s="144" t="s">
        <v>251</v>
      </c>
      <c r="E265" s="94"/>
      <c r="F265" s="80">
        <v>370</v>
      </c>
      <c r="G265" s="80"/>
      <c r="H265" s="80"/>
      <c r="I265" s="80">
        <v>159</v>
      </c>
      <c r="J265" s="94"/>
      <c r="K265" s="28"/>
      <c r="L265" s="28"/>
    </row>
    <row r="266" spans="1:12" hidden="1" x14ac:dyDescent="0.25">
      <c r="A266" s="1479"/>
      <c r="B266" s="1220"/>
      <c r="C266" s="1117"/>
      <c r="D266" s="28" t="s">
        <v>257</v>
      </c>
      <c r="E266" s="94"/>
      <c r="F266" s="80">
        <v>250</v>
      </c>
      <c r="G266" s="80"/>
      <c r="H266" s="80"/>
      <c r="I266" s="80">
        <v>117</v>
      </c>
      <c r="J266" s="94"/>
      <c r="K266" s="28"/>
      <c r="L266" s="28"/>
    </row>
    <row r="267" spans="1:12" hidden="1" x14ac:dyDescent="0.25">
      <c r="A267" s="1479"/>
      <c r="B267" s="1220"/>
      <c r="C267" s="1117"/>
      <c r="D267" s="28" t="s">
        <v>263</v>
      </c>
      <c r="E267" s="94"/>
      <c r="F267" s="80">
        <v>120</v>
      </c>
      <c r="G267" s="80"/>
      <c r="H267" s="80"/>
      <c r="I267" s="80">
        <v>42</v>
      </c>
      <c r="J267" s="94"/>
      <c r="K267" s="28"/>
      <c r="L267" s="28"/>
    </row>
    <row r="268" spans="1:12" hidden="1" x14ac:dyDescent="0.25">
      <c r="A268" s="1479"/>
      <c r="B268" s="1220"/>
      <c r="C268" s="1117"/>
      <c r="D268" s="28" t="s">
        <v>357</v>
      </c>
      <c r="E268" s="94"/>
      <c r="F268" s="97">
        <f>(F267/F265)*100</f>
        <v>32.432432432432435</v>
      </c>
      <c r="G268" s="94"/>
      <c r="H268" s="94"/>
      <c r="I268" s="97">
        <f>I267/I265*100</f>
        <v>26.415094339622641</v>
      </c>
      <c r="J268" s="94"/>
      <c r="K268" s="28"/>
      <c r="L268" s="28"/>
    </row>
    <row r="269" spans="1:12" ht="14.85" hidden="1" customHeight="1" x14ac:dyDescent="0.25">
      <c r="A269" s="1479"/>
      <c r="B269" s="1220"/>
      <c r="C269" s="1117" t="s">
        <v>408</v>
      </c>
      <c r="D269" s="144" t="s">
        <v>251</v>
      </c>
      <c r="E269" s="94"/>
      <c r="F269" s="80">
        <v>45</v>
      </c>
      <c r="G269" s="80"/>
      <c r="H269" s="80"/>
      <c r="I269" s="80">
        <v>78</v>
      </c>
      <c r="J269" s="94"/>
      <c r="K269" s="28"/>
      <c r="L269" s="28"/>
    </row>
    <row r="270" spans="1:12" hidden="1" x14ac:dyDescent="0.25">
      <c r="A270" s="1479"/>
      <c r="B270" s="1220"/>
      <c r="C270" s="1117"/>
      <c r="D270" s="28" t="s">
        <v>257</v>
      </c>
      <c r="E270" s="94"/>
      <c r="F270" s="80">
        <v>20</v>
      </c>
      <c r="G270" s="80"/>
      <c r="H270" s="80"/>
      <c r="I270" s="80">
        <v>69</v>
      </c>
      <c r="J270" s="94"/>
      <c r="K270" s="28"/>
      <c r="L270" s="28"/>
    </row>
    <row r="271" spans="1:12" hidden="1" x14ac:dyDescent="0.25">
      <c r="A271" s="1479"/>
      <c r="B271" s="1220"/>
      <c r="C271" s="1117"/>
      <c r="D271" s="28" t="s">
        <v>263</v>
      </c>
      <c r="E271" s="94"/>
      <c r="F271" s="80">
        <v>25</v>
      </c>
      <c r="G271" s="80"/>
      <c r="H271" s="80"/>
      <c r="I271" s="80">
        <v>12</v>
      </c>
      <c r="J271" s="94"/>
      <c r="K271" s="28"/>
      <c r="L271" s="28"/>
    </row>
    <row r="272" spans="1:12" hidden="1" x14ac:dyDescent="0.25">
      <c r="A272" s="1479"/>
      <c r="B272" s="1220"/>
      <c r="C272" s="1117"/>
      <c r="D272" s="28" t="s">
        <v>357</v>
      </c>
      <c r="E272" s="94"/>
      <c r="F272" s="98">
        <f>(F271/F269)*100</f>
        <v>55.555555555555557</v>
      </c>
      <c r="G272" s="94"/>
      <c r="H272" s="94"/>
      <c r="I272" s="206">
        <f>I271/I269*100</f>
        <v>15.384615384615385</v>
      </c>
      <c r="J272" s="94"/>
      <c r="K272" s="28"/>
      <c r="L272" s="28"/>
    </row>
    <row r="273" spans="1:12" ht="14.85" hidden="1" customHeight="1" x14ac:dyDescent="0.25">
      <c r="A273" s="1479"/>
      <c r="B273" s="1220"/>
      <c r="C273" s="1117" t="s">
        <v>409</v>
      </c>
      <c r="D273" s="144" t="s">
        <v>251</v>
      </c>
      <c r="E273" s="94"/>
      <c r="F273" s="80">
        <v>220</v>
      </c>
      <c r="G273" s="80"/>
      <c r="H273" s="80"/>
      <c r="I273" s="80">
        <v>90</v>
      </c>
      <c r="J273" s="94"/>
      <c r="K273" s="28"/>
      <c r="L273" s="28"/>
    </row>
    <row r="274" spans="1:12" ht="14.85" hidden="1" customHeight="1" x14ac:dyDescent="0.25">
      <c r="A274" s="1479"/>
      <c r="B274" s="1220"/>
      <c r="C274" s="1117"/>
      <c r="D274" s="28" t="s">
        <v>257</v>
      </c>
      <c r="E274" s="94"/>
      <c r="F274" s="80">
        <v>155</v>
      </c>
      <c r="G274" s="80"/>
      <c r="H274" s="80"/>
      <c r="I274" s="80">
        <v>90</v>
      </c>
      <c r="J274" s="94"/>
      <c r="K274" s="28"/>
      <c r="L274" s="28"/>
    </row>
    <row r="275" spans="1:12" hidden="1" x14ac:dyDescent="0.25">
      <c r="A275" s="1479"/>
      <c r="B275" s="1220"/>
      <c r="C275" s="1117"/>
      <c r="D275" s="28" t="s">
        <v>263</v>
      </c>
      <c r="E275" s="94"/>
      <c r="F275" s="80">
        <v>60</v>
      </c>
      <c r="G275" s="80"/>
      <c r="H275" s="80"/>
      <c r="I275" s="80">
        <v>3</v>
      </c>
      <c r="J275" s="94"/>
      <c r="K275" s="28"/>
      <c r="L275" s="28"/>
    </row>
    <row r="276" spans="1:12" hidden="1" x14ac:dyDescent="0.25">
      <c r="A276" s="1479"/>
      <c r="B276" s="1220"/>
      <c r="C276" s="1117"/>
      <c r="D276" s="28" t="s">
        <v>357</v>
      </c>
      <c r="E276" s="94"/>
      <c r="F276" s="97">
        <f>(F275/F273)*100</f>
        <v>27.27272727272727</v>
      </c>
      <c r="G276" s="94"/>
      <c r="H276" s="94"/>
      <c r="I276" s="97">
        <f>I275/I273*100</f>
        <v>3.3333333333333335</v>
      </c>
      <c r="J276" s="94"/>
      <c r="K276" s="28"/>
      <c r="L276" s="28"/>
    </row>
    <row r="277" spans="1:12" ht="14.85" hidden="1" customHeight="1" x14ac:dyDescent="0.25">
      <c r="A277" s="1479"/>
      <c r="B277" s="1220"/>
      <c r="C277" s="1117" t="s">
        <v>410</v>
      </c>
      <c r="D277" s="144" t="s">
        <v>251</v>
      </c>
      <c r="E277" s="94"/>
      <c r="F277" s="80">
        <v>1245</v>
      </c>
      <c r="G277" s="80"/>
      <c r="H277" s="80"/>
      <c r="I277" s="80">
        <v>1431</v>
      </c>
      <c r="J277" s="94"/>
      <c r="K277" s="28"/>
      <c r="L277" s="28"/>
    </row>
    <row r="278" spans="1:12" hidden="1" x14ac:dyDescent="0.25">
      <c r="A278" s="1479"/>
      <c r="B278" s="1220"/>
      <c r="C278" s="1117"/>
      <c r="D278" s="28" t="s">
        <v>257</v>
      </c>
      <c r="E278" s="94"/>
      <c r="F278" s="80">
        <v>1115</v>
      </c>
      <c r="G278" s="80"/>
      <c r="H278" s="80"/>
      <c r="I278" s="80">
        <v>1332</v>
      </c>
      <c r="J278" s="94"/>
      <c r="K278" s="28"/>
      <c r="L278" s="28"/>
    </row>
    <row r="279" spans="1:12" hidden="1" x14ac:dyDescent="0.25">
      <c r="A279" s="1479"/>
      <c r="B279" s="1220"/>
      <c r="C279" s="1117"/>
      <c r="D279" s="28" t="s">
        <v>263</v>
      </c>
      <c r="E279" s="94"/>
      <c r="F279" s="80">
        <v>130</v>
      </c>
      <c r="G279" s="80"/>
      <c r="H279" s="80"/>
      <c r="I279" s="80">
        <v>99</v>
      </c>
      <c r="J279" s="94"/>
      <c r="K279" s="28"/>
      <c r="L279" s="28"/>
    </row>
    <row r="280" spans="1:12" hidden="1" x14ac:dyDescent="0.25">
      <c r="A280" s="1479"/>
      <c r="B280" s="1220"/>
      <c r="C280" s="1117"/>
      <c r="D280" s="28" t="s">
        <v>357</v>
      </c>
      <c r="E280" s="94"/>
      <c r="F280" s="97">
        <f>(F279/F277)*100</f>
        <v>10.441767068273093</v>
      </c>
      <c r="G280" s="94"/>
      <c r="H280" s="94"/>
      <c r="I280" s="97">
        <f>I279/I277*100</f>
        <v>6.9182389937106921</v>
      </c>
      <c r="J280" s="94"/>
      <c r="K280" s="28"/>
      <c r="L280" s="28"/>
    </row>
    <row r="281" spans="1:12" hidden="1" x14ac:dyDescent="0.25">
      <c r="A281" s="1479"/>
      <c r="B281" s="1220"/>
      <c r="C281" s="1117" t="s">
        <v>411</v>
      </c>
      <c r="D281" s="144" t="s">
        <v>251</v>
      </c>
      <c r="E281" s="94"/>
      <c r="F281" s="80">
        <v>2590</v>
      </c>
      <c r="G281" s="80"/>
      <c r="H281" s="80"/>
      <c r="I281" s="80">
        <v>5010</v>
      </c>
      <c r="J281" s="94"/>
      <c r="K281" s="28"/>
      <c r="L281" s="28"/>
    </row>
    <row r="282" spans="1:12" hidden="1" x14ac:dyDescent="0.25">
      <c r="A282" s="1479"/>
      <c r="B282" s="1220"/>
      <c r="C282" s="1117"/>
      <c r="D282" s="28" t="s">
        <v>257</v>
      </c>
      <c r="E282" s="94"/>
      <c r="F282" s="80">
        <v>60</v>
      </c>
      <c r="G282" s="80"/>
      <c r="H282" s="80"/>
      <c r="I282" s="80">
        <v>252</v>
      </c>
      <c r="J282" s="94"/>
      <c r="K282" s="28"/>
      <c r="L282" s="28"/>
    </row>
    <row r="283" spans="1:12" hidden="1" x14ac:dyDescent="0.25">
      <c r="A283" s="1479"/>
      <c r="B283" s="1220"/>
      <c r="C283" s="1117"/>
      <c r="D283" s="28" t="s">
        <v>263</v>
      </c>
      <c r="E283" s="94"/>
      <c r="F283" s="80">
        <v>2530</v>
      </c>
      <c r="G283" s="80"/>
      <c r="H283" s="80"/>
      <c r="I283" s="80">
        <v>4755</v>
      </c>
      <c r="J283" s="94"/>
      <c r="K283" s="28"/>
      <c r="L283" s="28"/>
    </row>
    <row r="284" spans="1:12" hidden="1" x14ac:dyDescent="0.25">
      <c r="A284" s="1479"/>
      <c r="B284" s="1220"/>
      <c r="C284" s="1117"/>
      <c r="D284" s="28" t="s">
        <v>357</v>
      </c>
      <c r="E284" s="94"/>
      <c r="F284" s="99">
        <f>(F283/F281)*100</f>
        <v>97.683397683397686</v>
      </c>
      <c r="G284" s="94"/>
      <c r="H284" s="94"/>
      <c r="I284" s="99">
        <f>I283/I281*100</f>
        <v>94.910179640718567</v>
      </c>
      <c r="J284" s="94"/>
      <c r="K284" s="28"/>
      <c r="L284" s="28"/>
    </row>
    <row r="285" spans="1:12" ht="14.85" hidden="1" customHeight="1" x14ac:dyDescent="0.25">
      <c r="A285" s="1479"/>
      <c r="B285" s="1220"/>
      <c r="C285" s="1117" t="s">
        <v>412</v>
      </c>
      <c r="D285" s="144" t="s">
        <v>251</v>
      </c>
      <c r="E285" s="94"/>
      <c r="F285" s="80">
        <v>2430</v>
      </c>
      <c r="G285" s="80"/>
      <c r="H285" s="80"/>
      <c r="I285" s="80">
        <v>2811</v>
      </c>
      <c r="J285" s="94"/>
      <c r="K285" s="28"/>
      <c r="L285" s="28"/>
    </row>
    <row r="286" spans="1:12" hidden="1" x14ac:dyDescent="0.25">
      <c r="A286" s="1479"/>
      <c r="B286" s="1220"/>
      <c r="C286" s="1117"/>
      <c r="D286" s="28" t="s">
        <v>257</v>
      </c>
      <c r="E286" s="94"/>
      <c r="F286" s="80">
        <v>470</v>
      </c>
      <c r="G286" s="80"/>
      <c r="H286" s="80"/>
      <c r="I286" s="80">
        <v>720</v>
      </c>
      <c r="J286" s="94"/>
      <c r="K286" s="28"/>
      <c r="L286" s="28"/>
    </row>
    <row r="287" spans="1:12" hidden="1" x14ac:dyDescent="0.25">
      <c r="A287" s="1479"/>
      <c r="B287" s="1220"/>
      <c r="C287" s="1117"/>
      <c r="D287" s="28" t="s">
        <v>263</v>
      </c>
      <c r="E287" s="94"/>
      <c r="F287" s="80">
        <v>1965</v>
      </c>
      <c r="G287" s="80"/>
      <c r="H287" s="80"/>
      <c r="I287" s="80">
        <v>2088</v>
      </c>
      <c r="J287" s="94"/>
      <c r="K287" s="28"/>
      <c r="L287" s="28"/>
    </row>
    <row r="288" spans="1:12" hidden="1" x14ac:dyDescent="0.25">
      <c r="A288" s="1479"/>
      <c r="B288" s="1220"/>
      <c r="C288" s="1117"/>
      <c r="D288" s="28" t="s">
        <v>357</v>
      </c>
      <c r="E288" s="94"/>
      <c r="F288" s="99">
        <f>(F287/F285)*100</f>
        <v>80.864197530864203</v>
      </c>
      <c r="G288" s="94"/>
      <c r="H288" s="94"/>
      <c r="I288" s="99">
        <f>I287/I285*100</f>
        <v>74.27961579509072</v>
      </c>
      <c r="J288" s="94"/>
      <c r="K288" s="28"/>
      <c r="L288" s="28"/>
    </row>
    <row r="289" spans="1:12" ht="14.85" hidden="1" customHeight="1" x14ac:dyDescent="0.25">
      <c r="A289" s="1479"/>
      <c r="B289" s="1220"/>
      <c r="C289" s="1117" t="s">
        <v>413</v>
      </c>
      <c r="D289" s="144" t="s">
        <v>251</v>
      </c>
      <c r="E289" s="94"/>
      <c r="F289" s="80">
        <v>715</v>
      </c>
      <c r="G289" s="80"/>
      <c r="H289" s="80"/>
      <c r="I289" s="80">
        <v>651</v>
      </c>
      <c r="J289" s="94"/>
      <c r="K289" s="28"/>
      <c r="L289" s="28"/>
    </row>
    <row r="290" spans="1:12" ht="14.85" hidden="1" customHeight="1" x14ac:dyDescent="0.25">
      <c r="A290" s="1479"/>
      <c r="B290" s="1220"/>
      <c r="C290" s="1117"/>
      <c r="D290" s="28" t="s">
        <v>257</v>
      </c>
      <c r="E290" s="94"/>
      <c r="F290" s="80">
        <v>365</v>
      </c>
      <c r="G290" s="80"/>
      <c r="H290" s="80"/>
      <c r="I290" s="80">
        <v>417</v>
      </c>
      <c r="J290" s="94"/>
      <c r="K290" s="28"/>
      <c r="L290" s="28"/>
    </row>
    <row r="291" spans="1:12" hidden="1" x14ac:dyDescent="0.25">
      <c r="A291" s="1479"/>
      <c r="B291" s="1220"/>
      <c r="C291" s="1117"/>
      <c r="D291" s="28" t="s">
        <v>263</v>
      </c>
      <c r="E291" s="94"/>
      <c r="F291" s="80">
        <v>350</v>
      </c>
      <c r="G291" s="80"/>
      <c r="H291" s="80"/>
      <c r="I291" s="80">
        <v>234</v>
      </c>
      <c r="J291" s="94"/>
      <c r="K291" s="28"/>
      <c r="L291" s="28"/>
    </row>
    <row r="292" spans="1:12" hidden="1" x14ac:dyDescent="0.25">
      <c r="A292" s="1479"/>
      <c r="B292" s="1220"/>
      <c r="C292" s="1117"/>
      <c r="D292" s="28" t="s">
        <v>357</v>
      </c>
      <c r="E292" s="94"/>
      <c r="F292" s="98">
        <f>(F291/F289)*100</f>
        <v>48.951048951048953</v>
      </c>
      <c r="G292" s="94"/>
      <c r="H292" s="94"/>
      <c r="I292" s="97">
        <f>I291/I289*100</f>
        <v>35.944700460829495</v>
      </c>
      <c r="J292" s="94"/>
      <c r="K292" s="28"/>
      <c r="L292" s="28"/>
    </row>
    <row r="293" spans="1:12" ht="14.85" hidden="1" customHeight="1" x14ac:dyDescent="0.25">
      <c r="A293" s="1479"/>
      <c r="B293" s="1220"/>
      <c r="C293" s="1117" t="s">
        <v>414</v>
      </c>
      <c r="D293" s="144" t="s">
        <v>251</v>
      </c>
      <c r="E293" s="94"/>
      <c r="F293" s="80">
        <v>440</v>
      </c>
      <c r="G293" s="80"/>
      <c r="H293" s="80"/>
      <c r="I293" s="80">
        <v>576</v>
      </c>
      <c r="J293" s="94"/>
      <c r="K293" s="28"/>
      <c r="L293" s="28"/>
    </row>
    <row r="294" spans="1:12" ht="14.85" hidden="1" customHeight="1" x14ac:dyDescent="0.25">
      <c r="A294" s="1479"/>
      <c r="B294" s="1220"/>
      <c r="C294" s="1117"/>
      <c r="D294" s="28" t="s">
        <v>257</v>
      </c>
      <c r="E294" s="94"/>
      <c r="F294" s="80">
        <v>305</v>
      </c>
      <c r="G294" s="80"/>
      <c r="H294" s="80"/>
      <c r="I294" s="80">
        <v>435</v>
      </c>
      <c r="J294" s="94"/>
      <c r="K294" s="28"/>
      <c r="L294" s="28"/>
    </row>
    <row r="295" spans="1:12" hidden="1" x14ac:dyDescent="0.25">
      <c r="A295" s="1479"/>
      <c r="B295" s="1220"/>
      <c r="C295" s="1117"/>
      <c r="D295" s="28" t="s">
        <v>263</v>
      </c>
      <c r="E295" s="94"/>
      <c r="F295" s="80">
        <v>135</v>
      </c>
      <c r="G295" s="80"/>
      <c r="H295" s="80"/>
      <c r="I295" s="80">
        <v>141</v>
      </c>
      <c r="J295" s="94"/>
      <c r="K295" s="28"/>
      <c r="L295" s="28"/>
    </row>
    <row r="296" spans="1:12" hidden="1" x14ac:dyDescent="0.25">
      <c r="A296" s="1479"/>
      <c r="B296" s="1220"/>
      <c r="C296" s="1117"/>
      <c r="D296" s="28" t="s">
        <v>357</v>
      </c>
      <c r="E296" s="94"/>
      <c r="F296" s="97">
        <f>(F295/F293)*100</f>
        <v>30.681818181818183</v>
      </c>
      <c r="G296" s="94"/>
      <c r="H296" s="94"/>
      <c r="I296" s="97">
        <f>I295/I293*100</f>
        <v>24.479166666666664</v>
      </c>
      <c r="J296" s="94"/>
      <c r="K296" s="28"/>
      <c r="L296" s="28"/>
    </row>
    <row r="297" spans="1:12" ht="14.85" hidden="1" customHeight="1" x14ac:dyDescent="0.25">
      <c r="A297" s="1479"/>
      <c r="B297" s="1220"/>
      <c r="C297" s="1117" t="s">
        <v>415</v>
      </c>
      <c r="D297" s="144" t="s">
        <v>251</v>
      </c>
      <c r="E297" s="94"/>
      <c r="F297" s="80">
        <v>140</v>
      </c>
      <c r="G297" s="80"/>
      <c r="H297" s="80"/>
      <c r="I297" s="80">
        <v>102</v>
      </c>
      <c r="J297" s="94"/>
      <c r="K297" s="28"/>
      <c r="L297" s="28"/>
    </row>
    <row r="298" spans="1:12" hidden="1" x14ac:dyDescent="0.25">
      <c r="A298" s="1479"/>
      <c r="B298" s="1220"/>
      <c r="C298" s="1117"/>
      <c r="D298" s="28" t="s">
        <v>257</v>
      </c>
      <c r="E298" s="94"/>
      <c r="F298" s="80">
        <v>45</v>
      </c>
      <c r="G298" s="80"/>
      <c r="H298" s="80"/>
      <c r="I298" s="80">
        <v>81</v>
      </c>
      <c r="J298" s="94"/>
      <c r="K298" s="28"/>
      <c r="L298" s="28"/>
    </row>
    <row r="299" spans="1:12" hidden="1" x14ac:dyDescent="0.25">
      <c r="A299" s="1479"/>
      <c r="B299" s="1220"/>
      <c r="C299" s="1117"/>
      <c r="D299" s="28" t="s">
        <v>263</v>
      </c>
      <c r="E299" s="94"/>
      <c r="F299" s="80">
        <v>100</v>
      </c>
      <c r="G299" s="80"/>
      <c r="H299" s="80"/>
      <c r="I299" s="80">
        <v>18</v>
      </c>
      <c r="J299" s="94"/>
      <c r="K299" s="28"/>
      <c r="L299" s="28"/>
    </row>
    <row r="300" spans="1:12" hidden="1" x14ac:dyDescent="0.25">
      <c r="A300" s="1479"/>
      <c r="B300" s="1220"/>
      <c r="C300" s="1117"/>
      <c r="D300" s="28" t="s">
        <v>357</v>
      </c>
      <c r="E300" s="94"/>
      <c r="F300" s="99">
        <f>(F299/F297)*100</f>
        <v>71.428571428571431</v>
      </c>
      <c r="G300" s="94"/>
      <c r="H300" s="94"/>
      <c r="I300" s="97">
        <f>I299/I297*100</f>
        <v>17.647058823529413</v>
      </c>
      <c r="J300" s="94"/>
      <c r="K300" s="28"/>
      <c r="L300" s="28"/>
    </row>
    <row r="301" spans="1:12" ht="14.85" hidden="1" customHeight="1" x14ac:dyDescent="0.25">
      <c r="A301" s="1479"/>
      <c r="B301" s="1220"/>
      <c r="C301" s="1117" t="s">
        <v>416</v>
      </c>
      <c r="D301" s="144" t="s">
        <v>251</v>
      </c>
      <c r="E301" s="94"/>
      <c r="F301" s="80">
        <v>255</v>
      </c>
      <c r="G301" s="80"/>
      <c r="H301" s="80"/>
      <c r="I301" s="80">
        <v>171</v>
      </c>
      <c r="J301" s="94"/>
      <c r="K301" s="28"/>
      <c r="L301" s="28"/>
    </row>
    <row r="302" spans="1:12" hidden="1" x14ac:dyDescent="0.25">
      <c r="A302" s="1479"/>
      <c r="B302" s="1220"/>
      <c r="C302" s="1117"/>
      <c r="D302" s="28" t="s">
        <v>257</v>
      </c>
      <c r="E302" s="94"/>
      <c r="F302" s="80">
        <v>210</v>
      </c>
      <c r="G302" s="80"/>
      <c r="H302" s="80"/>
      <c r="I302" s="80">
        <v>165</v>
      </c>
      <c r="J302" s="94"/>
      <c r="K302" s="28"/>
      <c r="L302" s="28"/>
    </row>
    <row r="303" spans="1:12" hidden="1" x14ac:dyDescent="0.25">
      <c r="A303" s="1479"/>
      <c r="B303" s="1220"/>
      <c r="C303" s="1117"/>
      <c r="D303" s="28" t="s">
        <v>263</v>
      </c>
      <c r="E303" s="94"/>
      <c r="F303" s="80">
        <v>45</v>
      </c>
      <c r="G303" s="80"/>
      <c r="H303" s="80"/>
      <c r="I303" s="80">
        <v>9</v>
      </c>
      <c r="J303" s="94"/>
      <c r="K303" s="28"/>
      <c r="L303" s="28"/>
    </row>
    <row r="304" spans="1:12" hidden="1" x14ac:dyDescent="0.25">
      <c r="A304" s="1479"/>
      <c r="B304" s="1220"/>
      <c r="C304" s="1117"/>
      <c r="D304" s="28" t="s">
        <v>357</v>
      </c>
      <c r="E304" s="94"/>
      <c r="F304" s="97">
        <f>(F303/F301)*100</f>
        <v>17.647058823529413</v>
      </c>
      <c r="G304" s="94"/>
      <c r="H304" s="94"/>
      <c r="I304" s="97">
        <f>I303/I301*100</f>
        <v>5.2631578947368416</v>
      </c>
      <c r="J304" s="94"/>
      <c r="K304" s="28"/>
      <c r="L304" s="28"/>
    </row>
    <row r="305" spans="1:12" ht="14.85" hidden="1" customHeight="1" x14ac:dyDescent="0.25">
      <c r="A305" s="1479"/>
      <c r="B305" s="1220"/>
      <c r="C305" s="1117" t="s">
        <v>417</v>
      </c>
      <c r="D305" s="144" t="s">
        <v>251</v>
      </c>
      <c r="E305" s="94"/>
      <c r="F305" s="80">
        <v>240</v>
      </c>
      <c r="G305" s="80"/>
      <c r="H305" s="80"/>
      <c r="I305" s="80">
        <v>273</v>
      </c>
      <c r="J305" s="94"/>
      <c r="K305" s="28"/>
      <c r="L305" s="28"/>
    </row>
    <row r="306" spans="1:12" hidden="1" x14ac:dyDescent="0.25">
      <c r="A306" s="1479"/>
      <c r="B306" s="1220"/>
      <c r="C306" s="1117"/>
      <c r="D306" s="28" t="s">
        <v>257</v>
      </c>
      <c r="E306" s="94"/>
      <c r="F306" s="80">
        <v>135</v>
      </c>
      <c r="G306" s="80"/>
      <c r="H306" s="80"/>
      <c r="I306" s="80">
        <v>180</v>
      </c>
      <c r="J306" s="94"/>
      <c r="K306" s="28"/>
      <c r="L306" s="28"/>
    </row>
    <row r="307" spans="1:12" hidden="1" x14ac:dyDescent="0.25">
      <c r="A307" s="1479"/>
      <c r="B307" s="1220"/>
      <c r="C307" s="1117"/>
      <c r="D307" s="28" t="s">
        <v>263</v>
      </c>
      <c r="E307" s="94"/>
      <c r="F307" s="80">
        <v>110</v>
      </c>
      <c r="G307" s="80"/>
      <c r="H307" s="80"/>
      <c r="I307" s="80">
        <v>93</v>
      </c>
      <c r="J307" s="94"/>
      <c r="K307" s="28"/>
      <c r="L307" s="28"/>
    </row>
    <row r="308" spans="1:12" hidden="1" x14ac:dyDescent="0.25">
      <c r="A308" s="1479"/>
      <c r="B308" s="1220"/>
      <c r="C308" s="1117"/>
      <c r="D308" s="28" t="s">
        <v>357</v>
      </c>
      <c r="E308" s="94"/>
      <c r="F308" s="98">
        <f>(F307/F305)*100</f>
        <v>45.833333333333329</v>
      </c>
      <c r="G308" s="94"/>
      <c r="H308" s="94"/>
      <c r="I308" s="97">
        <f>I307/I305*100</f>
        <v>34.065934065934066</v>
      </c>
      <c r="J308" s="94"/>
      <c r="K308" s="28"/>
      <c r="L308" s="28"/>
    </row>
    <row r="309" spans="1:12" ht="14.85" hidden="1" customHeight="1" x14ac:dyDescent="0.25">
      <c r="A309" s="1479"/>
      <c r="B309" s="1220"/>
      <c r="C309" s="1117" t="s">
        <v>418</v>
      </c>
      <c r="D309" s="144" t="s">
        <v>251</v>
      </c>
      <c r="E309" s="94"/>
      <c r="F309" s="80">
        <v>240</v>
      </c>
      <c r="G309" s="80"/>
      <c r="H309" s="80"/>
      <c r="I309" s="80">
        <v>648</v>
      </c>
      <c r="J309" s="94"/>
      <c r="K309" s="28"/>
      <c r="L309" s="28"/>
    </row>
    <row r="310" spans="1:12" hidden="1" x14ac:dyDescent="0.25">
      <c r="A310" s="1479"/>
      <c r="B310" s="1220"/>
      <c r="C310" s="1117"/>
      <c r="D310" s="28" t="s">
        <v>263</v>
      </c>
      <c r="E310" s="94"/>
      <c r="F310" s="80">
        <v>175</v>
      </c>
      <c r="G310" s="80"/>
      <c r="H310" s="80"/>
      <c r="I310" s="80">
        <v>528</v>
      </c>
      <c r="J310" s="94"/>
      <c r="K310" s="28"/>
      <c r="L310" s="28"/>
    </row>
    <row r="311" spans="1:12" ht="14.85" hidden="1" customHeight="1" x14ac:dyDescent="0.25">
      <c r="A311" s="1479"/>
      <c r="B311" s="1220"/>
      <c r="C311" s="1117"/>
      <c r="D311" s="28" t="s">
        <v>257</v>
      </c>
      <c r="E311" s="94"/>
      <c r="F311" s="80">
        <v>70</v>
      </c>
      <c r="G311" s="80"/>
      <c r="H311" s="80"/>
      <c r="I311" s="80">
        <v>120</v>
      </c>
      <c r="J311" s="94"/>
      <c r="K311" s="28"/>
      <c r="L311" s="28"/>
    </row>
    <row r="312" spans="1:12" hidden="1" x14ac:dyDescent="0.25">
      <c r="A312" s="1479"/>
      <c r="B312" s="1220"/>
      <c r="C312" s="1274"/>
      <c r="D312" s="110" t="s">
        <v>357</v>
      </c>
      <c r="E312" s="126"/>
      <c r="F312" s="469">
        <f>(F311/F309)*100</f>
        <v>29.166666666666668</v>
      </c>
      <c r="G312" s="126"/>
      <c r="H312" s="126"/>
      <c r="I312" s="469">
        <f>I311/I309*100</f>
        <v>18.518518518518519</v>
      </c>
      <c r="J312" s="126"/>
      <c r="K312" s="110"/>
      <c r="L312" s="110"/>
    </row>
    <row r="313" spans="1:12" x14ac:dyDescent="0.25">
      <c r="A313" s="1479"/>
      <c r="B313" s="1220"/>
      <c r="C313" s="1251" t="s">
        <v>419</v>
      </c>
      <c r="D313" s="1206"/>
      <c r="E313" s="249"/>
      <c r="F313" s="470">
        <f>27/60*100</f>
        <v>45</v>
      </c>
      <c r="G313" s="612"/>
      <c r="H313" s="612"/>
      <c r="I313" s="471">
        <f>30/61*100</f>
        <v>49.180327868852459</v>
      </c>
      <c r="J313" s="249"/>
      <c r="K313" s="36"/>
      <c r="L313" s="20"/>
    </row>
    <row r="314" spans="1:12" x14ac:dyDescent="0.25">
      <c r="A314" s="1479"/>
      <c r="B314" s="1220"/>
      <c r="C314" s="1109" t="s">
        <v>420</v>
      </c>
      <c r="D314" s="1110"/>
      <c r="E314" s="94"/>
      <c r="F314" s="102">
        <f>19/60*100</f>
        <v>31.666666666666664</v>
      </c>
      <c r="G314" s="92"/>
      <c r="H314" s="92"/>
      <c r="I314" s="102">
        <f>15/61*100</f>
        <v>24.590163934426229</v>
      </c>
      <c r="J314" s="94"/>
      <c r="K314" s="28"/>
      <c r="L314" s="21"/>
    </row>
    <row r="315" spans="1:12" ht="16.5" thickBot="1" x14ac:dyDescent="0.3">
      <c r="A315" s="1479"/>
      <c r="B315" s="1600"/>
      <c r="C315" s="1156" t="s">
        <v>421</v>
      </c>
      <c r="D315" s="1157"/>
      <c r="E315" s="126"/>
      <c r="F315" s="127">
        <f>14/60*100</f>
        <v>23.333333333333332</v>
      </c>
      <c r="G315" s="128"/>
      <c r="H315" s="128"/>
      <c r="I315" s="127">
        <f>16/61*100</f>
        <v>26.229508196721312</v>
      </c>
      <c r="J315" s="126"/>
      <c r="K315" s="110"/>
      <c r="L315" s="53"/>
    </row>
    <row r="316" spans="1:12" ht="16.5" thickBot="1" x14ac:dyDescent="0.3">
      <c r="A316" s="142" t="s">
        <v>248</v>
      </c>
      <c r="B316" s="463" t="s">
        <v>249</v>
      </c>
      <c r="C316" s="1433"/>
      <c r="D316" s="1433"/>
      <c r="E316" s="616">
        <v>2005</v>
      </c>
      <c r="F316" s="616">
        <v>2010</v>
      </c>
      <c r="G316" s="616">
        <v>2015</v>
      </c>
      <c r="H316" s="616">
        <v>2020</v>
      </c>
      <c r="I316" s="616">
        <v>2021</v>
      </c>
      <c r="J316" s="616">
        <v>2022</v>
      </c>
      <c r="K316" s="616">
        <v>2023</v>
      </c>
      <c r="L316" s="616">
        <v>2024</v>
      </c>
    </row>
    <row r="317" spans="1:12" s="64" customFormat="1" ht="15" customHeight="1" x14ac:dyDescent="0.25">
      <c r="A317" s="1616" t="s">
        <v>422</v>
      </c>
      <c r="B317" s="1143" t="s">
        <v>164</v>
      </c>
      <c r="C317" s="1465" t="s">
        <v>424</v>
      </c>
      <c r="D317" s="1520"/>
      <c r="E317" s="40"/>
      <c r="F317" s="37">
        <v>920.23</v>
      </c>
      <c r="G317" s="37">
        <v>1047.96</v>
      </c>
      <c r="H317" s="37">
        <v>1188</v>
      </c>
      <c r="I317" s="37">
        <v>1227</v>
      </c>
      <c r="J317" s="37">
        <v>1249</v>
      </c>
      <c r="K317" s="37">
        <v>1399</v>
      </c>
      <c r="L317" s="209">
        <v>1412</v>
      </c>
    </row>
    <row r="318" spans="1:12" x14ac:dyDescent="0.25">
      <c r="A318" s="1617"/>
      <c r="B318" s="1144"/>
      <c r="C318" s="1330" t="s">
        <v>425</v>
      </c>
      <c r="D318" s="1331"/>
      <c r="E318" s="28"/>
      <c r="F318" s="29">
        <v>1179.8</v>
      </c>
      <c r="G318" s="29">
        <v>1292.1199999999999</v>
      </c>
      <c r="H318" s="29">
        <v>1449</v>
      </c>
      <c r="I318" s="29">
        <v>1497</v>
      </c>
      <c r="J318" s="29">
        <v>1523</v>
      </c>
      <c r="K318" s="29">
        <v>1689</v>
      </c>
      <c r="L318" s="30">
        <v>1697</v>
      </c>
    </row>
    <row r="319" spans="1:12" x14ac:dyDescent="0.25">
      <c r="A319" s="1617"/>
      <c r="B319" s="1144"/>
      <c r="C319" s="1330" t="s">
        <v>426</v>
      </c>
      <c r="D319" s="1331"/>
      <c r="E319" s="28"/>
      <c r="F319" s="29">
        <v>744.26</v>
      </c>
      <c r="G319" s="29">
        <v>889.54</v>
      </c>
      <c r="H319" s="29">
        <v>1019</v>
      </c>
      <c r="I319" s="29">
        <v>1058</v>
      </c>
      <c r="J319" s="29">
        <v>1081</v>
      </c>
      <c r="K319" s="29">
        <v>1219</v>
      </c>
      <c r="L319" s="30">
        <v>1236</v>
      </c>
    </row>
    <row r="320" spans="1:12" x14ac:dyDescent="0.25">
      <c r="A320" s="1617"/>
      <c r="B320" s="1144"/>
      <c r="C320" s="1332" t="s">
        <v>427</v>
      </c>
      <c r="D320" s="1333"/>
      <c r="E320" s="28"/>
      <c r="F320" s="31">
        <f t="shared" ref="F320:L320" si="17">+F319-F318</f>
        <v>-435.53999999999996</v>
      </c>
      <c r="G320" s="31">
        <f t="shared" si="17"/>
        <v>-402.57999999999993</v>
      </c>
      <c r="H320" s="31">
        <f t="shared" si="17"/>
        <v>-430</v>
      </c>
      <c r="I320" s="31">
        <f t="shared" si="17"/>
        <v>-439</v>
      </c>
      <c r="J320" s="31">
        <f t="shared" si="17"/>
        <v>-442</v>
      </c>
      <c r="K320" s="31">
        <f t="shared" si="17"/>
        <v>-470</v>
      </c>
      <c r="L320" s="32">
        <f t="shared" si="17"/>
        <v>-461</v>
      </c>
    </row>
    <row r="321" spans="1:12" ht="16.5" thickBot="1" x14ac:dyDescent="0.3">
      <c r="A321" s="1617"/>
      <c r="B321" s="1264"/>
      <c r="C321" s="1564" t="s">
        <v>428</v>
      </c>
      <c r="D321" s="1565"/>
      <c r="E321" s="110"/>
      <c r="F321" s="423">
        <f t="shared" ref="F321:L321" si="18">(F319-F318)/F318*100</f>
        <v>-36.9164265129683</v>
      </c>
      <c r="G321" s="423">
        <f t="shared" si="18"/>
        <v>-31.156548927344208</v>
      </c>
      <c r="H321" s="423">
        <f t="shared" si="18"/>
        <v>-29.675638371290546</v>
      </c>
      <c r="I321" s="423">
        <f t="shared" si="18"/>
        <v>-29.325317301269205</v>
      </c>
      <c r="J321" s="423">
        <f t="shared" si="18"/>
        <v>-29.021667760998032</v>
      </c>
      <c r="K321" s="423">
        <f t="shared" si="18"/>
        <v>-27.827116637063355</v>
      </c>
      <c r="L321" s="212">
        <f t="shared" si="18"/>
        <v>-27.165586328815554</v>
      </c>
    </row>
    <row r="322" spans="1:12" s="64" customFormat="1" ht="15" customHeight="1" thickBot="1" x14ac:dyDescent="0.3">
      <c r="A322" s="1617"/>
      <c r="B322" s="1601" t="s">
        <v>429</v>
      </c>
      <c r="C322" s="1306" t="s">
        <v>430</v>
      </c>
      <c r="D322" s="1147"/>
      <c r="E322" s="40"/>
      <c r="F322" s="40"/>
      <c r="G322" s="37">
        <v>38.046448087431692</v>
      </c>
      <c r="H322" s="37">
        <v>37.559230248525289</v>
      </c>
      <c r="I322" s="37">
        <v>41.197886083382265</v>
      </c>
      <c r="J322" s="37">
        <v>46.810422282120392</v>
      </c>
      <c r="K322" s="37">
        <v>46.966731898238748</v>
      </c>
      <c r="L322" s="334">
        <v>47.9</v>
      </c>
    </row>
    <row r="323" spans="1:12" ht="16.5" thickBot="1" x14ac:dyDescent="0.3">
      <c r="A323" s="1617"/>
      <c r="B323" s="1602"/>
      <c r="C323" s="1123" t="s">
        <v>431</v>
      </c>
      <c r="D323" s="1124"/>
      <c r="E323" s="28"/>
      <c r="F323" s="28"/>
      <c r="G323" s="29">
        <v>39.987677141096732</v>
      </c>
      <c r="H323" s="29">
        <v>40.711034034251028</v>
      </c>
      <c r="I323" s="29">
        <v>44.632313472893181</v>
      </c>
      <c r="J323" s="29">
        <v>50.470875479595399</v>
      </c>
      <c r="K323" s="29">
        <v>51.118099231306779</v>
      </c>
      <c r="L323" s="39">
        <v>51.6</v>
      </c>
    </row>
    <row r="324" spans="1:12" ht="16.5" thickBot="1" x14ac:dyDescent="0.3">
      <c r="A324" s="1617"/>
      <c r="B324" s="1602"/>
      <c r="C324" s="1123" t="s">
        <v>432</v>
      </c>
      <c r="D324" s="1124"/>
      <c r="E324" s="28"/>
      <c r="F324" s="28"/>
      <c r="G324" s="29">
        <v>36.289273099089044</v>
      </c>
      <c r="H324" s="29">
        <v>35.020949720670394</v>
      </c>
      <c r="I324" s="29">
        <v>38.525788264773439</v>
      </c>
      <c r="J324" s="29">
        <v>44.056678037260561</v>
      </c>
      <c r="K324" s="29">
        <v>43.824385083311299</v>
      </c>
      <c r="L324" s="39">
        <v>45.1</v>
      </c>
    </row>
    <row r="325" spans="1:12" ht="16.5" thickBot="1" x14ac:dyDescent="0.3">
      <c r="A325" s="1617"/>
      <c r="B325" s="1602"/>
      <c r="C325" s="1277" t="s">
        <v>354</v>
      </c>
      <c r="D325" s="1142"/>
      <c r="E325" s="110"/>
      <c r="F325" s="110"/>
      <c r="G325" s="423">
        <f t="shared" ref="G325:L325" si="19">+G324-G323</f>
        <v>-3.698404042007688</v>
      </c>
      <c r="H325" s="423">
        <f t="shared" si="19"/>
        <v>-5.690084313580634</v>
      </c>
      <c r="I325" s="423">
        <f t="shared" si="19"/>
        <v>-6.1065252081197414</v>
      </c>
      <c r="J325" s="423">
        <f t="shared" si="19"/>
        <v>-6.4141974423348387</v>
      </c>
      <c r="K325" s="423">
        <f t="shared" si="19"/>
        <v>-7.2937141479954803</v>
      </c>
      <c r="L325" s="212">
        <f t="shared" si="19"/>
        <v>-6.5</v>
      </c>
    </row>
    <row r="326" spans="1:12" s="64" customFormat="1" x14ac:dyDescent="0.25">
      <c r="A326" s="1617"/>
      <c r="B326" s="1357" t="s">
        <v>545</v>
      </c>
      <c r="C326" s="1265" t="s">
        <v>434</v>
      </c>
      <c r="D326" s="146" t="s">
        <v>435</v>
      </c>
      <c r="E326" s="40"/>
      <c r="F326" s="40"/>
      <c r="G326" s="40"/>
      <c r="H326" s="40"/>
      <c r="I326" s="40">
        <v>194</v>
      </c>
      <c r="J326" s="40">
        <v>64</v>
      </c>
      <c r="K326" s="40">
        <v>40</v>
      </c>
      <c r="L326" s="1060">
        <v>18</v>
      </c>
    </row>
    <row r="327" spans="1:12" x14ac:dyDescent="0.25">
      <c r="A327" s="1617"/>
      <c r="B327" s="1326"/>
      <c r="C327" s="1360"/>
      <c r="D327" s="147" t="s">
        <v>436</v>
      </c>
      <c r="E327" s="28"/>
      <c r="F327" s="28"/>
      <c r="G327" s="28"/>
      <c r="H327" s="28"/>
      <c r="I327" s="28">
        <v>74</v>
      </c>
      <c r="J327" s="28">
        <v>17</v>
      </c>
      <c r="K327" s="28">
        <v>15</v>
      </c>
      <c r="L327" s="1060">
        <v>10</v>
      </c>
    </row>
    <row r="328" spans="1:12" x14ac:dyDescent="0.25">
      <c r="A328" s="1617"/>
      <c r="B328" s="1326"/>
      <c r="C328" s="1360"/>
      <c r="D328" s="28" t="s">
        <v>437</v>
      </c>
      <c r="E328" s="28"/>
      <c r="F328" s="28"/>
      <c r="G328" s="28"/>
      <c r="H328" s="28"/>
      <c r="I328" s="28">
        <v>120</v>
      </c>
      <c r="J328" s="28">
        <v>47</v>
      </c>
      <c r="K328" s="28">
        <v>25</v>
      </c>
      <c r="L328" s="1060">
        <v>8</v>
      </c>
    </row>
    <row r="329" spans="1:12" x14ac:dyDescent="0.25">
      <c r="A329" s="1617"/>
      <c r="B329" s="1326"/>
      <c r="C329" s="1360"/>
      <c r="D329" s="148" t="s">
        <v>353</v>
      </c>
      <c r="E329" s="28"/>
      <c r="F329" s="28"/>
      <c r="G329" s="28"/>
      <c r="H329" s="28"/>
      <c r="I329" s="363">
        <f>I328-I327</f>
        <v>46</v>
      </c>
      <c r="J329" s="363">
        <f>J328-J327</f>
        <v>30</v>
      </c>
      <c r="K329" s="363">
        <f>K328-K327</f>
        <v>10</v>
      </c>
      <c r="L329" s="363">
        <f>L328-L327</f>
        <v>-2</v>
      </c>
    </row>
    <row r="330" spans="1:12" ht="16.5" thickBot="1" x14ac:dyDescent="0.3">
      <c r="A330" s="1617"/>
      <c r="B330" s="1326"/>
      <c r="C330" s="1361"/>
      <c r="D330" s="217" t="s">
        <v>270</v>
      </c>
      <c r="E330" s="33"/>
      <c r="F330" s="33"/>
      <c r="G330" s="33"/>
      <c r="H330" s="33"/>
      <c r="I330" s="366">
        <f>I328/I326*100</f>
        <v>61.855670103092784</v>
      </c>
      <c r="J330" s="366">
        <f>J328/J326*100</f>
        <v>73.4375</v>
      </c>
      <c r="K330" s="366">
        <f>K328/K326*100</f>
        <v>62.5</v>
      </c>
      <c r="L330" s="366">
        <f>L328/L326*100</f>
        <v>44.444444444444443</v>
      </c>
    </row>
    <row r="331" spans="1:12" s="64" customFormat="1" x14ac:dyDescent="0.25">
      <c r="A331" s="1617"/>
      <c r="B331" s="1326"/>
      <c r="C331" s="1265" t="s">
        <v>438</v>
      </c>
      <c r="D331" s="146" t="s">
        <v>435</v>
      </c>
      <c r="E331" s="40"/>
      <c r="F331" s="40"/>
      <c r="G331" s="40"/>
      <c r="H331" s="40"/>
      <c r="I331" s="40">
        <v>367</v>
      </c>
      <c r="J331" s="40">
        <v>157</v>
      </c>
      <c r="K331" s="40">
        <v>52</v>
      </c>
      <c r="L331" s="1060">
        <v>61</v>
      </c>
    </row>
    <row r="332" spans="1:12" x14ac:dyDescent="0.25">
      <c r="A332" s="1617"/>
      <c r="B332" s="1326"/>
      <c r="C332" s="1360"/>
      <c r="D332" s="147" t="s">
        <v>436</v>
      </c>
      <c r="E332" s="28"/>
      <c r="F332" s="28"/>
      <c r="G332" s="28"/>
      <c r="H332" s="28"/>
      <c r="I332" s="28">
        <v>139</v>
      </c>
      <c r="J332" s="28">
        <v>60</v>
      </c>
      <c r="K332" s="28">
        <v>20</v>
      </c>
      <c r="L332" s="1060">
        <v>27</v>
      </c>
    </row>
    <row r="333" spans="1:12" x14ac:dyDescent="0.25">
      <c r="A333" s="1617"/>
      <c r="B333" s="1326"/>
      <c r="C333" s="1360"/>
      <c r="D333" s="28" t="s">
        <v>437</v>
      </c>
      <c r="E333" s="28"/>
      <c r="F333" s="28"/>
      <c r="G333" s="28"/>
      <c r="H333" s="28"/>
      <c r="I333" s="28">
        <v>228</v>
      </c>
      <c r="J333" s="28">
        <v>97</v>
      </c>
      <c r="K333" s="28">
        <v>32</v>
      </c>
      <c r="L333" s="1060">
        <v>34</v>
      </c>
    </row>
    <row r="334" spans="1:12" x14ac:dyDescent="0.25">
      <c r="A334" s="1617"/>
      <c r="B334" s="1326"/>
      <c r="C334" s="1360"/>
      <c r="D334" s="148" t="s">
        <v>353</v>
      </c>
      <c r="E334" s="28"/>
      <c r="F334" s="28"/>
      <c r="G334" s="28"/>
      <c r="H334" s="28"/>
      <c r="I334" s="363">
        <f>I333-I332</f>
        <v>89</v>
      </c>
      <c r="J334" s="363">
        <f>J333-J332</f>
        <v>37</v>
      </c>
      <c r="K334" s="363">
        <f>K333-K332</f>
        <v>12</v>
      </c>
      <c r="L334" s="363">
        <f>L333-L332</f>
        <v>7</v>
      </c>
    </row>
    <row r="335" spans="1:12" ht="16.5" thickBot="1" x14ac:dyDescent="0.3">
      <c r="A335" s="1617"/>
      <c r="B335" s="1358"/>
      <c r="C335" s="1419"/>
      <c r="D335" s="150" t="s">
        <v>270</v>
      </c>
      <c r="E335" s="110"/>
      <c r="F335" s="110"/>
      <c r="G335" s="110"/>
      <c r="H335" s="110"/>
      <c r="I335" s="165">
        <f>I333/I331*100</f>
        <v>62.125340599455036</v>
      </c>
      <c r="J335" s="165">
        <f>J333/J331*100</f>
        <v>61.783439490445858</v>
      </c>
      <c r="K335" s="165">
        <f>K333/K331*100</f>
        <v>61.53846153846154</v>
      </c>
      <c r="L335" s="165">
        <f>L333/L331*100</f>
        <v>55.737704918032783</v>
      </c>
    </row>
    <row r="336" spans="1:12" s="64" customFormat="1" ht="15" customHeight="1" x14ac:dyDescent="0.25">
      <c r="A336" s="1617"/>
      <c r="B336" s="1357" t="s">
        <v>180</v>
      </c>
      <c r="C336" s="1306" t="s">
        <v>435</v>
      </c>
      <c r="D336" s="1147"/>
      <c r="E336" s="40"/>
      <c r="F336" s="40"/>
      <c r="G336" s="40"/>
      <c r="H336" s="195">
        <v>27842</v>
      </c>
      <c r="I336" s="195">
        <v>23218</v>
      </c>
      <c r="J336" s="195">
        <v>21718</v>
      </c>
      <c r="K336" s="195">
        <v>23296</v>
      </c>
      <c r="L336" s="325"/>
    </row>
    <row r="337" spans="1:14" x14ac:dyDescent="0.25">
      <c r="A337" s="1617"/>
      <c r="B337" s="1326"/>
      <c r="C337" s="1123" t="s">
        <v>436</v>
      </c>
      <c r="D337" s="1124"/>
      <c r="E337" s="28"/>
      <c r="F337" s="28"/>
      <c r="G337" s="28"/>
      <c r="H337" s="96">
        <v>10529</v>
      </c>
      <c r="I337" s="96">
        <v>8563</v>
      </c>
      <c r="J337" s="96">
        <v>7874</v>
      </c>
      <c r="K337" s="96">
        <v>8549</v>
      </c>
      <c r="L337" s="21"/>
    </row>
    <row r="338" spans="1:14" x14ac:dyDescent="0.25">
      <c r="A338" s="1617"/>
      <c r="B338" s="1326"/>
      <c r="C338" s="1123" t="s">
        <v>437</v>
      </c>
      <c r="D338" s="1124"/>
      <c r="E338" s="28"/>
      <c r="F338" s="28"/>
      <c r="G338" s="28"/>
      <c r="H338" s="96">
        <v>17313</v>
      </c>
      <c r="I338" s="96">
        <v>14655</v>
      </c>
      <c r="J338" s="96">
        <v>13844</v>
      </c>
      <c r="K338" s="96">
        <v>14747</v>
      </c>
      <c r="L338" s="21"/>
    </row>
    <row r="339" spans="1:14" x14ac:dyDescent="0.25">
      <c r="A339" s="1617"/>
      <c r="B339" s="1326"/>
      <c r="C339" s="1111" t="s">
        <v>353</v>
      </c>
      <c r="D339" s="1112"/>
      <c r="E339" s="28"/>
      <c r="F339" s="28"/>
      <c r="G339" s="28"/>
      <c r="H339" s="157">
        <f>H338-H337</f>
        <v>6784</v>
      </c>
      <c r="I339" s="157">
        <f>I338-I337</f>
        <v>6092</v>
      </c>
      <c r="J339" s="157">
        <f>J338-J337</f>
        <v>5970</v>
      </c>
      <c r="K339" s="157">
        <f>K338-K337</f>
        <v>6198</v>
      </c>
      <c r="L339" s="21"/>
    </row>
    <row r="340" spans="1:14" ht="16.5" thickBot="1" x14ac:dyDescent="0.3">
      <c r="A340" s="1618"/>
      <c r="B340" s="1358"/>
      <c r="C340" s="1353" t="s">
        <v>270</v>
      </c>
      <c r="D340" s="1178"/>
      <c r="E340" s="110"/>
      <c r="F340" s="110"/>
      <c r="G340" s="110"/>
      <c r="H340" s="378">
        <f>H338/H336*100</f>
        <v>62.183032828101425</v>
      </c>
      <c r="I340" s="378">
        <f>I338/I336*100</f>
        <v>63.119131708157461</v>
      </c>
      <c r="J340" s="378">
        <f>J338/J336*100</f>
        <v>63.744359517450967</v>
      </c>
      <c r="K340" s="378">
        <f>K338/K336*100</f>
        <v>63.302712912087912</v>
      </c>
      <c r="L340" s="53"/>
    </row>
    <row r="341" spans="1:14" ht="16.5" thickBot="1" x14ac:dyDescent="0.3">
      <c r="A341" s="140" t="s">
        <v>248</v>
      </c>
      <c r="B341" s="578" t="s">
        <v>249</v>
      </c>
      <c r="C341" s="1619"/>
      <c r="D341" s="1620"/>
      <c r="E341" s="622">
        <v>2005</v>
      </c>
      <c r="F341" s="622">
        <v>2010</v>
      </c>
      <c r="G341" s="622">
        <v>2015</v>
      </c>
      <c r="H341" s="622">
        <v>2020</v>
      </c>
      <c r="I341" s="622">
        <v>2021</v>
      </c>
      <c r="J341" s="622">
        <v>2022</v>
      </c>
      <c r="K341" s="622">
        <v>2023</v>
      </c>
      <c r="L341" s="473">
        <v>2024</v>
      </c>
    </row>
    <row r="342" spans="1:14" s="64" customFormat="1" x14ac:dyDescent="0.25">
      <c r="A342" s="1604" t="s">
        <v>439</v>
      </c>
      <c r="B342" s="1607" t="s">
        <v>440</v>
      </c>
      <c r="C342" s="1609" t="s">
        <v>251</v>
      </c>
      <c r="D342" s="1610"/>
      <c r="E342" s="54">
        <v>81.900000000000006</v>
      </c>
      <c r="F342" s="55">
        <v>83.5</v>
      </c>
      <c r="G342" s="55">
        <v>83.6</v>
      </c>
      <c r="H342" s="55">
        <v>81.5</v>
      </c>
      <c r="I342" s="55">
        <v>85.1</v>
      </c>
      <c r="J342" s="56">
        <v>84.527055612390001</v>
      </c>
      <c r="K342" s="44">
        <v>86</v>
      </c>
      <c r="L342" s="425"/>
      <c r="M342" s="326"/>
      <c r="N342" s="326"/>
    </row>
    <row r="343" spans="1:14" x14ac:dyDescent="0.25">
      <c r="A343" s="1605"/>
      <c r="B343" s="1608"/>
      <c r="C343" s="1363" t="s">
        <v>257</v>
      </c>
      <c r="D343" s="1236"/>
      <c r="E343" s="57">
        <v>78.400000000000006</v>
      </c>
      <c r="F343" s="58">
        <v>80</v>
      </c>
      <c r="G343" s="58">
        <v>80.5</v>
      </c>
      <c r="H343" s="58">
        <v>78.099999999999994</v>
      </c>
      <c r="I343" s="58">
        <v>81.599999999999994</v>
      </c>
      <c r="J343" s="59">
        <v>81.355784482513229</v>
      </c>
      <c r="K343" s="28">
        <v>83.1</v>
      </c>
      <c r="L343" s="21"/>
    </row>
    <row r="344" spans="1:14" x14ac:dyDescent="0.25">
      <c r="A344" s="1605"/>
      <c r="B344" s="1608"/>
      <c r="C344" s="1363" t="s">
        <v>263</v>
      </c>
      <c r="D344" s="1236"/>
      <c r="E344" s="57">
        <v>84.7</v>
      </c>
      <c r="F344" s="58">
        <v>86.3</v>
      </c>
      <c r="G344" s="58">
        <v>86.1</v>
      </c>
      <c r="H344" s="58">
        <v>84.4</v>
      </c>
      <c r="I344" s="58">
        <v>87.9</v>
      </c>
      <c r="J344" s="59">
        <v>86.971107877439238</v>
      </c>
      <c r="K344" s="28">
        <v>88.1</v>
      </c>
      <c r="L344" s="21"/>
    </row>
    <row r="345" spans="1:14" ht="16.5" thickBot="1" x14ac:dyDescent="0.3">
      <c r="A345" s="1605"/>
      <c r="B345" s="1608"/>
      <c r="C345" s="1611" t="s">
        <v>441</v>
      </c>
      <c r="D345" s="1558"/>
      <c r="E345" s="476">
        <f t="shared" ref="E345:K345" si="20">+E344-E343</f>
        <v>6.2999999999999972</v>
      </c>
      <c r="F345" s="476">
        <f t="shared" si="20"/>
        <v>6.2999999999999972</v>
      </c>
      <c r="G345" s="476">
        <f t="shared" si="20"/>
        <v>5.5999999999999943</v>
      </c>
      <c r="H345" s="476">
        <f t="shared" si="20"/>
        <v>6.3000000000000114</v>
      </c>
      <c r="I345" s="476">
        <f t="shared" si="20"/>
        <v>6.3000000000000114</v>
      </c>
      <c r="J345" s="477">
        <f t="shared" si="20"/>
        <v>5.6153233949260084</v>
      </c>
      <c r="K345" s="477">
        <f t="shared" si="20"/>
        <v>5</v>
      </c>
      <c r="L345" s="53"/>
    </row>
    <row r="346" spans="1:14" s="64" customFormat="1" x14ac:dyDescent="0.25">
      <c r="A346" s="1385"/>
      <c r="B346" s="1612" t="s">
        <v>192</v>
      </c>
      <c r="C346" s="1250" t="s">
        <v>251</v>
      </c>
      <c r="D346" s="1250"/>
      <c r="E346" s="107"/>
      <c r="F346" s="341"/>
      <c r="G346" s="224">
        <v>7695</v>
      </c>
      <c r="H346" s="224">
        <v>9216</v>
      </c>
      <c r="I346" s="224">
        <v>9227</v>
      </c>
      <c r="J346" s="195">
        <v>9533</v>
      </c>
      <c r="K346" s="225">
        <v>8884</v>
      </c>
      <c r="L346" s="325"/>
    </row>
    <row r="347" spans="1:14" x14ac:dyDescent="0.25">
      <c r="A347" s="1385"/>
      <c r="B347" s="1613"/>
      <c r="C347" s="1236" t="s">
        <v>257</v>
      </c>
      <c r="D347" s="1236"/>
      <c r="E347" s="57"/>
      <c r="F347" s="218"/>
      <c r="G347" s="219">
        <v>3589</v>
      </c>
      <c r="H347" s="219">
        <v>4210</v>
      </c>
      <c r="I347" s="219">
        <v>4220</v>
      </c>
      <c r="J347" s="96">
        <v>4337</v>
      </c>
      <c r="K347" s="96">
        <v>4152</v>
      </c>
      <c r="L347" s="21"/>
    </row>
    <row r="348" spans="1:14" x14ac:dyDescent="0.25">
      <c r="A348" s="1385"/>
      <c r="B348" s="1613"/>
      <c r="C348" s="1236" t="s">
        <v>263</v>
      </c>
      <c r="D348" s="1236"/>
      <c r="E348" s="57"/>
      <c r="F348" s="218"/>
      <c r="G348" s="219">
        <v>4106</v>
      </c>
      <c r="H348" s="219">
        <v>5006</v>
      </c>
      <c r="I348" s="219">
        <v>5007</v>
      </c>
      <c r="J348" s="96">
        <v>5196</v>
      </c>
      <c r="K348" s="96">
        <v>4732</v>
      </c>
      <c r="L348" s="21"/>
    </row>
    <row r="349" spans="1:14" ht="16.5" thickBot="1" x14ac:dyDescent="0.3">
      <c r="A349" s="1606"/>
      <c r="B349" s="1614"/>
      <c r="C349" s="1142" t="s">
        <v>270</v>
      </c>
      <c r="D349" s="1615"/>
      <c r="E349" s="350"/>
      <c r="F349" s="350"/>
      <c r="G349" s="378">
        <f>G348/G346*100</f>
        <v>53.35932423651721</v>
      </c>
      <c r="H349" s="378">
        <f>H348/H346*100</f>
        <v>54.318576388888886</v>
      </c>
      <c r="I349" s="378">
        <f>I348/I346*100</f>
        <v>54.264658068711391</v>
      </c>
      <c r="J349" s="378">
        <f>J348/J346*100</f>
        <v>54.505402286793249</v>
      </c>
      <c r="K349" s="378">
        <f>K348/K346*100</f>
        <v>53.264295362449346</v>
      </c>
      <c r="L349" s="53"/>
    </row>
    <row r="350" spans="1:14" ht="16.5" thickBot="1" x14ac:dyDescent="0.3">
      <c r="A350" s="140" t="s">
        <v>248</v>
      </c>
      <c r="B350" s="475" t="s">
        <v>249</v>
      </c>
      <c r="C350" s="1433"/>
      <c r="D350" s="1433"/>
      <c r="E350" s="616"/>
      <c r="F350" s="616" t="s">
        <v>443</v>
      </c>
      <c r="G350" s="616" t="s">
        <v>444</v>
      </c>
      <c r="H350" s="616" t="s">
        <v>445</v>
      </c>
      <c r="I350" s="616" t="s">
        <v>446</v>
      </c>
      <c r="J350" s="616" t="s">
        <v>447</v>
      </c>
      <c r="K350" s="616" t="s">
        <v>448</v>
      </c>
      <c r="L350" s="616" t="s">
        <v>449</v>
      </c>
    </row>
    <row r="351" spans="1:14" x14ac:dyDescent="0.25">
      <c r="A351" s="1517" t="s">
        <v>450</v>
      </c>
      <c r="B351" s="1518" t="s">
        <v>199</v>
      </c>
      <c r="C351" s="1533" t="s">
        <v>451</v>
      </c>
      <c r="D351" s="229" t="s">
        <v>435</v>
      </c>
      <c r="E351" s="225"/>
      <c r="F351" s="195">
        <v>9323</v>
      </c>
      <c r="G351" s="195">
        <v>8719</v>
      </c>
      <c r="H351" s="195">
        <v>8485</v>
      </c>
      <c r="I351" s="195">
        <v>8175</v>
      </c>
      <c r="J351" s="195">
        <v>7935</v>
      </c>
      <c r="K351" s="195">
        <v>7946</v>
      </c>
      <c r="L351" s="20"/>
    </row>
    <row r="352" spans="1:14" x14ac:dyDescent="0.25">
      <c r="A352" s="1517"/>
      <c r="B352" s="1518"/>
      <c r="C352" s="1344"/>
      <c r="D352" s="227" t="s">
        <v>436</v>
      </c>
      <c r="E352" s="96"/>
      <c r="F352" s="96">
        <v>4731</v>
      </c>
      <c r="G352" s="96">
        <v>4503</v>
      </c>
      <c r="H352" s="96">
        <v>4285</v>
      </c>
      <c r="I352" s="96">
        <v>4164</v>
      </c>
      <c r="J352" s="96">
        <v>4009</v>
      </c>
      <c r="K352" s="96">
        <v>4014</v>
      </c>
      <c r="L352" s="21"/>
    </row>
    <row r="353" spans="1:15" ht="16.5" thickBot="1" x14ac:dyDescent="0.3">
      <c r="A353" s="1517"/>
      <c r="B353" s="1518"/>
      <c r="C353" s="1345"/>
      <c r="D353" s="239" t="s">
        <v>437</v>
      </c>
      <c r="E353" s="190"/>
      <c r="F353" s="190">
        <v>4592</v>
      </c>
      <c r="G353" s="190">
        <v>4216</v>
      </c>
      <c r="H353" s="190">
        <v>4200</v>
      </c>
      <c r="I353" s="190">
        <v>4011</v>
      </c>
      <c r="J353" s="509">
        <v>3926</v>
      </c>
      <c r="K353" s="190">
        <v>3932</v>
      </c>
      <c r="L353" s="22"/>
    </row>
    <row r="354" spans="1:15" ht="15" customHeight="1" x14ac:dyDescent="0.25">
      <c r="A354" s="1517"/>
      <c r="B354" s="1518"/>
      <c r="C354" s="1347" t="s">
        <v>452</v>
      </c>
      <c r="D354" s="229" t="s">
        <v>435</v>
      </c>
      <c r="E354" s="225"/>
      <c r="F354" s="195">
        <v>3369</v>
      </c>
      <c r="G354" s="195">
        <v>3050</v>
      </c>
      <c r="H354" s="195">
        <v>2770</v>
      </c>
      <c r="I354" s="195">
        <v>2751</v>
      </c>
      <c r="J354" s="195">
        <v>2772</v>
      </c>
      <c r="K354" s="195">
        <v>2759</v>
      </c>
      <c r="L354" s="20"/>
    </row>
    <row r="355" spans="1:15" x14ac:dyDescent="0.25">
      <c r="A355" s="1517"/>
      <c r="B355" s="1518"/>
      <c r="C355" s="1348"/>
      <c r="D355" s="227" t="s">
        <v>436</v>
      </c>
      <c r="E355" s="96"/>
      <c r="F355" s="96">
        <v>1684</v>
      </c>
      <c r="G355" s="96">
        <v>1578</v>
      </c>
      <c r="H355" s="96">
        <v>1441</v>
      </c>
      <c r="I355" s="96">
        <v>1364</v>
      </c>
      <c r="J355" s="96">
        <v>1394</v>
      </c>
      <c r="K355" s="96">
        <v>1362</v>
      </c>
      <c r="L355" s="21"/>
    </row>
    <row r="356" spans="1:15" ht="16.5" thickBot="1" x14ac:dyDescent="0.3">
      <c r="A356" s="1517"/>
      <c r="B356" s="1518"/>
      <c r="C356" s="1506"/>
      <c r="D356" s="511" t="s">
        <v>437</v>
      </c>
      <c r="E356" s="360"/>
      <c r="F356" s="360">
        <v>1685</v>
      </c>
      <c r="G356" s="360">
        <v>1472</v>
      </c>
      <c r="H356" s="360">
        <v>1329</v>
      </c>
      <c r="I356" s="360">
        <v>1387</v>
      </c>
      <c r="J356" s="360">
        <v>1378</v>
      </c>
      <c r="K356" s="360">
        <v>1397</v>
      </c>
      <c r="L356" s="53"/>
    </row>
    <row r="357" spans="1:15" s="205" customFormat="1" ht="15" customHeight="1" x14ac:dyDescent="0.25">
      <c r="A357" s="1517"/>
      <c r="B357" s="1518"/>
      <c r="C357" s="1352" t="s">
        <v>453</v>
      </c>
      <c r="D357" s="1250"/>
      <c r="E357" s="36"/>
      <c r="F357" s="260">
        <f>+(F354/F351)*100</f>
        <v>36.136436769280273</v>
      </c>
      <c r="G357" s="260">
        <f t="shared" ref="G357:J357" si="21">+(G354/G351)*100</f>
        <v>34.981075811446267</v>
      </c>
      <c r="H357" s="260">
        <f t="shared" si="21"/>
        <v>32.645845609899823</v>
      </c>
      <c r="I357" s="260">
        <f t="shared" si="21"/>
        <v>33.651376146788991</v>
      </c>
      <c r="J357" s="260">
        <f t="shared" si="21"/>
        <v>34.933837429111527</v>
      </c>
      <c r="K357" s="260">
        <f>+(K354/K351)*100</f>
        <v>34.721872640322175</v>
      </c>
      <c r="L357" s="512"/>
      <c r="M357" s="11"/>
      <c r="N357" s="11"/>
      <c r="O357" s="11"/>
    </row>
    <row r="358" spans="1:15" x14ac:dyDescent="0.25">
      <c r="A358" s="1517"/>
      <c r="B358" s="1518"/>
      <c r="C358" s="1363" t="s">
        <v>454</v>
      </c>
      <c r="D358" s="1236"/>
      <c r="E358" s="28"/>
      <c r="F358" s="29">
        <f t="shared" ref="F358:J359" si="22">F355/F352*100</f>
        <v>35.59501162544916</v>
      </c>
      <c r="G358" s="29">
        <f t="shared" si="22"/>
        <v>35.043304463690873</v>
      </c>
      <c r="H358" s="29">
        <f t="shared" si="22"/>
        <v>33.628938156359396</v>
      </c>
      <c r="I358" s="29">
        <f t="shared" si="22"/>
        <v>32.756964457252643</v>
      </c>
      <c r="J358" s="29">
        <f t="shared" si="22"/>
        <v>34.77176353205288</v>
      </c>
      <c r="K358" s="29">
        <f>K355/K352*100</f>
        <v>33.931240657698055</v>
      </c>
      <c r="L358" s="21"/>
    </row>
    <row r="359" spans="1:15" x14ac:dyDescent="0.25">
      <c r="A359" s="1517"/>
      <c r="B359" s="1518"/>
      <c r="C359" s="1363" t="s">
        <v>455</v>
      </c>
      <c r="D359" s="1236"/>
      <c r="E359" s="28"/>
      <c r="F359" s="29">
        <f t="shared" si="22"/>
        <v>36.694250871080143</v>
      </c>
      <c r="G359" s="29">
        <f t="shared" si="22"/>
        <v>34.914611005692599</v>
      </c>
      <c r="H359" s="29">
        <f t="shared" si="22"/>
        <v>31.642857142857146</v>
      </c>
      <c r="I359" s="29">
        <f t="shared" si="22"/>
        <v>34.579905260533536</v>
      </c>
      <c r="J359" s="29">
        <f t="shared" si="22"/>
        <v>35.099337748344375</v>
      </c>
      <c r="K359" s="29">
        <f>K356/K353*100</f>
        <v>35.528992878942013</v>
      </c>
      <c r="L359" s="21"/>
    </row>
    <row r="360" spans="1:15" ht="16.5" thickBot="1" x14ac:dyDescent="0.3">
      <c r="A360" s="1627"/>
      <c r="B360" s="1628"/>
      <c r="C360" s="1583" t="s">
        <v>354</v>
      </c>
      <c r="D360" s="1248"/>
      <c r="E360" s="33"/>
      <c r="F360" s="432">
        <f>+F359-F358</f>
        <v>1.099239245630983</v>
      </c>
      <c r="G360" s="231">
        <f t="shared" ref="G360:I360" si="23">+G359-G358</f>
        <v>-0.12869345799827414</v>
      </c>
      <c r="H360" s="231">
        <f t="shared" si="23"/>
        <v>-1.9860810135022504</v>
      </c>
      <c r="I360" s="510">
        <f t="shared" si="23"/>
        <v>1.8229408032808934</v>
      </c>
      <c r="J360" s="510">
        <f>+J359-J358</f>
        <v>0.32757421629149519</v>
      </c>
      <c r="K360" s="510">
        <f>+K359-K358</f>
        <v>1.5977522212439581</v>
      </c>
      <c r="L360" s="22"/>
    </row>
    <row r="361" spans="1:15" ht="16.5" thickBot="1" x14ac:dyDescent="0.3">
      <c r="A361" s="505" t="s">
        <v>248</v>
      </c>
      <c r="B361" s="464" t="s">
        <v>249</v>
      </c>
      <c r="C361" s="1603"/>
      <c r="D361" s="1603"/>
      <c r="E361" s="613" t="s">
        <v>442</v>
      </c>
      <c r="F361" s="613" t="s">
        <v>443</v>
      </c>
      <c r="G361" s="613" t="s">
        <v>444</v>
      </c>
      <c r="H361" s="613" t="s">
        <v>445</v>
      </c>
      <c r="I361" s="613" t="s">
        <v>446</v>
      </c>
      <c r="J361" s="613" t="s">
        <v>447</v>
      </c>
      <c r="K361" s="274" t="s">
        <v>448</v>
      </c>
      <c r="L361" s="112" t="s">
        <v>449</v>
      </c>
    </row>
    <row r="362" spans="1:15" s="64" customFormat="1" ht="15" customHeight="1" x14ac:dyDescent="0.25">
      <c r="A362" s="1629" t="s">
        <v>456</v>
      </c>
      <c r="B362" s="1150" t="s">
        <v>457</v>
      </c>
      <c r="C362" s="1347" t="s">
        <v>458</v>
      </c>
      <c r="D362" s="229" t="s">
        <v>459</v>
      </c>
      <c r="E362" s="195" t="s">
        <v>460</v>
      </c>
      <c r="F362" s="195">
        <v>1705</v>
      </c>
      <c r="G362" s="195">
        <v>1700</v>
      </c>
      <c r="H362" s="195">
        <v>1218</v>
      </c>
      <c r="I362" s="195">
        <v>1060</v>
      </c>
      <c r="J362" s="195">
        <v>950</v>
      </c>
      <c r="K362" s="965">
        <v>1015</v>
      </c>
      <c r="L362" s="325"/>
    </row>
    <row r="363" spans="1:15" ht="14.1" customHeight="1" x14ac:dyDescent="0.25">
      <c r="A363" s="1382"/>
      <c r="B363" s="1151"/>
      <c r="C363" s="1348"/>
      <c r="D363" s="227" t="s">
        <v>436</v>
      </c>
      <c r="E363" s="96"/>
      <c r="F363" s="96">
        <v>863</v>
      </c>
      <c r="G363" s="96">
        <v>827</v>
      </c>
      <c r="H363" s="96">
        <v>586</v>
      </c>
      <c r="I363" s="96">
        <v>508</v>
      </c>
      <c r="J363" s="96">
        <v>474</v>
      </c>
      <c r="K363" s="972">
        <v>486</v>
      </c>
      <c r="L363" s="21"/>
    </row>
    <row r="364" spans="1:15" x14ac:dyDescent="0.25">
      <c r="A364" s="1382"/>
      <c r="B364" s="1151"/>
      <c r="C364" s="1348"/>
      <c r="D364" s="227" t="s">
        <v>437</v>
      </c>
      <c r="E364" s="96"/>
      <c r="F364" s="96">
        <v>842</v>
      </c>
      <c r="G364" s="96">
        <v>873</v>
      </c>
      <c r="H364" s="96">
        <v>632</v>
      </c>
      <c r="I364" s="96">
        <v>552</v>
      </c>
      <c r="J364" s="96">
        <v>476</v>
      </c>
      <c r="K364" s="972">
        <v>529</v>
      </c>
      <c r="L364" s="21"/>
    </row>
    <row r="365" spans="1:15" ht="15" customHeight="1" x14ac:dyDescent="0.25">
      <c r="A365" s="1382"/>
      <c r="B365" s="1151"/>
      <c r="C365" s="1348" t="s">
        <v>461</v>
      </c>
      <c r="D365" s="226" t="s">
        <v>459</v>
      </c>
      <c r="E365" s="96"/>
      <c r="F365" s="157">
        <v>690</v>
      </c>
      <c r="G365" s="157">
        <f>262+455</f>
        <v>717</v>
      </c>
      <c r="H365" s="157">
        <v>587</v>
      </c>
      <c r="I365" s="157">
        <v>523</v>
      </c>
      <c r="J365" s="157">
        <f>236+228</f>
        <v>464</v>
      </c>
      <c r="K365" s="963">
        <v>536</v>
      </c>
      <c r="L365" s="21"/>
    </row>
    <row r="366" spans="1:15" x14ac:dyDescent="0.25">
      <c r="A366" s="1382"/>
      <c r="B366" s="1151"/>
      <c r="C366" s="1348"/>
      <c r="D366" s="227" t="s">
        <v>436</v>
      </c>
      <c r="E366" s="96"/>
      <c r="F366" s="96">
        <v>393</v>
      </c>
      <c r="G366" s="96">
        <f>140+250</f>
        <v>390</v>
      </c>
      <c r="H366" s="96">
        <v>311</v>
      </c>
      <c r="I366" s="96">
        <v>271</v>
      </c>
      <c r="J366" s="96">
        <f>124+129</f>
        <v>253</v>
      </c>
      <c r="K366" s="972">
        <v>275</v>
      </c>
      <c r="L366" s="21"/>
    </row>
    <row r="367" spans="1:15" ht="16.5" thickBot="1" x14ac:dyDescent="0.3">
      <c r="A367" s="1382"/>
      <c r="B367" s="1151"/>
      <c r="C367" s="1349"/>
      <c r="D367" s="239" t="s">
        <v>437</v>
      </c>
      <c r="E367" s="190"/>
      <c r="F367" s="190">
        <v>297</v>
      </c>
      <c r="G367" s="190">
        <f>122+205</f>
        <v>327</v>
      </c>
      <c r="H367" s="190">
        <v>276</v>
      </c>
      <c r="I367" s="190">
        <v>252</v>
      </c>
      <c r="J367" s="190">
        <f>112+99</f>
        <v>211</v>
      </c>
      <c r="K367" s="998">
        <v>261</v>
      </c>
      <c r="L367" s="22"/>
    </row>
    <row r="368" spans="1:15" x14ac:dyDescent="0.25">
      <c r="A368" s="1382"/>
      <c r="B368" s="1151"/>
      <c r="C368" s="1389" t="s">
        <v>462</v>
      </c>
      <c r="D368" s="1390"/>
      <c r="E368" s="225"/>
      <c r="F368" s="283">
        <f>F366/F363*100</f>
        <v>45.538818076477405</v>
      </c>
      <c r="G368" s="283">
        <f t="shared" ref="G368:I369" si="24">G366/G363*100</f>
        <v>47.158403869407493</v>
      </c>
      <c r="H368" s="283">
        <f t="shared" si="24"/>
        <v>53.071672354948809</v>
      </c>
      <c r="I368" s="283">
        <f t="shared" si="24"/>
        <v>53.346456692913392</v>
      </c>
      <c r="J368" s="283">
        <f>J366/J363*100</f>
        <v>53.375527426160339</v>
      </c>
      <c r="K368" s="283">
        <f>K366/K363*100</f>
        <v>56.584362139917701</v>
      </c>
      <c r="L368" s="20"/>
    </row>
    <row r="369" spans="1:19" x14ac:dyDescent="0.25">
      <c r="A369" s="1382"/>
      <c r="B369" s="1151"/>
      <c r="C369" s="1123" t="s">
        <v>463</v>
      </c>
      <c r="D369" s="1124"/>
      <c r="E369" s="96"/>
      <c r="F369" s="29">
        <f>F367/F364*100</f>
        <v>35.273159144893114</v>
      </c>
      <c r="G369" s="29">
        <f t="shared" si="24"/>
        <v>37.457044673539521</v>
      </c>
      <c r="H369" s="29">
        <f t="shared" si="24"/>
        <v>43.670886075949369</v>
      </c>
      <c r="I369" s="29">
        <f t="shared" si="24"/>
        <v>45.652173913043477</v>
      </c>
      <c r="J369" s="29">
        <f>J367/J364*100</f>
        <v>44.32773109243697</v>
      </c>
      <c r="K369" s="29">
        <f>K367/K364*100</f>
        <v>49.338374291115308</v>
      </c>
      <c r="L369" s="21"/>
    </row>
    <row r="370" spans="1:19" ht="16.5" thickBot="1" x14ac:dyDescent="0.3">
      <c r="A370" s="1382"/>
      <c r="B370" s="1152"/>
      <c r="C370" s="1125" t="s">
        <v>354</v>
      </c>
      <c r="D370" s="1126"/>
      <c r="E370" s="110"/>
      <c r="F370" s="165">
        <f>+F369-F368</f>
        <v>-10.265658931584291</v>
      </c>
      <c r="G370" s="165">
        <f t="shared" ref="G370:I370" si="25">+G369-G368</f>
        <v>-9.7013591958679726</v>
      </c>
      <c r="H370" s="165">
        <f t="shared" si="25"/>
        <v>-9.4007862789994405</v>
      </c>
      <c r="I370" s="165">
        <f t="shared" si="25"/>
        <v>-7.6942827798699156</v>
      </c>
      <c r="J370" s="165">
        <f>+J369-J368</f>
        <v>-9.0477963337233689</v>
      </c>
      <c r="K370" s="165">
        <f>+K369-K368</f>
        <v>-7.2459878488023932</v>
      </c>
      <c r="L370" s="53"/>
    </row>
    <row r="371" spans="1:19" ht="15.95" customHeight="1" thickBot="1" x14ac:dyDescent="0.3">
      <c r="A371" s="1382"/>
      <c r="B371" s="1500" t="s">
        <v>464</v>
      </c>
      <c r="C371" s="1603"/>
      <c r="D371" s="1439"/>
      <c r="E371" s="621" t="s">
        <v>442</v>
      </c>
      <c r="F371" s="621" t="s">
        <v>443</v>
      </c>
      <c r="G371" s="621" t="s">
        <v>444</v>
      </c>
      <c r="H371" s="621" t="s">
        <v>445</v>
      </c>
      <c r="I371" s="621" t="s">
        <v>446</v>
      </c>
      <c r="J371" s="621" t="s">
        <v>447</v>
      </c>
      <c r="K371" s="621" t="s">
        <v>448</v>
      </c>
      <c r="L371" s="621" t="s">
        <v>449</v>
      </c>
    </row>
    <row r="372" spans="1:19" ht="15" customHeight="1" x14ac:dyDescent="0.25">
      <c r="A372" s="1429"/>
      <c r="B372" s="1378"/>
      <c r="C372" s="1251" t="s">
        <v>459</v>
      </c>
      <c r="D372" s="1390"/>
      <c r="E372" s="122"/>
      <c r="F372" s="192">
        <v>263</v>
      </c>
      <c r="G372" s="192">
        <v>278</v>
      </c>
      <c r="H372" s="192">
        <v>507</v>
      </c>
      <c r="I372" s="192">
        <v>571</v>
      </c>
      <c r="J372" s="192">
        <v>579</v>
      </c>
      <c r="K372" s="202">
        <v>580</v>
      </c>
      <c r="L372" s="87"/>
      <c r="S372" s="515"/>
    </row>
    <row r="373" spans="1:19" x14ac:dyDescent="0.25">
      <c r="A373" s="1429"/>
      <c r="B373" s="1378"/>
      <c r="C373" s="1123" t="s">
        <v>436</v>
      </c>
      <c r="D373" s="1124"/>
      <c r="E373" s="96"/>
      <c r="F373" s="96">
        <v>174</v>
      </c>
      <c r="G373" s="96">
        <v>203</v>
      </c>
      <c r="H373" s="96">
        <v>269</v>
      </c>
      <c r="I373" s="96">
        <v>276</v>
      </c>
      <c r="J373" s="96">
        <v>269</v>
      </c>
      <c r="K373" s="96">
        <v>279</v>
      </c>
      <c r="L373" s="21"/>
      <c r="S373" s="515"/>
    </row>
    <row r="374" spans="1:19" x14ac:dyDescent="0.25">
      <c r="A374" s="1429"/>
      <c r="B374" s="1378"/>
      <c r="C374" s="1123" t="s">
        <v>437</v>
      </c>
      <c r="D374" s="1124"/>
      <c r="E374" s="96"/>
      <c r="F374" s="96">
        <v>89</v>
      </c>
      <c r="G374" s="96">
        <v>75</v>
      </c>
      <c r="H374" s="96">
        <v>238</v>
      </c>
      <c r="I374" s="96">
        <v>295</v>
      </c>
      <c r="J374" s="96">
        <v>310</v>
      </c>
      <c r="K374" s="96">
        <v>301</v>
      </c>
      <c r="L374" s="21"/>
      <c r="O374" s="64"/>
      <c r="P374" s="64"/>
      <c r="Q374" s="64"/>
      <c r="R374" s="64"/>
    </row>
    <row r="375" spans="1:19" ht="16.5" thickBot="1" x14ac:dyDescent="0.3">
      <c r="A375" s="1429"/>
      <c r="B375" s="1378"/>
      <c r="C375" s="1577" t="s">
        <v>270</v>
      </c>
      <c r="D375" s="1578"/>
      <c r="E375" s="360"/>
      <c r="F375" s="435">
        <f t="shared" ref="F375:K375" si="26">F374/F372*100</f>
        <v>33.840304182509506</v>
      </c>
      <c r="G375" s="435">
        <f t="shared" si="26"/>
        <v>26.978417266187048</v>
      </c>
      <c r="H375" s="435">
        <f t="shared" si="26"/>
        <v>46.942800788954635</v>
      </c>
      <c r="I375" s="435">
        <f t="shared" si="26"/>
        <v>51.66374781085814</v>
      </c>
      <c r="J375" s="435">
        <f t="shared" si="26"/>
        <v>53.540587219343692</v>
      </c>
      <c r="K375" s="435">
        <f t="shared" si="26"/>
        <v>51.896551724137929</v>
      </c>
      <c r="L375" s="53"/>
    </row>
    <row r="376" spans="1:19" ht="14.85" customHeight="1" x14ac:dyDescent="0.25">
      <c r="A376" s="1429"/>
      <c r="B376" s="1378"/>
      <c r="C376" s="1159" t="s">
        <v>523</v>
      </c>
      <c r="D376" s="248" t="s">
        <v>251</v>
      </c>
      <c r="E376" s="249"/>
      <c r="F376" s="225">
        <v>108</v>
      </c>
      <c r="G376" s="225">
        <v>115</v>
      </c>
      <c r="H376" s="225">
        <v>139</v>
      </c>
      <c r="I376" s="225">
        <v>131</v>
      </c>
      <c r="J376" s="225">
        <v>124</v>
      </c>
      <c r="K376" s="36">
        <v>122</v>
      </c>
      <c r="L376" s="20"/>
    </row>
    <row r="377" spans="1:19" x14ac:dyDescent="0.25">
      <c r="A377" s="1429"/>
      <c r="B377" s="1378"/>
      <c r="C377" s="1160"/>
      <c r="D377" s="28" t="s">
        <v>257</v>
      </c>
      <c r="E377" s="94"/>
      <c r="F377" s="354">
        <v>33</v>
      </c>
      <c r="G377" s="354">
        <v>50</v>
      </c>
      <c r="H377" s="354">
        <v>68</v>
      </c>
      <c r="I377" s="354">
        <v>52</v>
      </c>
      <c r="J377" s="354">
        <v>49</v>
      </c>
      <c r="K377" s="28">
        <v>58</v>
      </c>
      <c r="L377" s="21"/>
    </row>
    <row r="378" spans="1:19" x14ac:dyDescent="0.25">
      <c r="A378" s="1429"/>
      <c r="B378" s="1378"/>
      <c r="C378" s="1160"/>
      <c r="D378" s="28" t="s">
        <v>263</v>
      </c>
      <c r="E378" s="94"/>
      <c r="F378" s="354">
        <v>75</v>
      </c>
      <c r="G378" s="354">
        <v>65</v>
      </c>
      <c r="H378" s="354">
        <v>71</v>
      </c>
      <c r="I378" s="354">
        <v>79</v>
      </c>
      <c r="J378" s="354">
        <v>75</v>
      </c>
      <c r="K378" s="28">
        <v>64</v>
      </c>
      <c r="L378" s="21"/>
      <c r="O378" s="64"/>
      <c r="P378" s="64"/>
      <c r="Q378" s="64"/>
      <c r="R378" s="64"/>
    </row>
    <row r="379" spans="1:19" s="64" customFormat="1" ht="16.5" thickBot="1" x14ac:dyDescent="0.3">
      <c r="A379" s="1429"/>
      <c r="B379" s="1378"/>
      <c r="C379" s="1519"/>
      <c r="D379" s="336" t="s">
        <v>270</v>
      </c>
      <c r="E379" s="128"/>
      <c r="F379" s="440">
        <f t="shared" ref="F379:K379" si="27">(F378*100)/F376</f>
        <v>69.444444444444443</v>
      </c>
      <c r="G379" s="361">
        <f t="shared" si="27"/>
        <v>56.521739130434781</v>
      </c>
      <c r="H379" s="361">
        <f t="shared" si="27"/>
        <v>51.079136690647481</v>
      </c>
      <c r="I379" s="440">
        <f t="shared" si="27"/>
        <v>60.305343511450381</v>
      </c>
      <c r="J379" s="440">
        <f t="shared" si="27"/>
        <v>60.483870967741936</v>
      </c>
      <c r="K379" s="361">
        <f t="shared" si="27"/>
        <v>52.459016393442624</v>
      </c>
      <c r="L379" s="352"/>
      <c r="O379" s="11"/>
      <c r="P379" s="11"/>
      <c r="Q379" s="11"/>
      <c r="R379" s="11"/>
    </row>
    <row r="380" spans="1:19" ht="14.85" customHeight="1" x14ac:dyDescent="0.25">
      <c r="A380" s="1429"/>
      <c r="B380" s="1378"/>
      <c r="C380" s="1159" t="s">
        <v>522</v>
      </c>
      <c r="D380" s="248" t="s">
        <v>251</v>
      </c>
      <c r="E380" s="249"/>
      <c r="F380" s="225">
        <v>47</v>
      </c>
      <c r="G380" s="225">
        <v>37</v>
      </c>
      <c r="H380" s="225">
        <v>44</v>
      </c>
      <c r="I380" s="225">
        <v>47</v>
      </c>
      <c r="J380" s="225">
        <v>48</v>
      </c>
      <c r="K380" s="36">
        <v>44</v>
      </c>
      <c r="L380" s="20"/>
    </row>
    <row r="381" spans="1:19" x14ac:dyDescent="0.25">
      <c r="A381" s="1429"/>
      <c r="B381" s="1378"/>
      <c r="C381" s="1160"/>
      <c r="D381" s="28" t="s">
        <v>257</v>
      </c>
      <c r="E381" s="94"/>
      <c r="F381" s="354">
        <v>47</v>
      </c>
      <c r="G381" s="354">
        <v>37</v>
      </c>
      <c r="H381" s="354">
        <v>43</v>
      </c>
      <c r="I381" s="354">
        <v>47</v>
      </c>
      <c r="J381" s="354">
        <v>48</v>
      </c>
      <c r="K381" s="28">
        <v>43</v>
      </c>
      <c r="L381" s="21"/>
    </row>
    <row r="382" spans="1:19" x14ac:dyDescent="0.25">
      <c r="A382" s="1429"/>
      <c r="B382" s="1378"/>
      <c r="C382" s="1160"/>
      <c r="D382" s="28" t="s">
        <v>263</v>
      </c>
      <c r="E382" s="94"/>
      <c r="F382" s="354">
        <v>0</v>
      </c>
      <c r="G382" s="354">
        <v>0</v>
      </c>
      <c r="H382" s="354">
        <v>1</v>
      </c>
      <c r="I382" s="354">
        <v>0</v>
      </c>
      <c r="J382" s="354">
        <v>0</v>
      </c>
      <c r="K382" s="28">
        <v>1</v>
      </c>
      <c r="L382" s="21"/>
      <c r="O382" s="64"/>
      <c r="P382" s="64"/>
      <c r="Q382" s="64"/>
      <c r="R382" s="64"/>
    </row>
    <row r="383" spans="1:19" s="64" customFormat="1" ht="16.5" thickBot="1" x14ac:dyDescent="0.3">
      <c r="A383" s="1429"/>
      <c r="B383" s="1378"/>
      <c r="C383" s="1519"/>
      <c r="D383" s="336" t="s">
        <v>270</v>
      </c>
      <c r="E383" s="128"/>
      <c r="F383" s="442">
        <f t="shared" ref="F383:K383" si="28">(F382*100)/F380</f>
        <v>0</v>
      </c>
      <c r="G383" s="442">
        <f t="shared" si="28"/>
        <v>0</v>
      </c>
      <c r="H383" s="442">
        <f t="shared" si="28"/>
        <v>2.2727272727272729</v>
      </c>
      <c r="I383" s="442">
        <f t="shared" si="28"/>
        <v>0</v>
      </c>
      <c r="J383" s="442">
        <f t="shared" si="28"/>
        <v>0</v>
      </c>
      <c r="K383" s="442">
        <f t="shared" si="28"/>
        <v>2.2727272727272729</v>
      </c>
      <c r="L383" s="352"/>
      <c r="O383" s="11"/>
      <c r="P383" s="11"/>
      <c r="Q383" s="11"/>
      <c r="R383" s="11"/>
    </row>
    <row r="384" spans="1:19" ht="14.85" customHeight="1" x14ac:dyDescent="0.25">
      <c r="A384" s="1429"/>
      <c r="B384" s="1378"/>
      <c r="C384" s="1159" t="s">
        <v>467</v>
      </c>
      <c r="D384" s="248" t="s">
        <v>251</v>
      </c>
      <c r="E384" s="249"/>
      <c r="F384" s="225">
        <v>108</v>
      </c>
      <c r="G384" s="225">
        <v>126</v>
      </c>
      <c r="H384" s="225">
        <v>137</v>
      </c>
      <c r="I384" s="225">
        <v>140</v>
      </c>
      <c r="J384" s="225">
        <v>130</v>
      </c>
      <c r="K384" s="36">
        <v>133</v>
      </c>
      <c r="L384" s="20"/>
    </row>
    <row r="385" spans="1:12" x14ac:dyDescent="0.25">
      <c r="A385" s="1429"/>
      <c r="B385" s="1378"/>
      <c r="C385" s="1160"/>
      <c r="D385" s="28" t="s">
        <v>257</v>
      </c>
      <c r="E385" s="94"/>
      <c r="F385" s="354">
        <v>94</v>
      </c>
      <c r="G385" s="354">
        <v>116</v>
      </c>
      <c r="H385" s="354">
        <v>119</v>
      </c>
      <c r="I385" s="354">
        <v>126</v>
      </c>
      <c r="J385" s="354">
        <v>118</v>
      </c>
      <c r="K385" s="28">
        <v>118</v>
      </c>
      <c r="L385" s="21"/>
    </row>
    <row r="386" spans="1:12" x14ac:dyDescent="0.25">
      <c r="A386" s="1429"/>
      <c r="B386" s="1378"/>
      <c r="C386" s="1160"/>
      <c r="D386" s="28" t="s">
        <v>263</v>
      </c>
      <c r="E386" s="94"/>
      <c r="F386" s="354">
        <v>14</v>
      </c>
      <c r="G386" s="354">
        <v>10</v>
      </c>
      <c r="H386" s="354">
        <v>18</v>
      </c>
      <c r="I386" s="354">
        <v>14</v>
      </c>
      <c r="J386" s="354">
        <v>12</v>
      </c>
      <c r="K386" s="28">
        <v>15</v>
      </c>
      <c r="L386" s="21"/>
    </row>
    <row r="387" spans="1:12" s="64" customFormat="1" ht="16.5" thickBot="1" x14ac:dyDescent="0.3">
      <c r="A387" s="1429"/>
      <c r="B387" s="1378"/>
      <c r="C387" s="1519"/>
      <c r="D387" s="336" t="s">
        <v>270</v>
      </c>
      <c r="E387" s="128"/>
      <c r="F387" s="442">
        <f t="shared" ref="F387:K387" si="29">(F386*100)/F384</f>
        <v>12.962962962962964</v>
      </c>
      <c r="G387" s="442">
        <f t="shared" si="29"/>
        <v>7.9365079365079367</v>
      </c>
      <c r="H387" s="442">
        <f t="shared" si="29"/>
        <v>13.138686131386862</v>
      </c>
      <c r="I387" s="442">
        <f t="shared" si="29"/>
        <v>10</v>
      </c>
      <c r="J387" s="442">
        <f t="shared" si="29"/>
        <v>9.2307692307692299</v>
      </c>
      <c r="K387" s="442">
        <f t="shared" si="29"/>
        <v>11.278195488721805</v>
      </c>
      <c r="L387" s="352"/>
    </row>
    <row r="388" spans="1:12" ht="14.85" customHeight="1" x14ac:dyDescent="0.25">
      <c r="A388" s="1429"/>
      <c r="B388" s="1378"/>
      <c r="C388" s="1159" t="s">
        <v>465</v>
      </c>
      <c r="D388" s="248" t="s">
        <v>251</v>
      </c>
      <c r="E388" s="249"/>
      <c r="F388" s="225"/>
      <c r="G388" s="225"/>
      <c r="H388" s="225">
        <v>154</v>
      </c>
      <c r="I388" s="225">
        <v>172</v>
      </c>
      <c r="J388" s="225">
        <v>205</v>
      </c>
      <c r="K388" s="36">
        <v>213</v>
      </c>
      <c r="L388" s="20"/>
    </row>
    <row r="389" spans="1:12" x14ac:dyDescent="0.25">
      <c r="A389" s="1429"/>
      <c r="B389" s="1378"/>
      <c r="C389" s="1160"/>
      <c r="D389" s="28" t="s">
        <v>257</v>
      </c>
      <c r="E389" s="94"/>
      <c r="F389" s="354"/>
      <c r="G389" s="354"/>
      <c r="H389" s="354">
        <v>32</v>
      </c>
      <c r="I389" s="354">
        <v>38</v>
      </c>
      <c r="J389" s="354">
        <v>42</v>
      </c>
      <c r="K389" s="28">
        <v>46</v>
      </c>
      <c r="L389" s="21"/>
    </row>
    <row r="390" spans="1:12" x14ac:dyDescent="0.25">
      <c r="A390" s="1429"/>
      <c r="B390" s="1378"/>
      <c r="C390" s="1160"/>
      <c r="D390" s="28" t="s">
        <v>263</v>
      </c>
      <c r="E390" s="94"/>
      <c r="F390" s="354"/>
      <c r="G390" s="354"/>
      <c r="H390" s="354">
        <v>122</v>
      </c>
      <c r="I390" s="354">
        <v>134</v>
      </c>
      <c r="J390" s="354">
        <v>163</v>
      </c>
      <c r="K390" s="28">
        <v>167</v>
      </c>
      <c r="L390" s="21"/>
    </row>
    <row r="391" spans="1:12" s="64" customFormat="1" ht="16.5" thickBot="1" x14ac:dyDescent="0.3">
      <c r="A391" s="1429"/>
      <c r="B391" s="1378"/>
      <c r="C391" s="1519"/>
      <c r="D391" s="336" t="s">
        <v>270</v>
      </c>
      <c r="E391" s="128"/>
      <c r="F391" s="441"/>
      <c r="G391" s="441"/>
      <c r="H391" s="440">
        <f>(H390*100)/H388</f>
        <v>79.220779220779221</v>
      </c>
      <c r="I391" s="440">
        <f>(I390*100)/I388</f>
        <v>77.906976744186053</v>
      </c>
      <c r="J391" s="440">
        <f>(J390*100)/J388</f>
        <v>79.512195121951223</v>
      </c>
      <c r="K391" s="440">
        <f>(K390*100)/K388</f>
        <v>78.403755868544607</v>
      </c>
      <c r="L391" s="352"/>
    </row>
    <row r="392" spans="1:12" ht="14.85" customHeight="1" x14ac:dyDescent="0.25">
      <c r="A392" s="1429"/>
      <c r="B392" s="1378"/>
      <c r="C392" s="1159" t="s">
        <v>552</v>
      </c>
      <c r="D392" s="248" t="s">
        <v>251</v>
      </c>
      <c r="E392" s="249"/>
      <c r="F392" s="225"/>
      <c r="G392" s="225"/>
      <c r="H392" s="225">
        <v>33</v>
      </c>
      <c r="I392" s="225">
        <v>81</v>
      </c>
      <c r="J392" s="225">
        <v>72</v>
      </c>
      <c r="K392" s="36">
        <v>68</v>
      </c>
      <c r="L392" s="20"/>
    </row>
    <row r="393" spans="1:12" x14ac:dyDescent="0.25">
      <c r="A393" s="1429"/>
      <c r="B393" s="1378"/>
      <c r="C393" s="1160"/>
      <c r="D393" s="28" t="s">
        <v>257</v>
      </c>
      <c r="E393" s="94"/>
      <c r="F393" s="96"/>
      <c r="G393" s="96"/>
      <c r="H393" s="96">
        <v>7</v>
      </c>
      <c r="I393" s="96">
        <v>13</v>
      </c>
      <c r="J393" s="96">
        <v>12</v>
      </c>
      <c r="K393" s="28">
        <v>14</v>
      </c>
      <c r="L393" s="21"/>
    </row>
    <row r="394" spans="1:12" x14ac:dyDescent="0.25">
      <c r="A394" s="1429"/>
      <c r="B394" s="1378"/>
      <c r="C394" s="1160"/>
      <c r="D394" s="28" t="s">
        <v>263</v>
      </c>
      <c r="E394" s="94"/>
      <c r="F394" s="96"/>
      <c r="G394" s="96"/>
      <c r="H394" s="96">
        <v>26</v>
      </c>
      <c r="I394" s="96">
        <v>68</v>
      </c>
      <c r="J394" s="96">
        <v>60</v>
      </c>
      <c r="K394" s="28">
        <v>54</v>
      </c>
      <c r="L394" s="21"/>
    </row>
    <row r="395" spans="1:12" s="64" customFormat="1" ht="16.5" thickBot="1" x14ac:dyDescent="0.3">
      <c r="A395" s="1429"/>
      <c r="B395" s="1378"/>
      <c r="C395" s="1519"/>
      <c r="D395" s="336" t="s">
        <v>270</v>
      </c>
      <c r="E395" s="128"/>
      <c r="F395" s="441"/>
      <c r="G395" s="441"/>
      <c r="H395" s="440">
        <f>(H394*100)/H392</f>
        <v>78.787878787878782</v>
      </c>
      <c r="I395" s="440">
        <f>(I394*100)/I392</f>
        <v>83.950617283950621</v>
      </c>
      <c r="J395" s="440">
        <f>(J394*100)/J392</f>
        <v>83.333333333333329</v>
      </c>
      <c r="K395" s="440">
        <f>(K394*100)/K392</f>
        <v>79.411764705882348</v>
      </c>
      <c r="L395" s="352"/>
    </row>
    <row r="396" spans="1:12" x14ac:dyDescent="0.25">
      <c r="A396" s="1429"/>
      <c r="B396" s="1378"/>
      <c r="C396" s="1166" t="s">
        <v>553</v>
      </c>
      <c r="D396" s="308" t="s">
        <v>473</v>
      </c>
      <c r="E396" s="612"/>
      <c r="F396" s="261">
        <f>2/3*100</f>
        <v>66.666666666666657</v>
      </c>
      <c r="G396" s="261">
        <f>2/3*100</f>
        <v>66.666666666666657</v>
      </c>
      <c r="H396" s="261">
        <f>2/5*100</f>
        <v>40</v>
      </c>
      <c r="I396" s="261">
        <f>2/5*100</f>
        <v>40</v>
      </c>
      <c r="J396" s="261">
        <f>2/5*100</f>
        <v>40</v>
      </c>
      <c r="K396" s="261">
        <f>2/5*100</f>
        <v>40</v>
      </c>
      <c r="L396" s="20"/>
    </row>
    <row r="397" spans="1:12" x14ac:dyDescent="0.25">
      <c r="A397" s="1429"/>
      <c r="B397" s="1378"/>
      <c r="C397" s="1167"/>
      <c r="D397" s="232" t="s">
        <v>474</v>
      </c>
      <c r="E397" s="92"/>
      <c r="F397" s="234">
        <f>1/3*100</f>
        <v>33.333333333333329</v>
      </c>
      <c r="G397" s="234">
        <v>0</v>
      </c>
      <c r="H397" s="234">
        <v>40</v>
      </c>
      <c r="I397" s="234">
        <f>3/5*100</f>
        <v>60</v>
      </c>
      <c r="J397" s="234">
        <f>3/5*100</f>
        <v>60</v>
      </c>
      <c r="K397" s="234">
        <f>2/5*100</f>
        <v>40</v>
      </c>
      <c r="L397" s="21"/>
    </row>
    <row r="398" spans="1:12" x14ac:dyDescent="0.25">
      <c r="A398" s="1429"/>
      <c r="B398" s="1378"/>
      <c r="C398" s="1168"/>
      <c r="D398" s="357" t="s">
        <v>475</v>
      </c>
      <c r="E398" s="128"/>
      <c r="F398" s="513">
        <v>0</v>
      </c>
      <c r="G398" s="355">
        <f>1/3*100</f>
        <v>33.333333333333329</v>
      </c>
      <c r="H398" s="355">
        <v>20</v>
      </c>
      <c r="I398" s="355">
        <v>0</v>
      </c>
      <c r="J398" s="355">
        <v>0</v>
      </c>
      <c r="K398" s="355">
        <f>1/5*100</f>
        <v>20</v>
      </c>
      <c r="L398" s="53"/>
    </row>
    <row r="399" spans="1:12" ht="16.5" thickBot="1" x14ac:dyDescent="0.3">
      <c r="A399" s="1382"/>
      <c r="B399" s="462" t="s">
        <v>249</v>
      </c>
      <c r="C399" s="1433"/>
      <c r="D399" s="1433"/>
      <c r="E399" s="616" t="s">
        <v>442</v>
      </c>
      <c r="F399" s="616" t="s">
        <v>443</v>
      </c>
      <c r="G399" s="616" t="s">
        <v>444</v>
      </c>
      <c r="H399" s="616" t="s">
        <v>445</v>
      </c>
      <c r="I399" s="616" t="s">
        <v>446</v>
      </c>
      <c r="J399" s="616" t="s">
        <v>447</v>
      </c>
      <c r="K399" s="616" t="s">
        <v>448</v>
      </c>
      <c r="L399" s="616" t="s">
        <v>449</v>
      </c>
    </row>
    <row r="400" spans="1:12" ht="15" customHeight="1" x14ac:dyDescent="0.25">
      <c r="A400" s="1429"/>
      <c r="B400" s="1378" t="s">
        <v>476</v>
      </c>
      <c r="C400" s="1251" t="s">
        <v>459</v>
      </c>
      <c r="D400" s="1390"/>
      <c r="E400" s="36"/>
      <c r="F400" s="195">
        <v>697</v>
      </c>
      <c r="G400" s="195">
        <v>794</v>
      </c>
      <c r="H400" s="195">
        <v>1358</v>
      </c>
      <c r="I400" s="195">
        <v>1194</v>
      </c>
      <c r="J400" s="195">
        <v>1200</v>
      </c>
      <c r="K400" s="40">
        <v>1138</v>
      </c>
      <c r="L400" s="20"/>
    </row>
    <row r="401" spans="1:12" x14ac:dyDescent="0.25">
      <c r="A401" s="1429"/>
      <c r="B401" s="1378"/>
      <c r="C401" s="1123" t="s">
        <v>436</v>
      </c>
      <c r="D401" s="1124"/>
      <c r="E401" s="96"/>
      <c r="F401" s="96">
        <v>321</v>
      </c>
      <c r="G401" s="96">
        <v>381</v>
      </c>
      <c r="H401" s="96">
        <v>621</v>
      </c>
      <c r="I401" s="96">
        <v>544</v>
      </c>
      <c r="J401" s="96">
        <v>552</v>
      </c>
      <c r="K401" s="997">
        <v>551</v>
      </c>
      <c r="L401" s="21"/>
    </row>
    <row r="402" spans="1:12" x14ac:dyDescent="0.25">
      <c r="A402" s="1429"/>
      <c r="B402" s="1378"/>
      <c r="C402" s="1123" t="s">
        <v>437</v>
      </c>
      <c r="D402" s="1124"/>
      <c r="E402" s="96"/>
      <c r="F402" s="96">
        <v>376</v>
      </c>
      <c r="G402" s="96">
        <v>413</v>
      </c>
      <c r="H402" s="96">
        <v>737</v>
      </c>
      <c r="I402" s="96">
        <v>650</v>
      </c>
      <c r="J402" s="96">
        <v>648</v>
      </c>
      <c r="K402" s="997">
        <v>587</v>
      </c>
      <c r="L402" s="21"/>
    </row>
    <row r="403" spans="1:12" ht="16.5" thickBot="1" x14ac:dyDescent="0.3">
      <c r="A403" s="1429"/>
      <c r="B403" s="1378"/>
      <c r="C403" s="1577" t="s">
        <v>270</v>
      </c>
      <c r="D403" s="1630"/>
      <c r="E403" s="360"/>
      <c r="F403" s="435">
        <f t="shared" ref="F403:H403" si="30">F402/F400*100</f>
        <v>53.945480631276901</v>
      </c>
      <c r="G403" s="435">
        <f t="shared" si="30"/>
        <v>52.015113350125944</v>
      </c>
      <c r="H403" s="435">
        <f t="shared" si="30"/>
        <v>54.270986745213548</v>
      </c>
      <c r="I403" s="435">
        <f>I402/I400*100</f>
        <v>54.438860971524285</v>
      </c>
      <c r="J403" s="435">
        <f t="shared" ref="J403:K403" si="31">J402/J400*100</f>
        <v>54</v>
      </c>
      <c r="K403" s="435">
        <f t="shared" si="31"/>
        <v>51.581722319859402</v>
      </c>
      <c r="L403" s="53"/>
    </row>
    <row r="404" spans="1:12" ht="14.85" customHeight="1" x14ac:dyDescent="0.25">
      <c r="A404" s="1429"/>
      <c r="B404" s="1378"/>
      <c r="C404" s="1159" t="s">
        <v>523</v>
      </c>
      <c r="D404" s="248" t="s">
        <v>251</v>
      </c>
      <c r="E404" s="249"/>
      <c r="F404" s="225">
        <v>151</v>
      </c>
      <c r="G404" s="225">
        <v>140</v>
      </c>
      <c r="H404" s="225">
        <v>201</v>
      </c>
      <c r="I404" s="225">
        <v>192</v>
      </c>
      <c r="J404" s="225">
        <v>186</v>
      </c>
      <c r="K404" s="36">
        <v>194</v>
      </c>
      <c r="L404" s="20"/>
    </row>
    <row r="405" spans="1:12" x14ac:dyDescent="0.25">
      <c r="A405" s="1429"/>
      <c r="B405" s="1378"/>
      <c r="C405" s="1160"/>
      <c r="D405" s="28" t="s">
        <v>257</v>
      </c>
      <c r="E405" s="94"/>
      <c r="F405" s="354">
        <v>57</v>
      </c>
      <c r="G405" s="354">
        <v>71</v>
      </c>
      <c r="H405" s="354">
        <v>88</v>
      </c>
      <c r="I405" s="354">
        <v>79</v>
      </c>
      <c r="J405" s="354">
        <v>93</v>
      </c>
      <c r="K405" s="956">
        <v>96</v>
      </c>
      <c r="L405" s="21"/>
    </row>
    <row r="406" spans="1:12" x14ac:dyDescent="0.25">
      <c r="A406" s="1429"/>
      <c r="B406" s="1378"/>
      <c r="C406" s="1160"/>
      <c r="D406" s="28" t="s">
        <v>263</v>
      </c>
      <c r="E406" s="94"/>
      <c r="F406" s="354">
        <v>94</v>
      </c>
      <c r="G406" s="354">
        <v>69</v>
      </c>
      <c r="H406" s="354">
        <v>113</v>
      </c>
      <c r="I406" s="354">
        <v>113</v>
      </c>
      <c r="J406" s="354">
        <v>93</v>
      </c>
      <c r="K406" s="956">
        <v>98</v>
      </c>
      <c r="L406" s="21"/>
    </row>
    <row r="407" spans="1:12" s="64" customFormat="1" ht="16.5" thickBot="1" x14ac:dyDescent="0.3">
      <c r="A407" s="1429"/>
      <c r="B407" s="1378"/>
      <c r="C407" s="1519"/>
      <c r="D407" s="336" t="s">
        <v>270</v>
      </c>
      <c r="E407" s="128"/>
      <c r="F407" s="440">
        <f>(F406*100)/F404</f>
        <v>62.251655629139073</v>
      </c>
      <c r="G407" s="361">
        <f t="shared" ref="G407:K407" si="32">(G406*100)/G404</f>
        <v>49.285714285714285</v>
      </c>
      <c r="H407" s="361">
        <f t="shared" si="32"/>
        <v>56.218905472636813</v>
      </c>
      <c r="I407" s="361">
        <f t="shared" si="32"/>
        <v>58.854166666666664</v>
      </c>
      <c r="J407" s="361">
        <f t="shared" si="32"/>
        <v>50</v>
      </c>
      <c r="K407" s="361">
        <f t="shared" si="32"/>
        <v>50.515463917525771</v>
      </c>
      <c r="L407" s="352"/>
    </row>
    <row r="408" spans="1:12" ht="14.85" customHeight="1" x14ac:dyDescent="0.25">
      <c r="A408" s="1429"/>
      <c r="B408" s="1378"/>
      <c r="C408" s="1159" t="s">
        <v>522</v>
      </c>
      <c r="D408" s="248" t="s">
        <v>251</v>
      </c>
      <c r="E408" s="249"/>
      <c r="F408" s="225">
        <v>25</v>
      </c>
      <c r="G408" s="225">
        <v>10</v>
      </c>
      <c r="H408" s="225"/>
      <c r="I408" s="225"/>
      <c r="J408" s="225"/>
      <c r="K408" s="36"/>
      <c r="L408" s="20"/>
    </row>
    <row r="409" spans="1:12" x14ac:dyDescent="0.25">
      <c r="A409" s="1429"/>
      <c r="B409" s="1378"/>
      <c r="C409" s="1160"/>
      <c r="D409" s="28" t="s">
        <v>257</v>
      </c>
      <c r="E409" s="94"/>
      <c r="F409" s="354">
        <v>24</v>
      </c>
      <c r="G409" s="354">
        <v>10</v>
      </c>
      <c r="H409" s="354"/>
      <c r="I409" s="354"/>
      <c r="J409" s="354"/>
      <c r="K409" s="28"/>
      <c r="L409" s="21"/>
    </row>
    <row r="410" spans="1:12" x14ac:dyDescent="0.25">
      <c r="A410" s="1429"/>
      <c r="B410" s="1378"/>
      <c r="C410" s="1160"/>
      <c r="D410" s="28" t="s">
        <v>263</v>
      </c>
      <c r="E410" s="94"/>
      <c r="F410" s="354">
        <v>1</v>
      </c>
      <c r="G410" s="354">
        <v>0</v>
      </c>
      <c r="H410" s="354"/>
      <c r="I410" s="354"/>
      <c r="J410" s="354"/>
      <c r="K410" s="28"/>
      <c r="L410" s="21"/>
    </row>
    <row r="411" spans="1:12" s="64" customFormat="1" ht="16.5" thickBot="1" x14ac:dyDescent="0.3">
      <c r="A411" s="1429"/>
      <c r="B411" s="1378"/>
      <c r="C411" s="1519"/>
      <c r="D411" s="336" t="s">
        <v>270</v>
      </c>
      <c r="E411" s="128"/>
      <c r="F411" s="442">
        <f>(F410*100)/F408</f>
        <v>4</v>
      </c>
      <c r="G411" s="442">
        <f>(G410*100)/G408</f>
        <v>0</v>
      </c>
      <c r="H411" s="441"/>
      <c r="I411" s="441"/>
      <c r="J411" s="441"/>
      <c r="K411" s="336"/>
      <c r="L411" s="352"/>
    </row>
    <row r="412" spans="1:12" ht="14.85" customHeight="1" x14ac:dyDescent="0.25">
      <c r="A412" s="1429"/>
      <c r="B412" s="1378"/>
      <c r="C412" s="1159" t="s">
        <v>467</v>
      </c>
      <c r="D412" s="248" t="s">
        <v>251</v>
      </c>
      <c r="E412" s="249"/>
      <c r="F412" s="225">
        <v>162</v>
      </c>
      <c r="G412" s="225">
        <v>219</v>
      </c>
      <c r="H412" s="225">
        <v>358</v>
      </c>
      <c r="I412" s="225">
        <v>318</v>
      </c>
      <c r="J412" s="225">
        <v>317</v>
      </c>
      <c r="K412" s="36">
        <v>351</v>
      </c>
      <c r="L412" s="20"/>
    </row>
    <row r="413" spans="1:12" x14ac:dyDescent="0.25">
      <c r="A413" s="1429"/>
      <c r="B413" s="1378"/>
      <c r="C413" s="1160"/>
      <c r="D413" s="28" t="s">
        <v>257</v>
      </c>
      <c r="E413" s="94"/>
      <c r="F413" s="354">
        <v>130</v>
      </c>
      <c r="G413" s="354">
        <v>182</v>
      </c>
      <c r="H413" s="354">
        <v>312</v>
      </c>
      <c r="I413" s="354">
        <v>277</v>
      </c>
      <c r="J413" s="354">
        <v>274</v>
      </c>
      <c r="K413" s="956">
        <v>306</v>
      </c>
      <c r="L413" s="21"/>
    </row>
    <row r="414" spans="1:12" x14ac:dyDescent="0.25">
      <c r="A414" s="1429"/>
      <c r="B414" s="1378"/>
      <c r="C414" s="1160"/>
      <c r="D414" s="28" t="s">
        <v>263</v>
      </c>
      <c r="E414" s="94"/>
      <c r="F414" s="354">
        <v>32</v>
      </c>
      <c r="G414" s="354">
        <v>37</v>
      </c>
      <c r="H414" s="354">
        <v>46</v>
      </c>
      <c r="I414" s="354">
        <v>41</v>
      </c>
      <c r="J414" s="354">
        <v>43</v>
      </c>
      <c r="K414" s="956">
        <v>45</v>
      </c>
      <c r="L414" s="21"/>
    </row>
    <row r="415" spans="1:12" s="64" customFormat="1" ht="16.5" thickBot="1" x14ac:dyDescent="0.3">
      <c r="A415" s="1429"/>
      <c r="B415" s="1378"/>
      <c r="C415" s="1519"/>
      <c r="D415" s="336" t="s">
        <v>270</v>
      </c>
      <c r="E415" s="128"/>
      <c r="F415" s="442">
        <f>(F414*100)/F412</f>
        <v>19.753086419753085</v>
      </c>
      <c r="G415" s="442">
        <f t="shared" ref="G415:K415" si="33">(G414*100)/G412</f>
        <v>16.894977168949772</v>
      </c>
      <c r="H415" s="442">
        <f t="shared" si="33"/>
        <v>12.849162011173185</v>
      </c>
      <c r="I415" s="442">
        <f t="shared" si="33"/>
        <v>12.89308176100629</v>
      </c>
      <c r="J415" s="442">
        <f t="shared" si="33"/>
        <v>13.564668769716087</v>
      </c>
      <c r="K415" s="442">
        <f t="shared" si="33"/>
        <v>12.820512820512821</v>
      </c>
      <c r="L415" s="352"/>
    </row>
    <row r="416" spans="1:12" ht="14.85" customHeight="1" x14ac:dyDescent="0.25">
      <c r="A416" s="1429"/>
      <c r="B416" s="1378"/>
      <c r="C416" s="1159" t="s">
        <v>465</v>
      </c>
      <c r="D416" s="248" t="s">
        <v>251</v>
      </c>
      <c r="E416" s="249"/>
      <c r="F416" s="225">
        <v>145</v>
      </c>
      <c r="G416" s="225">
        <v>173</v>
      </c>
      <c r="H416" s="225">
        <v>458</v>
      </c>
      <c r="I416" s="225">
        <v>404</v>
      </c>
      <c r="J416" s="225">
        <v>416</v>
      </c>
      <c r="K416" s="36">
        <v>337</v>
      </c>
      <c r="L416" s="20"/>
    </row>
    <row r="417" spans="1:12" x14ac:dyDescent="0.25">
      <c r="A417" s="1429"/>
      <c r="B417" s="1378"/>
      <c r="C417" s="1160"/>
      <c r="D417" s="28" t="s">
        <v>257</v>
      </c>
      <c r="E417" s="94"/>
      <c r="F417" s="354">
        <v>34</v>
      </c>
      <c r="G417" s="354">
        <v>46</v>
      </c>
      <c r="H417" s="354">
        <v>126</v>
      </c>
      <c r="I417" s="354">
        <v>116</v>
      </c>
      <c r="J417" s="354">
        <v>112</v>
      </c>
      <c r="K417" s="956">
        <v>86</v>
      </c>
      <c r="L417" s="21"/>
    </row>
    <row r="418" spans="1:12" x14ac:dyDescent="0.25">
      <c r="A418" s="1429"/>
      <c r="B418" s="1378"/>
      <c r="C418" s="1160"/>
      <c r="D418" s="28" t="s">
        <v>263</v>
      </c>
      <c r="E418" s="94"/>
      <c r="F418" s="354">
        <v>111</v>
      </c>
      <c r="G418" s="354">
        <v>127</v>
      </c>
      <c r="H418" s="354">
        <v>332</v>
      </c>
      <c r="I418" s="354">
        <v>288</v>
      </c>
      <c r="J418" s="354">
        <v>304</v>
      </c>
      <c r="K418" s="956">
        <v>251</v>
      </c>
      <c r="L418" s="21"/>
    </row>
    <row r="419" spans="1:12" s="64" customFormat="1" ht="16.5" thickBot="1" x14ac:dyDescent="0.3">
      <c r="A419" s="1429"/>
      <c r="B419" s="1378"/>
      <c r="C419" s="1519"/>
      <c r="D419" s="336" t="s">
        <v>270</v>
      </c>
      <c r="E419" s="128"/>
      <c r="F419" s="440">
        <f>(F418*100)/F416</f>
        <v>76.551724137931032</v>
      </c>
      <c r="G419" s="440">
        <f>(G418*100)/G416</f>
        <v>73.410404624277461</v>
      </c>
      <c r="H419" s="440">
        <f t="shared" ref="H419:K419" si="34">(H418*100)/H416</f>
        <v>72.489082969432317</v>
      </c>
      <c r="I419" s="440">
        <f t="shared" si="34"/>
        <v>71.287128712871294</v>
      </c>
      <c r="J419" s="440">
        <f t="shared" si="34"/>
        <v>73.07692307692308</v>
      </c>
      <c r="K419" s="440">
        <f t="shared" si="34"/>
        <v>74.480712166172111</v>
      </c>
      <c r="L419" s="352"/>
    </row>
    <row r="420" spans="1:12" ht="14.85" customHeight="1" x14ac:dyDescent="0.25">
      <c r="A420" s="1429"/>
      <c r="B420" s="1378"/>
      <c r="C420" s="1159" t="s">
        <v>552</v>
      </c>
      <c r="D420" s="248" t="s">
        <v>251</v>
      </c>
      <c r="E420" s="249"/>
      <c r="F420" s="225">
        <v>75</v>
      </c>
      <c r="G420" s="225">
        <v>88</v>
      </c>
      <c r="H420" s="225">
        <v>128</v>
      </c>
      <c r="I420" s="225">
        <v>97</v>
      </c>
      <c r="J420" s="225">
        <v>130</v>
      </c>
      <c r="K420" s="36">
        <v>117</v>
      </c>
      <c r="L420" s="20"/>
    </row>
    <row r="421" spans="1:12" x14ac:dyDescent="0.25">
      <c r="A421" s="1429"/>
      <c r="B421" s="1378"/>
      <c r="C421" s="1160"/>
      <c r="D421" s="28" t="s">
        <v>257</v>
      </c>
      <c r="E421" s="94"/>
      <c r="F421" s="354">
        <v>17</v>
      </c>
      <c r="G421" s="354">
        <v>14</v>
      </c>
      <c r="H421" s="354">
        <v>23</v>
      </c>
      <c r="I421" s="354">
        <v>20</v>
      </c>
      <c r="J421" s="354">
        <v>27</v>
      </c>
      <c r="K421" s="28">
        <v>17</v>
      </c>
      <c r="L421" s="21"/>
    </row>
    <row r="422" spans="1:12" x14ac:dyDescent="0.25">
      <c r="A422" s="1429"/>
      <c r="B422" s="1378"/>
      <c r="C422" s="1160"/>
      <c r="D422" s="28" t="s">
        <v>263</v>
      </c>
      <c r="E422" s="94"/>
      <c r="F422" s="354">
        <v>58</v>
      </c>
      <c r="G422" s="354">
        <v>74</v>
      </c>
      <c r="H422" s="354">
        <v>105</v>
      </c>
      <c r="I422" s="354">
        <v>77</v>
      </c>
      <c r="J422" s="354">
        <v>103</v>
      </c>
      <c r="K422" s="28">
        <v>100</v>
      </c>
      <c r="L422" s="21"/>
    </row>
    <row r="423" spans="1:12" s="64" customFormat="1" ht="16.5" thickBot="1" x14ac:dyDescent="0.3">
      <c r="A423" s="1429"/>
      <c r="B423" s="1378"/>
      <c r="C423" s="1519"/>
      <c r="D423" s="336" t="s">
        <v>270</v>
      </c>
      <c r="E423" s="128"/>
      <c r="F423" s="440">
        <f>(F422*100)/F420</f>
        <v>77.333333333333329</v>
      </c>
      <c r="G423" s="440">
        <f>(G422*100)/G420</f>
        <v>84.090909090909093</v>
      </c>
      <c r="H423" s="440">
        <f t="shared" ref="H423:K423" si="35">(H422*100)/H420</f>
        <v>82.03125</v>
      </c>
      <c r="I423" s="440">
        <f t="shared" si="35"/>
        <v>79.381443298969074</v>
      </c>
      <c r="J423" s="440">
        <f t="shared" si="35"/>
        <v>79.230769230769226</v>
      </c>
      <c r="K423" s="440">
        <f t="shared" si="35"/>
        <v>85.470085470085465</v>
      </c>
      <c r="L423" s="352"/>
    </row>
    <row r="424" spans="1:12" ht="14.85" customHeight="1" x14ac:dyDescent="0.25">
      <c r="A424" s="1429"/>
      <c r="B424" s="1378"/>
      <c r="C424" s="1159" t="s">
        <v>480</v>
      </c>
      <c r="D424" s="248" t="s">
        <v>251</v>
      </c>
      <c r="E424" s="249"/>
      <c r="F424" s="225">
        <v>96</v>
      </c>
      <c r="G424" s="225">
        <v>133</v>
      </c>
      <c r="H424" s="225">
        <v>151</v>
      </c>
      <c r="I424" s="225">
        <v>131</v>
      </c>
      <c r="J424" s="225">
        <v>100</v>
      </c>
      <c r="K424" s="36">
        <v>85</v>
      </c>
      <c r="L424" s="20"/>
    </row>
    <row r="425" spans="1:12" x14ac:dyDescent="0.25">
      <c r="A425" s="1429"/>
      <c r="B425" s="1378"/>
      <c r="C425" s="1160"/>
      <c r="D425" s="28" t="s">
        <v>257</v>
      </c>
      <c r="E425" s="94"/>
      <c r="F425" s="354">
        <v>34</v>
      </c>
      <c r="G425" s="354">
        <v>40</v>
      </c>
      <c r="H425" s="354">
        <v>36</v>
      </c>
      <c r="I425" s="354">
        <v>30</v>
      </c>
      <c r="J425" s="354">
        <v>25</v>
      </c>
      <c r="K425" s="28">
        <v>21</v>
      </c>
      <c r="L425" s="21"/>
    </row>
    <row r="426" spans="1:12" x14ac:dyDescent="0.25">
      <c r="A426" s="1429"/>
      <c r="B426" s="1378"/>
      <c r="C426" s="1160"/>
      <c r="D426" s="28" t="s">
        <v>263</v>
      </c>
      <c r="E426" s="94"/>
      <c r="F426" s="354">
        <v>62</v>
      </c>
      <c r="G426" s="354">
        <v>93</v>
      </c>
      <c r="H426" s="354">
        <v>115</v>
      </c>
      <c r="I426" s="354">
        <v>101</v>
      </c>
      <c r="J426" s="354">
        <v>75</v>
      </c>
      <c r="K426" s="28">
        <v>64</v>
      </c>
      <c r="L426" s="21"/>
    </row>
    <row r="427" spans="1:12" s="64" customFormat="1" ht="16.5" thickBot="1" x14ac:dyDescent="0.3">
      <c r="A427" s="1429"/>
      <c r="B427" s="1378"/>
      <c r="C427" s="1519"/>
      <c r="D427" s="336" t="s">
        <v>270</v>
      </c>
      <c r="E427" s="128"/>
      <c r="F427" s="440">
        <f>(F426*100)/F424</f>
        <v>64.583333333333329</v>
      </c>
      <c r="G427" s="440">
        <f>(G426*100)/G424</f>
        <v>69.924812030075188</v>
      </c>
      <c r="H427" s="440">
        <f t="shared" ref="H427:K427" si="36">(H426*100)/H424</f>
        <v>76.158940397350989</v>
      </c>
      <c r="I427" s="440">
        <f t="shared" si="36"/>
        <v>77.099236641221367</v>
      </c>
      <c r="J427" s="440">
        <f t="shared" si="36"/>
        <v>75</v>
      </c>
      <c r="K427" s="440">
        <f t="shared" si="36"/>
        <v>75.294117647058826</v>
      </c>
      <c r="L427" s="352"/>
    </row>
    <row r="428" spans="1:12" ht="14.85" customHeight="1" x14ac:dyDescent="0.25">
      <c r="A428" s="1429"/>
      <c r="B428" s="1378"/>
      <c r="C428" s="1159" t="s">
        <v>471</v>
      </c>
      <c r="D428" s="248" t="s">
        <v>251</v>
      </c>
      <c r="E428" s="249"/>
      <c r="F428" s="225">
        <v>43</v>
      </c>
      <c r="G428" s="225">
        <v>31</v>
      </c>
      <c r="H428" s="225">
        <v>62</v>
      </c>
      <c r="I428" s="225">
        <v>52</v>
      </c>
      <c r="J428" s="225">
        <v>51</v>
      </c>
      <c r="K428" s="36">
        <v>54</v>
      </c>
      <c r="L428" s="20"/>
    </row>
    <row r="429" spans="1:12" x14ac:dyDescent="0.25">
      <c r="A429" s="1429"/>
      <c r="B429" s="1378"/>
      <c r="C429" s="1160"/>
      <c r="D429" s="28" t="s">
        <v>257</v>
      </c>
      <c r="E429" s="94"/>
      <c r="F429" s="96">
        <v>25</v>
      </c>
      <c r="G429" s="96">
        <v>18</v>
      </c>
      <c r="H429" s="96">
        <v>36</v>
      </c>
      <c r="I429" s="96">
        <v>22</v>
      </c>
      <c r="J429" s="96">
        <v>21</v>
      </c>
      <c r="K429" s="28">
        <v>25</v>
      </c>
      <c r="L429" s="21"/>
    </row>
    <row r="430" spans="1:12" x14ac:dyDescent="0.25">
      <c r="A430" s="1429"/>
      <c r="B430" s="1378"/>
      <c r="C430" s="1160"/>
      <c r="D430" s="28" t="s">
        <v>263</v>
      </c>
      <c r="E430" s="94"/>
      <c r="F430" s="96">
        <v>18</v>
      </c>
      <c r="G430" s="96">
        <v>13</v>
      </c>
      <c r="H430" s="96">
        <v>26</v>
      </c>
      <c r="I430" s="96">
        <v>30</v>
      </c>
      <c r="J430" s="96">
        <v>30</v>
      </c>
      <c r="K430" s="28">
        <v>29</v>
      </c>
      <c r="L430" s="21"/>
    </row>
    <row r="431" spans="1:12" s="64" customFormat="1" ht="16.5" thickBot="1" x14ac:dyDescent="0.3">
      <c r="A431" s="1429"/>
      <c r="B431" s="1378"/>
      <c r="C431" s="1519"/>
      <c r="D431" s="336" t="s">
        <v>270</v>
      </c>
      <c r="E431" s="128"/>
      <c r="F431" s="361">
        <f t="shared" ref="F431:K431" si="37">(F430*100)/F428</f>
        <v>41.860465116279073</v>
      </c>
      <c r="G431" s="361">
        <f t="shared" si="37"/>
        <v>41.935483870967744</v>
      </c>
      <c r="H431" s="361">
        <f t="shared" si="37"/>
        <v>41.935483870967744</v>
      </c>
      <c r="I431" s="361">
        <f t="shared" si="37"/>
        <v>57.692307692307693</v>
      </c>
      <c r="J431" s="361">
        <f t="shared" si="37"/>
        <v>58.823529411764703</v>
      </c>
      <c r="K431" s="361">
        <f t="shared" si="37"/>
        <v>53.703703703703702</v>
      </c>
      <c r="L431" s="352"/>
    </row>
    <row r="432" spans="1:12" x14ac:dyDescent="0.25">
      <c r="A432" s="1429"/>
      <c r="B432" s="1378"/>
      <c r="C432" s="1166" t="s">
        <v>472</v>
      </c>
      <c r="D432" s="308" t="s">
        <v>473</v>
      </c>
      <c r="E432" s="249"/>
      <c r="F432" s="261">
        <f>2/7*100</f>
        <v>28.571428571428569</v>
      </c>
      <c r="G432" s="261">
        <f>2/7*100</f>
        <v>28.571428571428569</v>
      </c>
      <c r="H432" s="261">
        <f>1/6*100</f>
        <v>16.666666666666664</v>
      </c>
      <c r="I432" s="261">
        <f t="shared" ref="I432:K432" si="38">1/6*100</f>
        <v>16.666666666666664</v>
      </c>
      <c r="J432" s="261">
        <f t="shared" si="38"/>
        <v>16.666666666666664</v>
      </c>
      <c r="K432" s="261">
        <f t="shared" si="38"/>
        <v>16.666666666666664</v>
      </c>
      <c r="L432" s="20"/>
    </row>
    <row r="433" spans="1:12" x14ac:dyDescent="0.25">
      <c r="A433" s="1429"/>
      <c r="B433" s="1378"/>
      <c r="C433" s="1167"/>
      <c r="D433" s="232" t="s">
        <v>474</v>
      </c>
      <c r="E433" s="94"/>
      <c r="F433" s="234">
        <f>4/7*100</f>
        <v>57.142857142857139</v>
      </c>
      <c r="G433" s="234">
        <f>3/7*100</f>
        <v>42.857142857142854</v>
      </c>
      <c r="H433" s="234">
        <v>50</v>
      </c>
      <c r="I433" s="234">
        <v>50</v>
      </c>
      <c r="J433" s="234">
        <v>50</v>
      </c>
      <c r="K433" s="234">
        <v>50</v>
      </c>
      <c r="L433" s="21"/>
    </row>
    <row r="434" spans="1:12" x14ac:dyDescent="0.25">
      <c r="A434" s="1429"/>
      <c r="B434" s="1378"/>
      <c r="C434" s="1168"/>
      <c r="D434" s="357" t="s">
        <v>475</v>
      </c>
      <c r="E434" s="126"/>
      <c r="F434" s="355">
        <f>1/7*100</f>
        <v>14.285714285714285</v>
      </c>
      <c r="G434" s="355">
        <f>1/7*100</f>
        <v>14.285714285714285</v>
      </c>
      <c r="H434" s="355">
        <f>2/6*100</f>
        <v>33.333333333333329</v>
      </c>
      <c r="I434" s="355">
        <f t="shared" ref="I434:K434" si="39">2/6*100</f>
        <v>33.333333333333329</v>
      </c>
      <c r="J434" s="355">
        <f t="shared" si="39"/>
        <v>33.333333333333329</v>
      </c>
      <c r="K434" s="355">
        <f t="shared" si="39"/>
        <v>33.333333333333329</v>
      </c>
      <c r="L434" s="53"/>
    </row>
    <row r="435" spans="1:12" ht="16.5" thickBot="1" x14ac:dyDescent="0.3">
      <c r="A435" s="1382"/>
      <c r="B435" s="462" t="s">
        <v>249</v>
      </c>
      <c r="C435" s="1433"/>
      <c r="D435" s="1433"/>
      <c r="E435" s="616" t="s">
        <v>442</v>
      </c>
      <c r="F435" s="616" t="s">
        <v>443</v>
      </c>
      <c r="G435" s="616" t="s">
        <v>444</v>
      </c>
      <c r="H435" s="616" t="s">
        <v>445</v>
      </c>
      <c r="I435" s="616" t="s">
        <v>446</v>
      </c>
      <c r="J435" s="616" t="s">
        <v>447</v>
      </c>
      <c r="K435" s="616" t="s">
        <v>448</v>
      </c>
      <c r="L435" s="616" t="s">
        <v>449</v>
      </c>
    </row>
    <row r="436" spans="1:12" x14ac:dyDescent="0.25">
      <c r="A436" s="1429"/>
      <c r="B436" s="1378" t="s">
        <v>219</v>
      </c>
      <c r="C436" s="1251" t="s">
        <v>459</v>
      </c>
      <c r="D436" s="1206"/>
      <c r="E436" s="36"/>
      <c r="F436" s="259"/>
      <c r="G436" s="259"/>
      <c r="H436" s="359">
        <v>99</v>
      </c>
      <c r="I436" s="359">
        <v>300</v>
      </c>
      <c r="J436" s="359">
        <v>249</v>
      </c>
      <c r="K436" s="359">
        <v>231</v>
      </c>
      <c r="L436" s="20"/>
    </row>
    <row r="437" spans="1:12" x14ac:dyDescent="0.25">
      <c r="A437" s="1429"/>
      <c r="B437" s="1378"/>
      <c r="C437" s="1123" t="s">
        <v>436</v>
      </c>
      <c r="D437" s="1124"/>
      <c r="E437" s="28"/>
      <c r="F437" s="187"/>
      <c r="G437" s="187"/>
      <c r="H437" s="358">
        <v>73</v>
      </c>
      <c r="I437" s="358">
        <v>223</v>
      </c>
      <c r="J437" s="358">
        <v>187</v>
      </c>
      <c r="K437" s="358">
        <v>169</v>
      </c>
      <c r="L437" s="21"/>
    </row>
    <row r="438" spans="1:12" x14ac:dyDescent="0.25">
      <c r="A438" s="1429"/>
      <c r="B438" s="1378"/>
      <c r="C438" s="1123" t="s">
        <v>437</v>
      </c>
      <c r="D438" s="1124"/>
      <c r="E438" s="96"/>
      <c r="F438" s="96"/>
      <c r="G438" s="96"/>
      <c r="H438" s="358">
        <v>26</v>
      </c>
      <c r="I438" s="358">
        <v>77</v>
      </c>
      <c r="J438" s="358">
        <v>62</v>
      </c>
      <c r="K438" s="358">
        <v>62</v>
      </c>
      <c r="L438" s="21"/>
    </row>
    <row r="439" spans="1:12" x14ac:dyDescent="0.25">
      <c r="A439" s="1429"/>
      <c r="B439" s="1378"/>
      <c r="C439" s="1111" t="s">
        <v>353</v>
      </c>
      <c r="D439" s="1112"/>
      <c r="E439" s="157"/>
      <c r="F439" s="157"/>
      <c r="G439" s="157"/>
      <c r="H439" s="96">
        <f>H438-H437</f>
        <v>-47</v>
      </c>
      <c r="I439" s="96">
        <f>I438-I437</f>
        <v>-146</v>
      </c>
      <c r="J439" s="96">
        <f>J438-J437</f>
        <v>-125</v>
      </c>
      <c r="K439" s="96">
        <f>K438-K437</f>
        <v>-107</v>
      </c>
      <c r="L439" s="21"/>
    </row>
    <row r="440" spans="1:12" ht="16.5" thickBot="1" x14ac:dyDescent="0.3">
      <c r="A440" s="1429"/>
      <c r="B440" s="1378"/>
      <c r="C440" s="1353" t="s">
        <v>270</v>
      </c>
      <c r="D440" s="1178"/>
      <c r="E440" s="360"/>
      <c r="F440" s="360"/>
      <c r="G440" s="360"/>
      <c r="H440" s="514">
        <f>H438/H436*100</f>
        <v>26.262626262626267</v>
      </c>
      <c r="I440" s="514">
        <f>I438/I436*100</f>
        <v>25.666666666666664</v>
      </c>
      <c r="J440" s="514">
        <f>J438/J436*100</f>
        <v>24.899598393574294</v>
      </c>
      <c r="K440" s="514">
        <f>K438/K436*100</f>
        <v>26.839826839826841</v>
      </c>
      <c r="L440" s="53"/>
    </row>
    <row r="441" spans="1:12" x14ac:dyDescent="0.25">
      <c r="A441" s="1429"/>
      <c r="B441" s="1378"/>
      <c r="C441" s="1406" t="s">
        <v>484</v>
      </c>
      <c r="D441" s="1405"/>
      <c r="E441" s="225"/>
      <c r="F441" s="225"/>
      <c r="G441" s="225"/>
      <c r="H441" s="261">
        <v>16.666666666666664</v>
      </c>
      <c r="I441" s="261">
        <f>6/6*100</f>
        <v>100</v>
      </c>
      <c r="J441" s="261">
        <f>5/6*100</f>
        <v>83.333333333333343</v>
      </c>
      <c r="K441" s="315">
        <v>50</v>
      </c>
      <c r="L441" s="20"/>
    </row>
    <row r="442" spans="1:12" x14ac:dyDescent="0.25">
      <c r="A442" s="1429"/>
      <c r="B442" s="1378"/>
      <c r="C442" s="1111" t="s">
        <v>485</v>
      </c>
      <c r="D442" s="1112"/>
      <c r="E442" s="96"/>
      <c r="F442" s="96"/>
      <c r="G442" s="96"/>
      <c r="H442" s="235">
        <v>66.666666666666657</v>
      </c>
      <c r="I442" s="235">
        <v>0</v>
      </c>
      <c r="J442" s="235">
        <v>0</v>
      </c>
      <c r="K442" s="237">
        <v>0</v>
      </c>
      <c r="L442" s="21"/>
    </row>
    <row r="443" spans="1:12" ht="14.25" customHeight="1" thickBot="1" x14ac:dyDescent="0.3">
      <c r="A443" s="1429"/>
      <c r="B443" s="1378"/>
      <c r="C443" s="1277" t="s">
        <v>486</v>
      </c>
      <c r="D443" s="1142"/>
      <c r="E443" s="360"/>
      <c r="F443" s="360"/>
      <c r="G443" s="360"/>
      <c r="H443" s="356">
        <v>16.666666666666664</v>
      </c>
      <c r="I443" s="356">
        <v>0</v>
      </c>
      <c r="J443" s="356">
        <f>1/6*100</f>
        <v>16.666666666666664</v>
      </c>
      <c r="K443" s="361">
        <v>50</v>
      </c>
      <c r="L443" s="53"/>
    </row>
    <row r="444" spans="1:12" ht="16.5" thickBot="1" x14ac:dyDescent="0.3">
      <c r="A444" s="142" t="s">
        <v>248</v>
      </c>
      <c r="B444" s="463" t="s">
        <v>249</v>
      </c>
      <c r="C444" s="1433"/>
      <c r="D444" s="1433"/>
      <c r="E444" s="616">
        <v>2005</v>
      </c>
      <c r="F444" s="616">
        <v>2010</v>
      </c>
      <c r="G444" s="616">
        <v>2015</v>
      </c>
      <c r="H444" s="616">
        <v>2020</v>
      </c>
      <c r="I444" s="616">
        <v>2021</v>
      </c>
      <c r="J444" s="616">
        <v>2022</v>
      </c>
      <c r="K444" s="616">
        <v>2023</v>
      </c>
      <c r="L444" s="616">
        <v>2024</v>
      </c>
    </row>
    <row r="445" spans="1:12" s="64" customFormat="1" ht="15" customHeight="1" x14ac:dyDescent="0.25">
      <c r="A445" s="1338" t="s">
        <v>487</v>
      </c>
      <c r="B445" s="1276" t="s">
        <v>227</v>
      </c>
      <c r="C445" s="1206" t="s">
        <v>435</v>
      </c>
      <c r="D445" s="1206"/>
      <c r="E445" s="40"/>
      <c r="F445" s="40"/>
      <c r="G445" s="40"/>
      <c r="H445" s="40"/>
      <c r="I445" s="40"/>
      <c r="J445" s="40"/>
      <c r="K445" s="195">
        <v>886</v>
      </c>
      <c r="L445" s="325">
        <v>946</v>
      </c>
    </row>
    <row r="446" spans="1:12" x14ac:dyDescent="0.25">
      <c r="A446" s="1338"/>
      <c r="B446" s="1119"/>
      <c r="C446" s="1124" t="s">
        <v>533</v>
      </c>
      <c r="D446" s="1124"/>
      <c r="E446" s="28"/>
      <c r="F446" s="28"/>
      <c r="G446" s="28"/>
      <c r="H446" s="28"/>
      <c r="I446" s="28"/>
      <c r="J446" s="28"/>
      <c r="K446" s="28">
        <v>288</v>
      </c>
      <c r="L446" s="21">
        <v>311</v>
      </c>
    </row>
    <row r="447" spans="1:12" x14ac:dyDescent="0.25">
      <c r="A447" s="1338"/>
      <c r="B447" s="1119"/>
      <c r="C447" s="1124" t="s">
        <v>534</v>
      </c>
      <c r="D447" s="1124"/>
      <c r="E447" s="28"/>
      <c r="F447" s="28"/>
      <c r="G447" s="28"/>
      <c r="H447" s="28"/>
      <c r="I447" s="28"/>
      <c r="J447" s="28"/>
      <c r="K447" s="28">
        <v>598</v>
      </c>
      <c r="L447" s="21">
        <v>635</v>
      </c>
    </row>
    <row r="448" spans="1:12" x14ac:dyDescent="0.25">
      <c r="A448" s="1338"/>
      <c r="B448" s="1119"/>
      <c r="C448" s="1128" t="s">
        <v>353</v>
      </c>
      <c r="D448" s="1128"/>
      <c r="E448" s="28"/>
      <c r="F448" s="28"/>
      <c r="G448" s="28"/>
      <c r="H448" s="28"/>
      <c r="I448" s="28"/>
      <c r="J448" s="28"/>
      <c r="K448" s="262">
        <f t="shared" ref="K448" si="40">K447-K446</f>
        <v>310</v>
      </c>
      <c r="L448" s="317">
        <v>324</v>
      </c>
    </row>
    <row r="449" spans="1:12" ht="16.5" thickBot="1" x14ac:dyDescent="0.3">
      <c r="A449" s="1338"/>
      <c r="B449" s="1404"/>
      <c r="C449" s="1178" t="s">
        <v>270</v>
      </c>
      <c r="D449" s="1178"/>
      <c r="E449" s="441"/>
      <c r="F449" s="441"/>
      <c r="G449" s="441"/>
      <c r="H449" s="441"/>
      <c r="I449" s="441"/>
      <c r="J449" s="441"/>
      <c r="K449" s="165">
        <f t="shared" ref="K449" si="41">K447/K445*100</f>
        <v>67.494356659142213</v>
      </c>
      <c r="L449" s="166">
        <v>67.124735729386899</v>
      </c>
    </row>
    <row r="450" spans="1:12" x14ac:dyDescent="0.25">
      <c r="A450" s="1338"/>
      <c r="B450" s="1119" t="s">
        <v>488</v>
      </c>
      <c r="C450" s="1251" t="s">
        <v>489</v>
      </c>
      <c r="D450" s="1206"/>
      <c r="E450" s="36"/>
      <c r="F450" s="40">
        <v>90</v>
      </c>
      <c r="G450" s="40">
        <v>85</v>
      </c>
      <c r="H450" s="40">
        <v>119</v>
      </c>
      <c r="I450" s="40"/>
      <c r="J450" s="40"/>
      <c r="K450" s="40">
        <v>140</v>
      </c>
      <c r="L450" s="1072">
        <v>48</v>
      </c>
    </row>
    <row r="451" spans="1:12" x14ac:dyDescent="0.25">
      <c r="A451" s="1338"/>
      <c r="B451" s="1119"/>
      <c r="C451" s="1109" t="s">
        <v>490</v>
      </c>
      <c r="D451" s="1110"/>
      <c r="E451" s="28"/>
      <c r="F451" s="44">
        <v>5</v>
      </c>
      <c r="G451" s="44">
        <v>4</v>
      </c>
      <c r="H451" s="44">
        <v>4</v>
      </c>
      <c r="I451" s="44"/>
      <c r="J451" s="44"/>
      <c r="K451" s="44">
        <v>7</v>
      </c>
      <c r="L451" s="1072">
        <v>3</v>
      </c>
    </row>
    <row r="452" spans="1:12" x14ac:dyDescent="0.25">
      <c r="A452" s="1338"/>
      <c r="B452" s="1119"/>
      <c r="C452" s="1277" t="s">
        <v>491</v>
      </c>
      <c r="D452" s="1142"/>
      <c r="E452" s="336"/>
      <c r="F452" s="165">
        <f>F451/F450*100</f>
        <v>5.5555555555555554</v>
      </c>
      <c r="G452" s="165">
        <f t="shared" ref="G452:H452" si="42">G451/G450*100</f>
        <v>4.7058823529411766</v>
      </c>
      <c r="H452" s="165">
        <f t="shared" si="42"/>
        <v>3.3613445378151261</v>
      </c>
      <c r="I452" s="110"/>
      <c r="J452" s="110"/>
      <c r="K452" s="165">
        <f>K451/K450*100</f>
        <v>5</v>
      </c>
      <c r="L452" s="859">
        <v>6.25</v>
      </c>
    </row>
    <row r="453" spans="1:12" ht="16.5" thickBot="1" x14ac:dyDescent="0.3">
      <c r="A453" s="338" t="s">
        <v>248</v>
      </c>
      <c r="B453" s="463" t="s">
        <v>249</v>
      </c>
      <c r="C453" s="1422"/>
      <c r="D453" s="1422"/>
      <c r="E453" s="616">
        <v>2005</v>
      </c>
      <c r="F453" s="616">
        <v>2010</v>
      </c>
      <c r="G453" s="616">
        <v>2015</v>
      </c>
      <c r="H453" s="616">
        <v>2020</v>
      </c>
      <c r="I453" s="616">
        <v>2021</v>
      </c>
      <c r="J453" s="616">
        <v>2022</v>
      </c>
      <c r="K453" s="616">
        <v>2023</v>
      </c>
      <c r="L453" s="616">
        <v>2024</v>
      </c>
    </row>
    <row r="454" spans="1:12" ht="15" customHeight="1" x14ac:dyDescent="0.25">
      <c r="A454" s="1621" t="s">
        <v>492</v>
      </c>
      <c r="B454" s="1624" t="s">
        <v>493</v>
      </c>
      <c r="C454" s="1251" t="s">
        <v>459</v>
      </c>
      <c r="D454" s="1206"/>
      <c r="E454" s="36"/>
      <c r="F454" s="195">
        <v>1449</v>
      </c>
      <c r="G454" s="195">
        <v>1507</v>
      </c>
      <c r="H454" s="195">
        <v>1598</v>
      </c>
      <c r="I454" s="195">
        <v>1734</v>
      </c>
      <c r="J454" s="195">
        <v>1923</v>
      </c>
      <c r="K454" s="195">
        <v>1996</v>
      </c>
      <c r="L454" s="195">
        <v>2313</v>
      </c>
    </row>
    <row r="455" spans="1:12" x14ac:dyDescent="0.25">
      <c r="A455" s="1622"/>
      <c r="B455" s="1625"/>
      <c r="C455" s="1320" t="s">
        <v>436</v>
      </c>
      <c r="D455" s="28" t="s">
        <v>494</v>
      </c>
      <c r="E455" s="28"/>
      <c r="F455" s="96">
        <v>647</v>
      </c>
      <c r="G455" s="96">
        <v>763</v>
      </c>
      <c r="H455" s="96">
        <v>928</v>
      </c>
      <c r="I455" s="96">
        <v>977</v>
      </c>
      <c r="J455" s="96">
        <v>1118</v>
      </c>
      <c r="K455" s="96">
        <v>1110</v>
      </c>
      <c r="L455" s="96">
        <v>1308</v>
      </c>
    </row>
    <row r="456" spans="1:12" x14ac:dyDescent="0.25">
      <c r="A456" s="1622"/>
      <c r="B456" s="1625"/>
      <c r="C456" s="1320"/>
      <c r="D456" s="28" t="s">
        <v>495</v>
      </c>
      <c r="E456" s="28"/>
      <c r="F456" s="96">
        <v>128</v>
      </c>
      <c r="G456" s="96">
        <v>115</v>
      </c>
      <c r="H456" s="96">
        <v>102</v>
      </c>
      <c r="I456" s="96">
        <v>103</v>
      </c>
      <c r="J456" s="96">
        <v>98</v>
      </c>
      <c r="K456" s="96">
        <v>89</v>
      </c>
      <c r="L456" s="96">
        <v>113</v>
      </c>
    </row>
    <row r="457" spans="1:12" x14ac:dyDescent="0.25">
      <c r="A457" s="1622"/>
      <c r="B457" s="1625"/>
      <c r="C457" s="1320" t="s">
        <v>437</v>
      </c>
      <c r="D457" s="28" t="s">
        <v>496</v>
      </c>
      <c r="E457" s="28"/>
      <c r="F457" s="96">
        <v>174</v>
      </c>
      <c r="G457" s="96">
        <v>164</v>
      </c>
      <c r="H457" s="96">
        <v>235</v>
      </c>
      <c r="I457" s="96">
        <v>276</v>
      </c>
      <c r="J457" s="96">
        <v>344</v>
      </c>
      <c r="K457" s="96">
        <v>340</v>
      </c>
      <c r="L457" s="96">
        <v>392</v>
      </c>
    </row>
    <row r="458" spans="1:12" ht="16.5" thickBot="1" x14ac:dyDescent="0.3">
      <c r="A458" s="1622"/>
      <c r="B458" s="1625"/>
      <c r="C458" s="1559"/>
      <c r="D458" s="110" t="s">
        <v>497</v>
      </c>
      <c r="E458" s="110"/>
      <c r="F458" s="360">
        <v>153</v>
      </c>
      <c r="G458" s="360">
        <v>124</v>
      </c>
      <c r="H458" s="360">
        <v>129</v>
      </c>
      <c r="I458" s="360">
        <v>131</v>
      </c>
      <c r="J458" s="360">
        <v>137</v>
      </c>
      <c r="K458" s="360">
        <v>166</v>
      </c>
      <c r="L458" s="360">
        <v>208</v>
      </c>
    </row>
    <row r="459" spans="1:12" x14ac:dyDescent="0.25">
      <c r="A459" s="1622"/>
      <c r="B459" s="1625"/>
      <c r="C459" s="1441" t="s">
        <v>353</v>
      </c>
      <c r="D459" s="40" t="s">
        <v>498</v>
      </c>
      <c r="E459" s="36"/>
      <c r="F459" s="81">
        <f t="shared" ref="F459:L459" si="43">+F457-F455</f>
        <v>-473</v>
      </c>
      <c r="G459" s="81">
        <f t="shared" si="43"/>
        <v>-599</v>
      </c>
      <c r="H459" s="81">
        <f t="shared" si="43"/>
        <v>-693</v>
      </c>
      <c r="I459" s="81">
        <f t="shared" si="43"/>
        <v>-701</v>
      </c>
      <c r="J459" s="81">
        <f t="shared" si="43"/>
        <v>-774</v>
      </c>
      <c r="K459" s="81">
        <f t="shared" si="43"/>
        <v>-770</v>
      </c>
      <c r="L459" s="81">
        <f t="shared" si="43"/>
        <v>-916</v>
      </c>
    </row>
    <row r="460" spans="1:12" x14ac:dyDescent="0.25">
      <c r="A460" s="1622"/>
      <c r="B460" s="1625"/>
      <c r="C460" s="1560"/>
      <c r="D460" s="44" t="s">
        <v>499</v>
      </c>
      <c r="E460" s="28"/>
      <c r="F460" s="79">
        <f t="shared" ref="F460:L460" si="44">F458-F456</f>
        <v>25</v>
      </c>
      <c r="G460" s="79">
        <f t="shared" si="44"/>
        <v>9</v>
      </c>
      <c r="H460" s="79">
        <f t="shared" si="44"/>
        <v>27</v>
      </c>
      <c r="I460" s="79">
        <f t="shared" si="44"/>
        <v>28</v>
      </c>
      <c r="J460" s="79">
        <f t="shared" si="44"/>
        <v>39</v>
      </c>
      <c r="K460" s="79">
        <f t="shared" si="44"/>
        <v>77</v>
      </c>
      <c r="L460" s="79">
        <f t="shared" si="44"/>
        <v>95</v>
      </c>
    </row>
    <row r="461" spans="1:12" ht="16.5" customHeight="1" x14ac:dyDescent="0.25">
      <c r="A461" s="1622"/>
      <c r="B461" s="1625"/>
      <c r="C461" s="1560" t="s">
        <v>270</v>
      </c>
      <c r="D461" s="44" t="s">
        <v>500</v>
      </c>
      <c r="E461" s="28"/>
      <c r="F461" s="263">
        <f>+F457/(F457+F455)*100</f>
        <v>21.193666260657736</v>
      </c>
      <c r="G461" s="263">
        <f t="shared" ref="G461:L462" si="45">+G457/(G457+G455)*100</f>
        <v>17.691477885652642</v>
      </c>
      <c r="H461" s="263">
        <f t="shared" si="45"/>
        <v>20.206362854686155</v>
      </c>
      <c r="I461" s="263">
        <f t="shared" si="45"/>
        <v>22.027134876296888</v>
      </c>
      <c r="J461" s="263">
        <f t="shared" si="45"/>
        <v>23.52941176470588</v>
      </c>
      <c r="K461" s="263">
        <f t="shared" si="45"/>
        <v>23.448275862068964</v>
      </c>
      <c r="L461" s="263">
        <f t="shared" si="45"/>
        <v>23.058823529411764</v>
      </c>
    </row>
    <row r="462" spans="1:12" ht="16.5" thickBot="1" x14ac:dyDescent="0.3">
      <c r="A462" s="1623"/>
      <c r="B462" s="1626"/>
      <c r="C462" s="1421"/>
      <c r="D462" s="203" t="s">
        <v>501</v>
      </c>
      <c r="E462" s="33"/>
      <c r="F462" s="230">
        <f>+F458/(F458+F456)*100</f>
        <v>54.44839857651246</v>
      </c>
      <c r="G462" s="230">
        <f t="shared" si="45"/>
        <v>51.88284518828452</v>
      </c>
      <c r="H462" s="230">
        <f t="shared" si="45"/>
        <v>55.844155844155843</v>
      </c>
      <c r="I462" s="230">
        <f t="shared" si="45"/>
        <v>55.982905982905983</v>
      </c>
      <c r="J462" s="230">
        <f t="shared" si="45"/>
        <v>58.297872340425528</v>
      </c>
      <c r="K462" s="230">
        <f t="shared" si="45"/>
        <v>65.098039215686271</v>
      </c>
      <c r="L462" s="230">
        <f t="shared" si="45"/>
        <v>64.797507788161994</v>
      </c>
    </row>
  </sheetData>
  <mergeCells count="226">
    <mergeCell ref="A351:A360"/>
    <mergeCell ref="B351:B360"/>
    <mergeCell ref="A362:A443"/>
    <mergeCell ref="C404:C407"/>
    <mergeCell ref="C408:C411"/>
    <mergeCell ref="C412:C415"/>
    <mergeCell ref="C416:C419"/>
    <mergeCell ref="C403:D403"/>
    <mergeCell ref="C361:D361"/>
    <mergeCell ref="C402:D402"/>
    <mergeCell ref="C435:D435"/>
    <mergeCell ref="B362:B370"/>
    <mergeCell ref="C362:C364"/>
    <mergeCell ref="C365:C367"/>
    <mergeCell ref="C376:C379"/>
    <mergeCell ref="C375:D375"/>
    <mergeCell ref="C420:C423"/>
    <mergeCell ref="C424:C427"/>
    <mergeCell ref="C428:C431"/>
    <mergeCell ref="C399:D399"/>
    <mergeCell ref="C380:C383"/>
    <mergeCell ref="C384:C387"/>
    <mergeCell ref="C432:C434"/>
    <mergeCell ref="C461:C462"/>
    <mergeCell ref="A454:A462"/>
    <mergeCell ref="B454:B462"/>
    <mergeCell ref="C454:D454"/>
    <mergeCell ref="C444:D444"/>
    <mergeCell ref="A445:A452"/>
    <mergeCell ref="B445:B449"/>
    <mergeCell ref="C445:D445"/>
    <mergeCell ref="C446:D446"/>
    <mergeCell ref="C447:D447"/>
    <mergeCell ref="C449:D449"/>
    <mergeCell ref="B450:B452"/>
    <mergeCell ref="C450:D450"/>
    <mergeCell ref="C452:D452"/>
    <mergeCell ref="C455:C456"/>
    <mergeCell ref="C457:C458"/>
    <mergeCell ref="C459:C460"/>
    <mergeCell ref="C448:D448"/>
    <mergeCell ref="C451:D451"/>
    <mergeCell ref="A317:A340"/>
    <mergeCell ref="B317:B321"/>
    <mergeCell ref="C317:D317"/>
    <mergeCell ref="C318:D318"/>
    <mergeCell ref="C319:D319"/>
    <mergeCell ref="C320:D320"/>
    <mergeCell ref="C321:D321"/>
    <mergeCell ref="C322:D322"/>
    <mergeCell ref="C453:D453"/>
    <mergeCell ref="C368:D368"/>
    <mergeCell ref="C369:D369"/>
    <mergeCell ref="C370:D370"/>
    <mergeCell ref="C400:D400"/>
    <mergeCell ref="C401:D401"/>
    <mergeCell ref="C351:C353"/>
    <mergeCell ref="C341:D341"/>
    <mergeCell ref="B436:B443"/>
    <mergeCell ref="C436:D436"/>
    <mergeCell ref="C437:D437"/>
    <mergeCell ref="C438:D438"/>
    <mergeCell ref="C440:D440"/>
    <mergeCell ref="C441:D441"/>
    <mergeCell ref="C442:D442"/>
    <mergeCell ref="C443:D443"/>
    <mergeCell ref="A342:A349"/>
    <mergeCell ref="B342:B345"/>
    <mergeCell ref="C342:D342"/>
    <mergeCell ref="C343:D343"/>
    <mergeCell ref="C344:D344"/>
    <mergeCell ref="C345:D345"/>
    <mergeCell ref="B346:B349"/>
    <mergeCell ref="C346:D346"/>
    <mergeCell ref="C347:D347"/>
    <mergeCell ref="C348:D348"/>
    <mergeCell ref="C349:D349"/>
    <mergeCell ref="C350:D350"/>
    <mergeCell ref="C358:D358"/>
    <mergeCell ref="C359:D359"/>
    <mergeCell ref="C360:D360"/>
    <mergeCell ref="C396:C398"/>
    <mergeCell ref="B400:B434"/>
    <mergeCell ref="C439:D439"/>
    <mergeCell ref="C388:C391"/>
    <mergeCell ref="C392:C395"/>
    <mergeCell ref="C372:D372"/>
    <mergeCell ref="C373:D373"/>
    <mergeCell ref="C374:D374"/>
    <mergeCell ref="C354:C356"/>
    <mergeCell ref="C357:D357"/>
    <mergeCell ref="C371:D371"/>
    <mergeCell ref="B371:B398"/>
    <mergeCell ref="B336:B340"/>
    <mergeCell ref="C336:D336"/>
    <mergeCell ref="C337:D337"/>
    <mergeCell ref="C338:D338"/>
    <mergeCell ref="C339:D339"/>
    <mergeCell ref="C340:D340"/>
    <mergeCell ref="B322:B325"/>
    <mergeCell ref="C316:D316"/>
    <mergeCell ref="B326:B335"/>
    <mergeCell ref="C326:C330"/>
    <mergeCell ref="C323:D323"/>
    <mergeCell ref="C324:D324"/>
    <mergeCell ref="C325:D325"/>
    <mergeCell ref="C331:C335"/>
    <mergeCell ref="A47:A315"/>
    <mergeCell ref="B47:B51"/>
    <mergeCell ref="C47:D47"/>
    <mergeCell ref="C48:D48"/>
    <mergeCell ref="C49:D49"/>
    <mergeCell ref="C50:D50"/>
    <mergeCell ref="C51:D51"/>
    <mergeCell ref="B52:B55"/>
    <mergeCell ref="C52:D52"/>
    <mergeCell ref="C53:D53"/>
    <mergeCell ref="C54:D54"/>
    <mergeCell ref="C55:D55"/>
    <mergeCell ref="B56:B60"/>
    <mergeCell ref="C56:D56"/>
    <mergeCell ref="C57:D57"/>
    <mergeCell ref="C58:D58"/>
    <mergeCell ref="C59:D59"/>
    <mergeCell ref="C60:D60"/>
    <mergeCell ref="C61:D61"/>
    <mergeCell ref="B62:B315"/>
    <mergeCell ref="C62:C64"/>
    <mergeCell ref="C65:C68"/>
    <mergeCell ref="C69:C72"/>
    <mergeCell ref="C73:C76"/>
    <mergeCell ref="C2:D2"/>
    <mergeCell ref="B3:B7"/>
    <mergeCell ref="C3:D3"/>
    <mergeCell ref="C4:D4"/>
    <mergeCell ref="C5:D5"/>
    <mergeCell ref="C6:D6"/>
    <mergeCell ref="C7:D7"/>
    <mergeCell ref="B8:B29"/>
    <mergeCell ref="C8:C13"/>
    <mergeCell ref="C14:C19"/>
    <mergeCell ref="C20:C24"/>
    <mergeCell ref="C25:C29"/>
    <mergeCell ref="C32:D32"/>
    <mergeCell ref="C31:D31"/>
    <mergeCell ref="C30:D30"/>
    <mergeCell ref="A3:A45"/>
    <mergeCell ref="B41:B45"/>
    <mergeCell ref="C46:D46"/>
    <mergeCell ref="B36:B40"/>
    <mergeCell ref="C36:D36"/>
    <mergeCell ref="C37:D37"/>
    <mergeCell ref="C38:D38"/>
    <mergeCell ref="C39:D39"/>
    <mergeCell ref="C40:D40"/>
    <mergeCell ref="B31:B35"/>
    <mergeCell ref="C41:D41"/>
    <mergeCell ref="C42:D42"/>
    <mergeCell ref="C43:D43"/>
    <mergeCell ref="C44:D44"/>
    <mergeCell ref="C33:D33"/>
    <mergeCell ref="C34:D34"/>
    <mergeCell ref="C35:D35"/>
    <mergeCell ref="C45:D45"/>
    <mergeCell ref="C77:C80"/>
    <mergeCell ref="C81:C84"/>
    <mergeCell ref="C85:C88"/>
    <mergeCell ref="C89:C92"/>
    <mergeCell ref="C93:C96"/>
    <mergeCell ref="C97:C100"/>
    <mergeCell ref="C101:C104"/>
    <mergeCell ref="C105:C108"/>
    <mergeCell ref="C109:C112"/>
    <mergeCell ref="C113:C116"/>
    <mergeCell ref="C117:C120"/>
    <mergeCell ref="C121:C124"/>
    <mergeCell ref="C125:C128"/>
    <mergeCell ref="C129:C132"/>
    <mergeCell ref="C133:C136"/>
    <mergeCell ref="C137:C140"/>
    <mergeCell ref="C141:C144"/>
    <mergeCell ref="C145:C148"/>
    <mergeCell ref="C149:C152"/>
    <mergeCell ref="C153:C156"/>
    <mergeCell ref="C157:C160"/>
    <mergeCell ref="C161:C164"/>
    <mergeCell ref="C165:C168"/>
    <mergeCell ref="C169:C172"/>
    <mergeCell ref="C173:C176"/>
    <mergeCell ref="C177:C180"/>
    <mergeCell ref="C181:C184"/>
    <mergeCell ref="C185:C188"/>
    <mergeCell ref="C189:C192"/>
    <mergeCell ref="C193:C196"/>
    <mergeCell ref="C197:C200"/>
    <mergeCell ref="C201:C204"/>
    <mergeCell ref="C205:C208"/>
    <mergeCell ref="C209:C212"/>
    <mergeCell ref="C213:C216"/>
    <mergeCell ref="C217:C220"/>
    <mergeCell ref="C221:C224"/>
    <mergeCell ref="C225:C228"/>
    <mergeCell ref="C229:C232"/>
    <mergeCell ref="C233:C236"/>
    <mergeCell ref="C237:C240"/>
    <mergeCell ref="C241:C244"/>
    <mergeCell ref="C245:C248"/>
    <mergeCell ref="C249:C252"/>
    <mergeCell ref="C253:C256"/>
    <mergeCell ref="C257:C260"/>
    <mergeCell ref="C297:C300"/>
    <mergeCell ref="C301:C304"/>
    <mergeCell ref="C305:C308"/>
    <mergeCell ref="C309:C312"/>
    <mergeCell ref="C313:D313"/>
    <mergeCell ref="C314:D314"/>
    <mergeCell ref="C315:D315"/>
    <mergeCell ref="C261:C264"/>
    <mergeCell ref="C265:C268"/>
    <mergeCell ref="C269:C272"/>
    <mergeCell ref="C273:C276"/>
    <mergeCell ref="C277:C280"/>
    <mergeCell ref="C281:C284"/>
    <mergeCell ref="C285:C288"/>
    <mergeCell ref="C289:C292"/>
    <mergeCell ref="C293:C296"/>
  </mergeCells>
  <phoneticPr fontId="5" type="noConversion"/>
  <conditionalFormatting sqref="E50 G50:L50">
    <cfRule type="cellIs" dxfId="991" priority="170" operator="lessThan">
      <formula>1</formula>
    </cfRule>
    <cfRule type="cellIs" dxfId="990" priority="171" operator="greaterThan">
      <formula>1</formula>
    </cfRule>
    <cfRule type="cellIs" dxfId="989" priority="172" operator="greaterThan">
      <formula>1</formula>
    </cfRule>
    <cfRule type="cellIs" dxfId="988" priority="173" operator="lessThan">
      <formula>1</formula>
    </cfRule>
    <cfRule type="cellIs" dxfId="987" priority="174" operator="greaterThan">
      <formula>1</formula>
    </cfRule>
  </conditionalFormatting>
  <conditionalFormatting sqref="E349:F349">
    <cfRule type="cellIs" dxfId="986" priority="213" operator="greaterThan">
      <formula>0</formula>
    </cfRule>
    <cfRule type="cellIs" dxfId="985" priority="212" operator="lessThan">
      <formula>0</formula>
    </cfRule>
  </conditionalFormatting>
  <conditionalFormatting sqref="E39:L39">
    <cfRule type="cellIs" dxfId="984" priority="202" operator="greaterThan">
      <formula>1</formula>
    </cfRule>
    <cfRule type="cellIs" dxfId="983" priority="201" operator="lessThan">
      <formula>1</formula>
    </cfRule>
    <cfRule type="cellIs" dxfId="982" priority="200" operator="greaterThan">
      <formula>1</formula>
    </cfRule>
    <cfRule type="cellIs" dxfId="981" priority="199" operator="greaterThan">
      <formula>1</formula>
    </cfRule>
  </conditionalFormatting>
  <conditionalFormatting sqref="E40:L40">
    <cfRule type="cellIs" dxfId="980" priority="204" operator="greaterThan">
      <formula>50</formula>
    </cfRule>
    <cfRule type="cellIs" dxfId="979" priority="203" operator="lessThan">
      <formula>50</formula>
    </cfRule>
    <cfRule type="cellIs" dxfId="978" priority="198" operator="greaterThan">
      <formula>50</formula>
    </cfRule>
  </conditionalFormatting>
  <conditionalFormatting sqref="E44:L44">
    <cfRule type="cellIs" dxfId="977" priority="197" operator="greaterThan">
      <formula>1</formula>
    </cfRule>
    <cfRule type="cellIs" dxfId="976" priority="196" operator="lessThan">
      <formula>1</formula>
    </cfRule>
    <cfRule type="cellIs" dxfId="975" priority="195" operator="greaterThan">
      <formula>1</formula>
    </cfRule>
    <cfRule type="cellIs" dxfId="974" priority="194" operator="greaterThan">
      <formula>1</formula>
    </cfRule>
  </conditionalFormatting>
  <conditionalFormatting sqref="E45:L45">
    <cfRule type="cellIs" dxfId="973" priority="193" operator="greaterThan">
      <formula>50</formula>
    </cfRule>
    <cfRule type="cellIs" dxfId="972" priority="192" operator="lessThan">
      <formula>50</formula>
    </cfRule>
    <cfRule type="cellIs" dxfId="971" priority="191" operator="greaterThan">
      <formula>50</formula>
    </cfRule>
  </conditionalFormatting>
  <conditionalFormatting sqref="E51:L51">
    <cfRule type="cellIs" dxfId="970" priority="181" operator="greaterThan">
      <formula>50</formula>
    </cfRule>
    <cfRule type="cellIs" dxfId="969" priority="183" operator="greaterThan">
      <formula>50</formula>
    </cfRule>
    <cfRule type="cellIs" dxfId="968" priority="182" operator="lessThan">
      <formula>50</formula>
    </cfRule>
  </conditionalFormatting>
  <conditionalFormatting sqref="F370:K370">
    <cfRule type="cellIs" dxfId="967" priority="104" operator="lessThan">
      <formula>0</formula>
    </cfRule>
  </conditionalFormatting>
  <conditionalFormatting sqref="F320:L321">
    <cfRule type="cellIs" dxfId="966" priority="223" operator="lessThan">
      <formula>1</formula>
    </cfRule>
  </conditionalFormatting>
  <conditionalFormatting sqref="F459:L459">
    <cfRule type="cellIs" dxfId="965" priority="17" operator="lessThan">
      <formula>0</formula>
    </cfRule>
  </conditionalFormatting>
  <conditionalFormatting sqref="F460:L462">
    <cfRule type="cellIs" dxfId="964" priority="15" operator="greaterThan">
      <formula>0</formula>
    </cfRule>
  </conditionalFormatting>
  <conditionalFormatting sqref="F462:L462">
    <cfRule type="cellIs" dxfId="963" priority="20" operator="lessThan">
      <formula>0</formula>
    </cfRule>
    <cfRule type="cellIs" dxfId="962" priority="19" operator="greaterThan">
      <formula>0</formula>
    </cfRule>
  </conditionalFormatting>
  <conditionalFormatting sqref="G360:H360">
    <cfRule type="cellIs" dxfId="961" priority="29" operator="lessThan">
      <formula>0</formula>
    </cfRule>
    <cfRule type="cellIs" dxfId="960" priority="30" operator="greaterThan">
      <formula>0</formula>
    </cfRule>
  </conditionalFormatting>
  <conditionalFormatting sqref="G325:L325">
    <cfRule type="cellIs" dxfId="959" priority="251" operator="greaterThan">
      <formula>0</formula>
    </cfRule>
    <cfRule type="cellIs" dxfId="958" priority="252" operator="lessThan">
      <formula>1</formula>
    </cfRule>
  </conditionalFormatting>
  <conditionalFormatting sqref="H439:J439">
    <cfRule type="cellIs" dxfId="957" priority="4" operator="greaterThan">
      <formula>0</formula>
    </cfRule>
  </conditionalFormatting>
  <conditionalFormatting sqref="H59:K59">
    <cfRule type="cellIs" dxfId="956" priority="177" operator="greaterThan">
      <formula>0</formula>
    </cfRule>
  </conditionalFormatting>
  <conditionalFormatting sqref="H60:K60">
    <cfRule type="cellIs" dxfId="955" priority="179" operator="greaterThan">
      <formula>50</formula>
    </cfRule>
    <cfRule type="cellIs" dxfId="954" priority="178" operator="lessThan">
      <formula>50</formula>
    </cfRule>
    <cfRule type="cellIs" dxfId="953" priority="176" operator="greaterThan">
      <formula>50</formula>
    </cfRule>
    <cfRule type="cellIs" dxfId="952" priority="175" operator="lessThan">
      <formula>50</formula>
    </cfRule>
  </conditionalFormatting>
  <conditionalFormatting sqref="H339:K339">
    <cfRule type="cellIs" dxfId="951" priority="254" operator="lessThan">
      <formula>0</formula>
    </cfRule>
    <cfRule type="cellIs" dxfId="950" priority="260" operator="greaterThan">
      <formula>0</formula>
    </cfRule>
    <cfRule type="cellIs" dxfId="949" priority="261" operator="lessThan">
      <formula>0</formula>
    </cfRule>
    <cfRule type="cellIs" dxfId="948" priority="262" operator="greaterThan">
      <formula>0</formula>
    </cfRule>
  </conditionalFormatting>
  <conditionalFormatting sqref="H439:K439">
    <cfRule type="cellIs" dxfId="947" priority="3" operator="lessThan">
      <formula>0</formula>
    </cfRule>
  </conditionalFormatting>
  <conditionalFormatting sqref="H440:K440">
    <cfRule type="cellIs" dxfId="946" priority="2" operator="greaterThan">
      <formula>50</formula>
    </cfRule>
    <cfRule type="cellIs" dxfId="945" priority="1" operator="lessThan">
      <formula>50</formula>
    </cfRule>
  </conditionalFormatting>
  <conditionalFormatting sqref="H55:L55">
    <cfRule type="cellIs" dxfId="944" priority="180" operator="greaterThan">
      <formula>0</formula>
    </cfRule>
  </conditionalFormatting>
  <conditionalFormatting sqref="K449">
    <cfRule type="cellIs" dxfId="943" priority="14" operator="greaterThan">
      <formula>50</formula>
    </cfRule>
    <cfRule type="cellIs" dxfId="942" priority="13" operator="lessThan">
      <formula>50</formula>
    </cfRule>
    <cfRule type="cellIs" dxfId="941" priority="12" operator="lessThan">
      <formula>50</formula>
    </cfRule>
  </conditionalFormatting>
  <hyperlinks>
    <hyperlink ref="M1" location="INDICADORES!A1" display="INDICADORES" xr:uid="{F196CE1B-2EDD-42AE-BD7E-2EB802BE6813}"/>
    <hyperlink ref="O1" location="DISTRITOS!A1" display="DISTRITOS" xr:uid="{7811396E-EB2D-4A58-BFC1-6779C346D474}"/>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F26F52D2161F429859B142B515E028" ma:contentTypeVersion="4" ma:contentTypeDescription="Crear nuevo documento." ma:contentTypeScope="" ma:versionID="6db5a697d60cde274999b7b5b6ef3305">
  <xsd:schema xmlns:xsd="http://www.w3.org/2001/XMLSchema" xmlns:xs="http://www.w3.org/2001/XMLSchema" xmlns:p="http://schemas.microsoft.com/office/2006/metadata/properties" xmlns:ns2="27dd7f87-76c5-469e-818d-ae3eb892b31c" targetNamespace="http://schemas.microsoft.com/office/2006/metadata/properties" ma:root="true" ma:fieldsID="22175641868f0100e2dc646d8fb48ebe" ns2:_="">
    <xsd:import namespace="27dd7f87-76c5-469e-818d-ae3eb892b3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dd7f87-76c5-469e-818d-ae3eb892b3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C0ADB20-8CDC-435A-8526-35B42FB5506A}">
  <ds:schemaRefs>
    <ds:schemaRef ds:uri="http://schemas.microsoft.com/sharepoint/v3/contenttype/forms"/>
  </ds:schemaRefs>
</ds:datastoreItem>
</file>

<file path=customXml/itemProps2.xml><?xml version="1.0" encoding="utf-8"?>
<ds:datastoreItem xmlns:ds="http://schemas.openxmlformats.org/officeDocument/2006/customXml" ds:itemID="{7D69DF27-85BF-4650-8F67-883690D33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dd7f87-76c5-469e-818d-ae3eb892b31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E09D19-5750-4836-9B0F-20572AB3D5B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INDICADORES</vt:lpstr>
      <vt:lpstr>DISTRITOS</vt:lpstr>
      <vt:lpstr>FICHA TÉCNICA</vt:lpstr>
      <vt:lpstr>CENTRO</vt:lpstr>
      <vt:lpstr>ARGANZUELA</vt:lpstr>
      <vt:lpstr>RETIRO</vt:lpstr>
      <vt:lpstr>SALAMANCA</vt:lpstr>
      <vt:lpstr>CHAMARTÍN</vt:lpstr>
      <vt:lpstr>TETUÁN</vt:lpstr>
      <vt:lpstr>CHAMBERÍ</vt:lpstr>
      <vt:lpstr>FUENCARRAL-EL PARDO</vt:lpstr>
      <vt:lpstr>MONCLOA-ARAVACA</vt:lpstr>
      <vt:lpstr>LATINA</vt:lpstr>
      <vt:lpstr>CARABANCHEL</vt:lpstr>
      <vt:lpstr>USERA</vt:lpstr>
      <vt:lpstr>PUENTE DE VALLECAS</vt:lpstr>
      <vt:lpstr>MORATALAZ</vt:lpstr>
      <vt:lpstr>CIUDAD LINEAL</vt:lpstr>
      <vt:lpstr>HORTALEZA</vt:lpstr>
      <vt:lpstr>VILLAVERDE</vt:lpstr>
      <vt:lpstr>VILLA DE VALLECAS</vt:lpstr>
      <vt:lpstr>VICÁLVARO</vt:lpstr>
      <vt:lpstr>SAN BLAS-CANILLEJAS</vt:lpstr>
      <vt:lpstr>BARAJAS</vt:lpstr>
      <vt:lpstr>CENTRO!I.20</vt:lpstr>
      <vt:lpstr>I.20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2025-02-13T12:48:30Z</dcterms:created>
  <dcterms:modified xsi:type="dcterms:W3CDTF">2025-05-27T11:28:39Z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0x010100B0F26F52D2161F429859B142B515E028</vt:lpwstr>
  </property>
</Properties>
</file>